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5.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198/Plan_Acción_2024/Seguimientos PA/"/>
    </mc:Choice>
  </mc:AlternateContent>
  <xr:revisionPtr revIDLastSave="16" documentId="8_{79B6025F-A038-478D-9172-AD31AC04CC19}" xr6:coauthVersionLast="47" xr6:coauthVersionMax="47" xr10:uidLastSave="{79EFFC48-56D5-452A-9325-B6C948A731B0}"/>
  <bookViews>
    <workbookView xWindow="-120" yWindow="-120" windowWidth="29040" windowHeight="15720" activeTab="7" xr2:uid="{00000000-000D-0000-FFFF-FFFF00000000}"/>
  </bookViews>
  <sheets>
    <sheet name="Instructivo" sheetId="44" r:id="rId1"/>
    <sheet name="Meta.1" sheetId="45" r:id="rId2"/>
    <sheet name="Meta.3" sheetId="40" r:id="rId3"/>
    <sheet name="Meta.4" sheetId="46" r:id="rId4"/>
    <sheet name="Meta.5" sheetId="47" r:id="rId5"/>
    <sheet name="Indicadores PA" sheetId="36" r:id="rId6"/>
    <sheet name="Hoja1" sheetId="42" state="hidden" r:id="rId7"/>
    <sheet name="Territorialización PA" sheetId="37" r:id="rId8"/>
    <sheet name="Control de Cambios" sheetId="41" r:id="rId9"/>
    <sheet name="Proyecto" sheetId="48" r:id="rId10"/>
    <sheet name="8198.SCPI" sheetId="52" r:id="rId11"/>
    <sheet name="listas" sheetId="43" state="hidden" r:id="rId12"/>
  </sheets>
  <definedNames>
    <definedName name="_xlnm._FilterDatabase" localSheetId="10" hidden="1">'8198.SCPI'!$A$1:$CC$1</definedName>
    <definedName name="_xlnm._FilterDatabase" localSheetId="5" hidden="1">'Indicadores PA'!$A$12:$AV$12</definedName>
    <definedName name="_xlnm.Print_Area" localSheetId="5">'Indicadores PA'!$A$1:$AV$23</definedName>
    <definedName name="_xlnm.Print_Area" localSheetId="1">Meta.1!$A$1:$AE$48</definedName>
    <definedName name="_xlnm.Print_Area" localSheetId="2">Meta.3!$A$1:$AE$52</definedName>
    <definedName name="_xlnm.Print_Area" localSheetId="3">Meta.4!$A$1:$AE$46</definedName>
    <definedName name="_xlnm.Print_Area" localSheetId="4">Meta.5!$A$1:$AE$48</definedName>
    <definedName name="_xlnm.Print_Area" localSheetId="7">'Territorialización PA'!$A$1:$BK$86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86" i="37" l="1"/>
  <c r="AC23" i="40"/>
  <c r="AC23" i="47"/>
  <c r="AC24" i="47"/>
  <c r="AC25" i="47"/>
  <c r="AC25" i="46"/>
  <c r="AC22" i="40"/>
  <c r="AC25" i="45"/>
  <c r="AC23" i="45"/>
  <c r="AC22" i="45"/>
  <c r="G5" i="48" l="1"/>
  <c r="BT100" i="52" l="1"/>
  <c r="BP97" i="52"/>
  <c r="BP80" i="52"/>
  <c r="BP76" i="52"/>
  <c r="BP63" i="52"/>
  <c r="BP62" i="52"/>
  <c r="BS52" i="52"/>
  <c r="BS51" i="52"/>
  <c r="AS51" i="52"/>
  <c r="BH47" i="52"/>
  <c r="BH46" i="52"/>
  <c r="BL46" i="52" s="1"/>
  <c r="BH45" i="52"/>
  <c r="BE44" i="52"/>
  <c r="BP64" i="52" s="1"/>
  <c r="BN42" i="52"/>
  <c r="BP42" i="52" s="1"/>
  <c r="BE42" i="52"/>
  <c r="BL41" i="52"/>
  <c r="BE41" i="52"/>
  <c r="BO39" i="52"/>
  <c r="BP39" i="52" s="1"/>
  <c r="BK37" i="52"/>
  <c r="AZ37" i="52"/>
  <c r="AX37" i="52"/>
  <c r="AL37" i="52"/>
  <c r="AK37" i="52"/>
  <c r="AJ37" i="52"/>
  <c r="AI37" i="52"/>
  <c r="AH37" i="52"/>
  <c r="AG37" i="52"/>
  <c r="BH35" i="52"/>
  <c r="AG35" i="52"/>
  <c r="BG34" i="52"/>
  <c r="BC34" i="52"/>
  <c r="AL34" i="52"/>
  <c r="BH34" i="52" s="1"/>
  <c r="AG34" i="52"/>
  <c r="BG33" i="52"/>
  <c r="BC33" i="52"/>
  <c r="AL33" i="52"/>
  <c r="AG33" i="52"/>
  <c r="BY31" i="52"/>
  <c r="BS31" i="52"/>
  <c r="BS37" i="52" s="1"/>
  <c r="BZ30" i="52"/>
  <c r="BL30" i="52"/>
  <c r="BG30" i="52"/>
  <c r="BP56" i="52" s="1"/>
  <c r="BA30" i="52"/>
  <c r="BU29" i="52"/>
  <c r="CA29" i="52" s="1"/>
  <c r="BM29" i="52"/>
  <c r="BG29" i="52"/>
  <c r="AS29" i="52"/>
  <c r="BE29" i="52" s="1"/>
  <c r="BT28" i="52"/>
  <c r="BZ28" i="52" s="1"/>
  <c r="BL28" i="52"/>
  <c r="BG28" i="52"/>
  <c r="AS28" i="52"/>
  <c r="BC28" i="52" s="1"/>
  <c r="BU27" i="52"/>
  <c r="CA27" i="52" s="1"/>
  <c r="BM27" i="52"/>
  <c r="BG27" i="52"/>
  <c r="AS27" i="52"/>
  <c r="BA27" i="52" s="1"/>
  <c r="BT26" i="52"/>
  <c r="BZ26" i="52" s="1"/>
  <c r="BL26" i="52"/>
  <c r="BG26" i="52"/>
  <c r="AS26" i="52"/>
  <c r="AY26" i="52" s="1"/>
  <c r="BU25" i="52"/>
  <c r="CA25" i="52" s="1"/>
  <c r="BM25" i="52"/>
  <c r="BG25" i="52"/>
  <c r="AS25" i="52"/>
  <c r="AW25" i="52" s="1"/>
  <c r="BT24" i="52"/>
  <c r="BZ24" i="52" s="1"/>
  <c r="BL24" i="52"/>
  <c r="BG24" i="52"/>
  <c r="AS24" i="52"/>
  <c r="BE24" i="52" s="1"/>
  <c r="BU23" i="52"/>
  <c r="CA23" i="52" s="1"/>
  <c r="BM23" i="52"/>
  <c r="BG23" i="52"/>
  <c r="AS23" i="52"/>
  <c r="BT22" i="52"/>
  <c r="BZ22" i="52" s="1"/>
  <c r="BL22" i="52"/>
  <c r="BG22" i="52"/>
  <c r="AS22" i="52"/>
  <c r="BU21" i="52"/>
  <c r="CA21" i="52" s="1"/>
  <c r="BM21" i="52"/>
  <c r="BG21" i="52"/>
  <c r="AS21" i="52"/>
  <c r="BT20" i="52"/>
  <c r="BZ20" i="52" s="1"/>
  <c r="BL20" i="52"/>
  <c r="BG20" i="52"/>
  <c r="AS20" i="52"/>
  <c r="BC20" i="52" s="1"/>
  <c r="BU19" i="52"/>
  <c r="CA19" i="52" s="1"/>
  <c r="BM19" i="52"/>
  <c r="BG19" i="52"/>
  <c r="AS19" i="52"/>
  <c r="BC19" i="52" s="1"/>
  <c r="BT18" i="52"/>
  <c r="BZ18" i="52" s="1"/>
  <c r="BL18" i="52"/>
  <c r="BG18" i="52"/>
  <c r="AS18" i="52"/>
  <c r="BC18" i="52" s="1"/>
  <c r="BU17" i="52"/>
  <c r="CA17" i="52" s="1"/>
  <c r="BM17" i="52"/>
  <c r="BG17" i="52"/>
  <c r="AS17" i="52"/>
  <c r="BE17" i="52" s="1"/>
  <c r="BT16" i="52"/>
  <c r="BZ16" i="52" s="1"/>
  <c r="BL16" i="52"/>
  <c r="BG16" i="52"/>
  <c r="AS16" i="52"/>
  <c r="BC16" i="52" s="1"/>
  <c r="BU15" i="52"/>
  <c r="CA15" i="52" s="1"/>
  <c r="BM15" i="52"/>
  <c r="BG15" i="52"/>
  <c r="AS15" i="52"/>
  <c r="BA15" i="52" s="1"/>
  <c r="BT14" i="52"/>
  <c r="BZ14" i="52" s="1"/>
  <c r="BL14" i="52"/>
  <c r="BG14" i="52"/>
  <c r="AS14" i="52"/>
  <c r="AY14" i="52" s="1"/>
  <c r="BU13" i="52"/>
  <c r="CA13" i="52" s="1"/>
  <c r="BM13" i="52"/>
  <c r="BG13" i="52"/>
  <c r="AS13" i="52"/>
  <c r="AW13" i="52" s="1"/>
  <c r="BT12" i="52"/>
  <c r="BZ12" i="52" s="1"/>
  <c r="BL12" i="52"/>
  <c r="BG12" i="52"/>
  <c r="AS12" i="52"/>
  <c r="BE12" i="52" s="1"/>
  <c r="BT11" i="52"/>
  <c r="BZ11" i="52" s="1"/>
  <c r="BL11" i="52"/>
  <c r="BG11" i="52"/>
  <c r="BE11" i="52"/>
  <c r="BC11" i="52"/>
  <c r="BA11" i="52"/>
  <c r="AY11" i="52"/>
  <c r="AW11" i="52"/>
  <c r="BH11" i="52" s="1"/>
  <c r="BV10" i="52"/>
  <c r="CB10" i="52" s="1"/>
  <c r="BN10" i="52"/>
  <c r="BG10" i="52"/>
  <c r="BE10" i="52"/>
  <c r="BC10" i="52"/>
  <c r="BA10" i="52"/>
  <c r="AY10" i="52"/>
  <c r="AW10" i="52"/>
  <c r="BT9" i="52"/>
  <c r="BL9" i="52"/>
  <c r="BG9" i="52"/>
  <c r="BE9" i="52"/>
  <c r="BC9" i="52"/>
  <c r="BA9" i="52"/>
  <c r="AY9" i="52"/>
  <c r="AW9" i="52"/>
  <c r="BV8" i="52"/>
  <c r="CB8" i="52" s="1"/>
  <c r="BN8" i="52"/>
  <c r="BG8" i="52"/>
  <c r="BE8" i="52"/>
  <c r="BC8" i="52"/>
  <c r="BA8" i="52"/>
  <c r="AY8" i="52"/>
  <c r="AW8" i="52"/>
  <c r="BU7" i="52"/>
  <c r="BU31" i="52" s="1"/>
  <c r="BM7" i="52"/>
  <c r="BG7" i="52"/>
  <c r="BE7" i="52"/>
  <c r="BC7" i="52"/>
  <c r="BA7" i="52"/>
  <c r="AY7" i="52"/>
  <c r="AW7" i="52"/>
  <c r="BT6" i="52"/>
  <c r="BZ6" i="52" s="1"/>
  <c r="BL6" i="52"/>
  <c r="BG6" i="52"/>
  <c r="BE6" i="52"/>
  <c r="BC6" i="52"/>
  <c r="BA6" i="52"/>
  <c r="AY6" i="52"/>
  <c r="BH6" i="52" s="1"/>
  <c r="AW6" i="52"/>
  <c r="BT5" i="52"/>
  <c r="BZ5" i="52" s="1"/>
  <c r="BL5" i="52"/>
  <c r="BG5" i="52"/>
  <c r="BE5" i="52"/>
  <c r="BC5" i="52"/>
  <c r="BA5" i="52"/>
  <c r="AY5" i="52"/>
  <c r="AW5" i="52"/>
  <c r="BR4" i="52"/>
  <c r="BX4" i="52" s="1"/>
  <c r="BJ4" i="52"/>
  <c r="BJ37" i="52" s="1"/>
  <c r="BG4" i="52"/>
  <c r="BC4" i="52"/>
  <c r="BA4" i="52"/>
  <c r="AY4" i="52"/>
  <c r="AW4" i="52"/>
  <c r="CB3" i="52"/>
  <c r="BV3" i="52"/>
  <c r="BN3" i="52"/>
  <c r="BG3" i="52"/>
  <c r="BH3" i="52" s="1"/>
  <c r="BZ2" i="52"/>
  <c r="BT2" i="52"/>
  <c r="BL2" i="52"/>
  <c r="BG2" i="52"/>
  <c r="R5" i="48"/>
  <c r="Q5" i="48"/>
  <c r="R4" i="48"/>
  <c r="Q4" i="48"/>
  <c r="R3" i="48"/>
  <c r="Q3" i="48"/>
  <c r="R2" i="48"/>
  <c r="Q2" i="48"/>
  <c r="AC22" i="46"/>
  <c r="P43" i="46"/>
  <c r="N59" i="46"/>
  <c r="AP13" i="36"/>
  <c r="BK86" i="37"/>
  <c r="BJ86" i="37"/>
  <c r="BI86" i="37"/>
  <c r="BH86" i="37"/>
  <c r="BG86" i="37"/>
  <c r="BF86" i="37"/>
  <c r="BE86" i="37"/>
  <c r="BD86" i="37"/>
  <c r="BC86" i="37"/>
  <c r="BB86" i="37"/>
  <c r="BA86" i="37"/>
  <c r="AZ86" i="37"/>
  <c r="AW86" i="37"/>
  <c r="AQ86" i="37"/>
  <c r="AP86" i="37"/>
  <c r="AO86" i="37"/>
  <c r="AN86" i="37"/>
  <c r="AM86" i="37"/>
  <c r="AL86" i="37"/>
  <c r="AK86" i="37"/>
  <c r="AJ86" i="37"/>
  <c r="AI86" i="37"/>
  <c r="AH86" i="37"/>
  <c r="AE86" i="37"/>
  <c r="AD86" i="37"/>
  <c r="AC86" i="37"/>
  <c r="AB86" i="37"/>
  <c r="AA86" i="37"/>
  <c r="Z86" i="37"/>
  <c r="Y86" i="37"/>
  <c r="X86" i="37"/>
  <c r="W86" i="37"/>
  <c r="V86" i="37"/>
  <c r="U86" i="37"/>
  <c r="T86" i="37"/>
  <c r="Q86" i="37"/>
  <c r="P86" i="37"/>
  <c r="N86" i="37"/>
  <c r="I86" i="37"/>
  <c r="H86" i="37"/>
  <c r="G86" i="37"/>
  <c r="F86" i="37"/>
  <c r="E86" i="37"/>
  <c r="D86" i="37"/>
  <c r="C86" i="37"/>
  <c r="B86" i="37"/>
  <c r="AY85" i="37"/>
  <c r="AX85" i="37"/>
  <c r="S85" i="37"/>
  <c r="R85" i="37"/>
  <c r="AY84" i="37"/>
  <c r="AX84" i="37"/>
  <c r="S84" i="37"/>
  <c r="R84" i="37"/>
  <c r="AY83" i="37"/>
  <c r="AX83" i="37"/>
  <c r="S83" i="37"/>
  <c r="R83" i="37"/>
  <c r="AY82" i="37"/>
  <c r="AX82" i="37"/>
  <c r="S82" i="37"/>
  <c r="R82" i="37"/>
  <c r="AY81" i="37"/>
  <c r="AX81" i="37"/>
  <c r="S81" i="37"/>
  <c r="R81" i="37"/>
  <c r="AY80" i="37"/>
  <c r="AX80" i="37"/>
  <c r="S80" i="37"/>
  <c r="R80" i="37"/>
  <c r="AY79" i="37"/>
  <c r="AX79" i="37"/>
  <c r="S79" i="37"/>
  <c r="R79" i="37"/>
  <c r="AY78" i="37"/>
  <c r="AX78" i="37"/>
  <c r="S78" i="37"/>
  <c r="R78" i="37"/>
  <c r="AY77" i="37"/>
  <c r="AX77" i="37"/>
  <c r="S77" i="37"/>
  <c r="R77" i="37"/>
  <c r="AY76" i="37"/>
  <c r="AX76" i="37"/>
  <c r="S76" i="37"/>
  <c r="R76" i="37"/>
  <c r="AY75" i="37"/>
  <c r="AX75" i="37"/>
  <c r="S75" i="37"/>
  <c r="R75" i="37"/>
  <c r="AY74" i="37"/>
  <c r="AX74" i="37"/>
  <c r="S74" i="37"/>
  <c r="R74" i="37"/>
  <c r="AY73" i="37"/>
  <c r="AX73" i="37"/>
  <c r="S73" i="37"/>
  <c r="R73" i="37"/>
  <c r="AY72" i="37"/>
  <c r="AX72" i="37"/>
  <c r="S72" i="37"/>
  <c r="R72" i="37"/>
  <c r="AY71" i="37"/>
  <c r="AX71" i="37"/>
  <c r="S71" i="37"/>
  <c r="R71" i="37"/>
  <c r="AY70" i="37"/>
  <c r="AX70" i="37"/>
  <c r="S70" i="37"/>
  <c r="R70" i="37"/>
  <c r="AY69" i="37"/>
  <c r="AX69" i="37"/>
  <c r="S69" i="37"/>
  <c r="R69" i="37"/>
  <c r="AY68" i="37"/>
  <c r="AX68" i="37"/>
  <c r="S68" i="37"/>
  <c r="R68" i="37"/>
  <c r="AY67" i="37"/>
  <c r="AX67" i="37"/>
  <c r="S67" i="37"/>
  <c r="R67" i="37"/>
  <c r="AY66" i="37"/>
  <c r="AY86" i="37" s="1"/>
  <c r="AX66" i="37"/>
  <c r="S66" i="37"/>
  <c r="R66" i="37"/>
  <c r="R86" i="37" s="1"/>
  <c r="AV86" i="37"/>
  <c r="AU86" i="37"/>
  <c r="AS86" i="37"/>
  <c r="AR86" i="37"/>
  <c r="M86" i="37"/>
  <c r="L86" i="37"/>
  <c r="K86" i="37"/>
  <c r="J86" i="37"/>
  <c r="N60" i="46"/>
  <c r="O60" i="46"/>
  <c r="M60" i="46"/>
  <c r="K60" i="46"/>
  <c r="L60" i="46"/>
  <c r="J60" i="46"/>
  <c r="O59" i="46"/>
  <c r="M59" i="46"/>
  <c r="K59" i="46"/>
  <c r="L59" i="46"/>
  <c r="J59" i="46"/>
  <c r="AP11" i="37"/>
  <c r="J11" i="37"/>
  <c r="M11" i="37"/>
  <c r="O86" i="37"/>
  <c r="S86" i="37"/>
  <c r="AH35" i="47"/>
  <c r="AH35" i="46"/>
  <c r="AK36" i="45"/>
  <c r="AY15" i="36"/>
  <c r="AY14" i="36"/>
  <c r="P5" i="48"/>
  <c r="O5" i="48"/>
  <c r="P4" i="48"/>
  <c r="O4" i="48"/>
  <c r="P3" i="48"/>
  <c r="O3" i="48"/>
  <c r="O6" i="48" s="1"/>
  <c r="P2" i="48"/>
  <c r="P6" i="48" s="1"/>
  <c r="P7" i="48" s="1"/>
  <c r="O2" i="48"/>
  <c r="A35" i="46"/>
  <c r="AS39" i="37"/>
  <c r="AY39" i="37" s="1"/>
  <c r="AY60" i="37" s="1"/>
  <c r="AS11" i="37"/>
  <c r="AS89" i="37" s="1"/>
  <c r="N5" i="48"/>
  <c r="T5" i="48" s="1"/>
  <c r="M5" i="48"/>
  <c r="K5" i="48"/>
  <c r="J5" i="48"/>
  <c r="N4" i="48"/>
  <c r="T4" i="48" s="1"/>
  <c r="M4" i="48"/>
  <c r="K4" i="48"/>
  <c r="J4" i="48"/>
  <c r="N3" i="48"/>
  <c r="T3" i="48" s="1"/>
  <c r="M3" i="48"/>
  <c r="K3" i="48"/>
  <c r="J3" i="48"/>
  <c r="J6" i="48" s="1"/>
  <c r="N2" i="48"/>
  <c r="M2" i="48"/>
  <c r="M6" i="48" s="1"/>
  <c r="K2" i="48"/>
  <c r="J2" i="48"/>
  <c r="AQ13" i="36" a="1"/>
  <c r="AQ13" i="36" s="1"/>
  <c r="AE15" i="36"/>
  <c r="AF15" i="36"/>
  <c r="AG15" i="36"/>
  <c r="AH15" i="36"/>
  <c r="AI15" i="36"/>
  <c r="AJ15" i="36"/>
  <c r="AD15" i="36"/>
  <c r="B53" i="40"/>
  <c r="B60" i="40"/>
  <c r="B62" i="40"/>
  <c r="B64" i="40"/>
  <c r="B66" i="40"/>
  <c r="B68" i="40"/>
  <c r="B70" i="40"/>
  <c r="A62" i="40"/>
  <c r="A64" i="40"/>
  <c r="A66" i="40"/>
  <c r="A68" i="40"/>
  <c r="A70" i="40"/>
  <c r="A63" i="47"/>
  <c r="A65" i="47"/>
  <c r="A67" i="47"/>
  <c r="B63" i="47"/>
  <c r="B65" i="47"/>
  <c r="B67" i="47"/>
  <c r="B49" i="47"/>
  <c r="P48" i="47"/>
  <c r="P47" i="47"/>
  <c r="J67" i="47" s="1"/>
  <c r="P46" i="47"/>
  <c r="P45" i="47"/>
  <c r="B61" i="47"/>
  <c r="A61" i="47"/>
  <c r="B61" i="46"/>
  <c r="A61" i="46"/>
  <c r="B59" i="46"/>
  <c r="A59" i="46"/>
  <c r="B57" i="46"/>
  <c r="A57" i="46"/>
  <c r="A60" i="40"/>
  <c r="R68" i="45"/>
  <c r="R67" i="45"/>
  <c r="R66" i="45"/>
  <c r="R65" i="45"/>
  <c r="B63" i="45"/>
  <c r="A63" i="45"/>
  <c r="B61" i="45"/>
  <c r="A61" i="45"/>
  <c r="B59" i="45"/>
  <c r="A59" i="45"/>
  <c r="B57" i="45"/>
  <c r="A57" i="45"/>
  <c r="D66" i="47"/>
  <c r="D65" i="47"/>
  <c r="E65" i="47"/>
  <c r="F65" i="47"/>
  <c r="G65" i="47"/>
  <c r="H65" i="47"/>
  <c r="I65" i="47"/>
  <c r="J65" i="47"/>
  <c r="K65" i="47"/>
  <c r="L65" i="47"/>
  <c r="M65" i="47"/>
  <c r="N65" i="47"/>
  <c r="N77" i="47" s="1"/>
  <c r="N78" i="47" s="1"/>
  <c r="O65" i="47"/>
  <c r="E66" i="47"/>
  <c r="F66" i="47"/>
  <c r="G66" i="47"/>
  <c r="H66" i="47"/>
  <c r="I66" i="47"/>
  <c r="J66" i="47"/>
  <c r="K66" i="47"/>
  <c r="L66" i="47"/>
  <c r="M66" i="47"/>
  <c r="N66" i="47"/>
  <c r="O66" i="47"/>
  <c r="K67" i="47"/>
  <c r="M67" i="47"/>
  <c r="N67" i="47"/>
  <c r="E68" i="47"/>
  <c r="F68" i="47"/>
  <c r="N68" i="47"/>
  <c r="O68" i="47"/>
  <c r="L2" i="48"/>
  <c r="L4" i="48"/>
  <c r="L5" i="48"/>
  <c r="J68" i="47"/>
  <c r="H67" i="47"/>
  <c r="I68" i="47"/>
  <c r="G67" i="47"/>
  <c r="H68" i="47"/>
  <c r="L68" i="47"/>
  <c r="B47" i="46"/>
  <c r="H5" i="48"/>
  <c r="H4" i="48"/>
  <c r="H3" i="48"/>
  <c r="H2" i="48"/>
  <c r="P52" i="40"/>
  <c r="P51" i="40"/>
  <c r="P50" i="40"/>
  <c r="P49" i="40"/>
  <c r="A35" i="45"/>
  <c r="A35" i="47"/>
  <c r="A35" i="40"/>
  <c r="B2" i="48"/>
  <c r="Q11" i="37"/>
  <c r="Q39" i="37"/>
  <c r="M39" i="37"/>
  <c r="B5" i="48"/>
  <c r="B4" i="48"/>
  <c r="AC24" i="46"/>
  <c r="B3" i="48"/>
  <c r="P44" i="47"/>
  <c r="P43" i="47"/>
  <c r="P42" i="47"/>
  <c r="P41" i="47"/>
  <c r="P30" i="47"/>
  <c r="AD25" i="47"/>
  <c r="N25" i="47"/>
  <c r="O25" i="47" s="1"/>
  <c r="M24" i="47"/>
  <c r="L24" i="47"/>
  <c r="K24" i="47"/>
  <c r="J24" i="47"/>
  <c r="I24" i="47"/>
  <c r="H24" i="47"/>
  <c r="G24" i="47"/>
  <c r="F24" i="47"/>
  <c r="E24" i="47"/>
  <c r="D24" i="47"/>
  <c r="C24" i="47"/>
  <c r="B24" i="47"/>
  <c r="AD23" i="47"/>
  <c r="N23" i="47"/>
  <c r="O23" i="47"/>
  <c r="AC22" i="47"/>
  <c r="C5" i="48" s="1"/>
  <c r="N22" i="47"/>
  <c r="P46" i="46"/>
  <c r="P45" i="46"/>
  <c r="P44" i="46"/>
  <c r="P42" i="46"/>
  <c r="P41" i="46"/>
  <c r="K58" i="46" s="1"/>
  <c r="K69" i="46" s="1"/>
  <c r="K70" i="46" s="1"/>
  <c r="K36" i="46" s="1"/>
  <c r="P30" i="46"/>
  <c r="AD25" i="46"/>
  <c r="N25" i="46"/>
  <c r="O25" i="46"/>
  <c r="M24" i="46"/>
  <c r="L24" i="46"/>
  <c r="K24" i="46"/>
  <c r="J24" i="46"/>
  <c r="I24" i="46"/>
  <c r="H24" i="46"/>
  <c r="G24" i="46"/>
  <c r="F24" i="46"/>
  <c r="E24" i="46"/>
  <c r="N24" i="46" s="1"/>
  <c r="D24" i="46"/>
  <c r="C24" i="46"/>
  <c r="B24" i="46"/>
  <c r="AC23" i="46"/>
  <c r="G4" i="48" s="1"/>
  <c r="N23" i="46"/>
  <c r="O23" i="46" s="1"/>
  <c r="C4" i="48"/>
  <c r="N22" i="46"/>
  <c r="P48" i="45"/>
  <c r="P47" i="45"/>
  <c r="P46" i="45"/>
  <c r="P45" i="45"/>
  <c r="P44" i="45"/>
  <c r="P43" i="45"/>
  <c r="P42" i="45"/>
  <c r="P41" i="45"/>
  <c r="H57" i="45" s="1"/>
  <c r="K58" i="45"/>
  <c r="P30" i="45"/>
  <c r="N25" i="45"/>
  <c r="O25" i="45" s="1"/>
  <c r="AC24" i="45"/>
  <c r="M24" i="45"/>
  <c r="L24" i="45"/>
  <c r="K24" i="45"/>
  <c r="J24" i="45"/>
  <c r="I24" i="45"/>
  <c r="H24" i="45"/>
  <c r="G24" i="45"/>
  <c r="F24" i="45"/>
  <c r="E24" i="45"/>
  <c r="D24" i="45"/>
  <c r="C24" i="45"/>
  <c r="B24" i="45"/>
  <c r="N24" i="45" s="1"/>
  <c r="AD23" i="45"/>
  <c r="N23" i="45"/>
  <c r="O23" i="45" s="1"/>
  <c r="C2" i="48"/>
  <c r="N22" i="45"/>
  <c r="M24" i="40"/>
  <c r="L24" i="40"/>
  <c r="K24" i="40"/>
  <c r="J24" i="40"/>
  <c r="I24" i="40"/>
  <c r="H24" i="40"/>
  <c r="G24" i="40"/>
  <c r="F24" i="40"/>
  <c r="E24" i="40"/>
  <c r="D24" i="40"/>
  <c r="C24" i="40"/>
  <c r="N24" i="40" s="1"/>
  <c r="B24" i="40"/>
  <c r="K64" i="45"/>
  <c r="J64" i="45"/>
  <c r="H64" i="45"/>
  <c r="G64" i="45"/>
  <c r="F64" i="45"/>
  <c r="L63" i="45"/>
  <c r="K63" i="45"/>
  <c r="I63" i="45"/>
  <c r="F63" i="45"/>
  <c r="E63" i="45"/>
  <c r="D63" i="45"/>
  <c r="D61" i="47"/>
  <c r="E61" i="47"/>
  <c r="F61" i="47"/>
  <c r="K61" i="47"/>
  <c r="L61" i="47"/>
  <c r="N61" i="47"/>
  <c r="O61" i="47"/>
  <c r="E62" i="47"/>
  <c r="J62" i="47"/>
  <c r="J74" i="47" s="1"/>
  <c r="J75" i="47" s="1"/>
  <c r="J36" i="47" s="1"/>
  <c r="AJ17" i="36" s="1"/>
  <c r="K62" i="47"/>
  <c r="M62" i="47"/>
  <c r="D64" i="47"/>
  <c r="D63" i="47"/>
  <c r="E63" i="47"/>
  <c r="F63" i="47"/>
  <c r="G63" i="47"/>
  <c r="H63" i="47"/>
  <c r="P63" i="47" s="1"/>
  <c r="I63" i="47"/>
  <c r="J63" i="47"/>
  <c r="K63" i="47"/>
  <c r="L63" i="47"/>
  <c r="M63" i="47"/>
  <c r="N63" i="47"/>
  <c r="O63" i="47"/>
  <c r="E64" i="47"/>
  <c r="E74" i="47" s="1"/>
  <c r="E75" i="47" s="1"/>
  <c r="E36" i="47" s="1"/>
  <c r="AE17" i="36" s="1"/>
  <c r="F64" i="47"/>
  <c r="G64" i="47"/>
  <c r="H64" i="47"/>
  <c r="I64" i="47"/>
  <c r="J64" i="47"/>
  <c r="K64" i="47"/>
  <c r="L64" i="47"/>
  <c r="M64" i="47"/>
  <c r="N64" i="47"/>
  <c r="O64" i="47"/>
  <c r="E68" i="40"/>
  <c r="F68" i="40"/>
  <c r="I68" i="40"/>
  <c r="J68" i="40"/>
  <c r="N68" i="40"/>
  <c r="O68" i="40"/>
  <c r="E69" i="40"/>
  <c r="J69" i="40"/>
  <c r="K69" i="40"/>
  <c r="M69" i="40"/>
  <c r="N69" i="40"/>
  <c r="O69" i="40"/>
  <c r="E70" i="40"/>
  <c r="F70" i="40"/>
  <c r="G70" i="40"/>
  <c r="P70" i="40" s="1"/>
  <c r="H70" i="40"/>
  <c r="I70" i="40"/>
  <c r="J70" i="40"/>
  <c r="K70" i="40"/>
  <c r="L70" i="40"/>
  <c r="M70" i="40"/>
  <c r="N70" i="40"/>
  <c r="O70" i="40"/>
  <c r="E71" i="40"/>
  <c r="F71" i="40"/>
  <c r="G71" i="40"/>
  <c r="H71" i="40"/>
  <c r="I71" i="40"/>
  <c r="J71" i="40"/>
  <c r="K71" i="40"/>
  <c r="L71" i="40"/>
  <c r="M71" i="40"/>
  <c r="N71" i="40"/>
  <c r="O71" i="40"/>
  <c r="D71" i="40"/>
  <c r="D70" i="40"/>
  <c r="N57" i="46"/>
  <c r="M57" i="46"/>
  <c r="L58" i="46"/>
  <c r="L57" i="46"/>
  <c r="K57" i="46"/>
  <c r="I58" i="46"/>
  <c r="I57" i="46"/>
  <c r="H58" i="46"/>
  <c r="H57" i="46"/>
  <c r="G58" i="46"/>
  <c r="G57" i="46"/>
  <c r="E57" i="46"/>
  <c r="D58" i="46"/>
  <c r="O57" i="46"/>
  <c r="D57" i="46"/>
  <c r="I60" i="46"/>
  <c r="I59" i="46"/>
  <c r="H60" i="46"/>
  <c r="H59" i="46"/>
  <c r="G60" i="46"/>
  <c r="G59" i="46"/>
  <c r="F60" i="46"/>
  <c r="F59" i="46"/>
  <c r="E60" i="46"/>
  <c r="E59" i="46"/>
  <c r="D60" i="46"/>
  <c r="D59" i="46"/>
  <c r="J61" i="46"/>
  <c r="K62" i="46"/>
  <c r="H58" i="45"/>
  <c r="F58" i="45"/>
  <c r="F57" i="45"/>
  <c r="F74" i="45" s="1"/>
  <c r="F75" i="45" s="1"/>
  <c r="F35" i="45" s="1"/>
  <c r="D57" i="45"/>
  <c r="O58" i="45"/>
  <c r="L58" i="45"/>
  <c r="L57" i="45"/>
  <c r="L74" i="45" s="1"/>
  <c r="L75" i="45" s="1"/>
  <c r="L35" i="45" s="1"/>
  <c r="J58" i="45"/>
  <c r="J57" i="45"/>
  <c r="G60" i="45"/>
  <c r="G59" i="45"/>
  <c r="F60" i="45"/>
  <c r="F59" i="45"/>
  <c r="E60" i="45"/>
  <c r="E59" i="45"/>
  <c r="D60" i="45"/>
  <c r="D59" i="45"/>
  <c r="O60" i="45"/>
  <c r="O59" i="45"/>
  <c r="N60" i="45"/>
  <c r="N59" i="45"/>
  <c r="M60" i="45"/>
  <c r="M59" i="45"/>
  <c r="L60" i="45"/>
  <c r="L59" i="45"/>
  <c r="K60" i="45"/>
  <c r="K59" i="45"/>
  <c r="J60" i="45"/>
  <c r="J59" i="45"/>
  <c r="I60" i="45"/>
  <c r="I59" i="45"/>
  <c r="H60" i="45"/>
  <c r="H59" i="45"/>
  <c r="D62" i="45"/>
  <c r="D61" i="45"/>
  <c r="O62" i="45"/>
  <c r="O61" i="45"/>
  <c r="N62" i="45"/>
  <c r="N61" i="45"/>
  <c r="M61" i="45"/>
  <c r="L62" i="45"/>
  <c r="L61" i="45"/>
  <c r="K62" i="45"/>
  <c r="K61" i="45"/>
  <c r="J62" i="45"/>
  <c r="I61" i="45"/>
  <c r="H62" i="45"/>
  <c r="H61" i="45"/>
  <c r="G62" i="45"/>
  <c r="G61" i="45"/>
  <c r="F61" i="45"/>
  <c r="AE25" i="47"/>
  <c r="AE25" i="46"/>
  <c r="AQ19" i="36"/>
  <c r="AQ18" i="36"/>
  <c r="AP19" i="36"/>
  <c r="AP18" i="36"/>
  <c r="N22" i="40"/>
  <c r="BK60" i="37"/>
  <c r="BJ60" i="37"/>
  <c r="BI60" i="37"/>
  <c r="BH60" i="37"/>
  <c r="BG60" i="37"/>
  <c r="BF60" i="37"/>
  <c r="BE60" i="37"/>
  <c r="BD60" i="37"/>
  <c r="BC60" i="37"/>
  <c r="BB60" i="37"/>
  <c r="BA60" i="37"/>
  <c r="AZ60" i="37"/>
  <c r="AW60" i="37"/>
  <c r="AS60" i="37"/>
  <c r="AO60" i="37"/>
  <c r="AN60" i="37"/>
  <c r="AM60" i="37"/>
  <c r="AL60" i="37"/>
  <c r="AK60" i="37"/>
  <c r="AJ60" i="37"/>
  <c r="AI60" i="37"/>
  <c r="AH60" i="37"/>
  <c r="AE60" i="37"/>
  <c r="AD60" i="37"/>
  <c r="AC60" i="37"/>
  <c r="AB60" i="37"/>
  <c r="AA60" i="37"/>
  <c r="Z60" i="37"/>
  <c r="Y60" i="37"/>
  <c r="X60" i="37"/>
  <c r="W60" i="37"/>
  <c r="V60" i="37"/>
  <c r="U60" i="37"/>
  <c r="T60" i="37"/>
  <c r="Q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W32" i="37"/>
  <c r="AS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AY32" i="37" s="1"/>
  <c r="S12" i="37"/>
  <c r="S13" i="37"/>
  <c r="S14" i="37"/>
  <c r="S15" i="37"/>
  <c r="S16" i="37"/>
  <c r="S17" i="37"/>
  <c r="S18" i="37"/>
  <c r="S19" i="37"/>
  <c r="S20" i="37"/>
  <c r="S21" i="37"/>
  <c r="S22" i="37"/>
  <c r="S23" i="37"/>
  <c r="S24" i="37"/>
  <c r="S25" i="37"/>
  <c r="S26" i="37"/>
  <c r="S27" i="37"/>
  <c r="S28" i="37"/>
  <c r="S29" i="37"/>
  <c r="S30" i="37"/>
  <c r="S31" i="37"/>
  <c r="S11" i="37"/>
  <c r="J32" i="37"/>
  <c r="AX14" i="37"/>
  <c r="AX15" i="37"/>
  <c r="AX16" i="37"/>
  <c r="AX17" i="37"/>
  <c r="AX18" i="37"/>
  <c r="AX19" i="37"/>
  <c r="AX20" i="37"/>
  <c r="AX21" i="37"/>
  <c r="AX22" i="37"/>
  <c r="N23" i="40"/>
  <c r="O23" i="40" s="1"/>
  <c r="T32" i="37"/>
  <c r="U32" i="37"/>
  <c r="V32" i="37"/>
  <c r="W32" i="37"/>
  <c r="X32" i="37"/>
  <c r="AZ32" i="37"/>
  <c r="BA32" i="37"/>
  <c r="BB32" i="37"/>
  <c r="BC32" i="37"/>
  <c r="BD32" i="37"/>
  <c r="BE32" i="37"/>
  <c r="AC24" i="40"/>
  <c r="C3" i="48"/>
  <c r="N25" i="40"/>
  <c r="O25" i="40"/>
  <c r="P48" i="40"/>
  <c r="P47" i="40"/>
  <c r="P46" i="40"/>
  <c r="P45" i="40"/>
  <c r="P44" i="40"/>
  <c r="P43" i="40"/>
  <c r="L62" i="40" s="1"/>
  <c r="P42" i="40"/>
  <c r="P41" i="40"/>
  <c r="P30" i="40"/>
  <c r="AX12" i="37"/>
  <c r="AX13" i="37"/>
  <c r="AX23" i="37"/>
  <c r="AX24" i="37"/>
  <c r="AX25" i="37"/>
  <c r="AX26" i="37"/>
  <c r="AX27" i="37"/>
  <c r="AX28" i="37"/>
  <c r="AX29" i="37"/>
  <c r="AX30" i="37"/>
  <c r="AX31" i="37"/>
  <c r="R12" i="37"/>
  <c r="R13" i="37"/>
  <c r="R14" i="37"/>
  <c r="R15" i="37"/>
  <c r="R16" i="37"/>
  <c r="R17" i="37"/>
  <c r="R18" i="37"/>
  <c r="R19" i="37"/>
  <c r="R20" i="37"/>
  <c r="R21" i="37"/>
  <c r="R22" i="37"/>
  <c r="R23" i="37"/>
  <c r="R24" i="37"/>
  <c r="R25" i="37"/>
  <c r="R26" i="37"/>
  <c r="R27" i="37"/>
  <c r="R28" i="37"/>
  <c r="R29" i="37"/>
  <c r="R30" i="37"/>
  <c r="R31" i="37"/>
  <c r="C32" i="37"/>
  <c r="D32" i="37"/>
  <c r="F32" i="37"/>
  <c r="G32" i="37"/>
  <c r="H32" i="37"/>
  <c r="Y32" i="37"/>
  <c r="Z32" i="37"/>
  <c r="AA32" i="37"/>
  <c r="AB32" i="37"/>
  <c r="AC32" i="37"/>
  <c r="AD32" i="37"/>
  <c r="AE32" i="37"/>
  <c r="B32" i="37"/>
  <c r="BK32" i="37"/>
  <c r="BJ32" i="37"/>
  <c r="BI32" i="37"/>
  <c r="BH32" i="37"/>
  <c r="BG32" i="37"/>
  <c r="BF32" i="37"/>
  <c r="I60" i="40"/>
  <c r="J60" i="40"/>
  <c r="L60" i="40"/>
  <c r="O60" i="40"/>
  <c r="E61" i="40"/>
  <c r="H61" i="40"/>
  <c r="I61" i="40"/>
  <c r="M61" i="40"/>
  <c r="N61" i="40"/>
  <c r="O61" i="40"/>
  <c r="H62" i="40"/>
  <c r="J62" i="40"/>
  <c r="K62" i="40"/>
  <c r="G63" i="40"/>
  <c r="I63" i="40"/>
  <c r="L63" i="40"/>
  <c r="D62" i="40"/>
  <c r="E64" i="40"/>
  <c r="F64" i="40"/>
  <c r="G64" i="40"/>
  <c r="P64" i="40" s="1"/>
  <c r="H64" i="40"/>
  <c r="I64" i="40"/>
  <c r="J64" i="40"/>
  <c r="K64" i="40"/>
  <c r="L64" i="40"/>
  <c r="M64" i="40"/>
  <c r="N64" i="40"/>
  <c r="O64" i="40"/>
  <c r="E65" i="40"/>
  <c r="F65" i="40"/>
  <c r="G65" i="40"/>
  <c r="H65" i="40"/>
  <c r="I65" i="40"/>
  <c r="J65" i="40"/>
  <c r="K65" i="40"/>
  <c r="L65" i="40"/>
  <c r="M65" i="40"/>
  <c r="N65" i="40"/>
  <c r="O65" i="40"/>
  <c r="D65" i="40"/>
  <c r="D64" i="40"/>
  <c r="G66" i="40"/>
  <c r="H66" i="40"/>
  <c r="I66" i="40"/>
  <c r="J66" i="40"/>
  <c r="K66" i="40"/>
  <c r="L66" i="40"/>
  <c r="M66" i="40"/>
  <c r="N66" i="40"/>
  <c r="O66" i="40"/>
  <c r="E67" i="40"/>
  <c r="H67" i="40"/>
  <c r="I67" i="40"/>
  <c r="J67" i="40"/>
  <c r="K67" i="40"/>
  <c r="L67" i="40"/>
  <c r="M67" i="40"/>
  <c r="D67" i="40"/>
  <c r="D66" i="40"/>
  <c r="K77" i="47"/>
  <c r="K78" i="47" s="1"/>
  <c r="K35" i="47" s="1"/>
  <c r="H71" i="45"/>
  <c r="H72" i="45" s="1"/>
  <c r="H36" i="45" s="1"/>
  <c r="AH14" i="36" s="1"/>
  <c r="K71" i="45"/>
  <c r="K72" i="45" s="1"/>
  <c r="K36" i="45" s="1"/>
  <c r="AK14" i="36" s="1"/>
  <c r="N35" i="47"/>
  <c r="P60" i="46"/>
  <c r="S32" i="37" l="1"/>
  <c r="AX86" i="37"/>
  <c r="AQ39" i="37"/>
  <c r="AQ60" i="37" s="1"/>
  <c r="AK16" i="36"/>
  <c r="J81" i="40"/>
  <c r="J82" i="40" s="1"/>
  <c r="P60" i="45"/>
  <c r="J71" i="45"/>
  <c r="J72" i="45" s="1"/>
  <c r="J36" i="45" s="1"/>
  <c r="AJ14" i="36" s="1"/>
  <c r="O62" i="46"/>
  <c r="G62" i="46"/>
  <c r="G69" i="46" s="1"/>
  <c r="G70" i="46" s="1"/>
  <c r="G36" i="46" s="1"/>
  <c r="AG16" i="36" s="1"/>
  <c r="O61" i="46"/>
  <c r="N62" i="46"/>
  <c r="M62" i="46"/>
  <c r="H61" i="46"/>
  <c r="H72" i="46" s="1"/>
  <c r="H73" i="46" s="1"/>
  <c r="H35" i="46" s="1"/>
  <c r="D61" i="46"/>
  <c r="I61" i="46"/>
  <c r="I72" i="46" s="1"/>
  <c r="I73" i="46" s="1"/>
  <c r="I35" i="46" s="1"/>
  <c r="N61" i="46"/>
  <c r="H62" i="46"/>
  <c r="M61" i="46"/>
  <c r="M72" i="46" s="1"/>
  <c r="M73" i="46" s="1"/>
  <c r="M35" i="46" s="1"/>
  <c r="N39" i="37" s="1"/>
  <c r="N60" i="37" s="1"/>
  <c r="G61" i="46"/>
  <c r="G72" i="46" s="1"/>
  <c r="G73" i="46" s="1"/>
  <c r="G35" i="46" s="1"/>
  <c r="L62" i="46"/>
  <c r="F61" i="46"/>
  <c r="L61" i="46"/>
  <c r="J62" i="46"/>
  <c r="E62" i="46"/>
  <c r="K61" i="46"/>
  <c r="I62" i="46"/>
  <c r="D62" i="46"/>
  <c r="S39" i="37"/>
  <c r="S60" i="37" s="1"/>
  <c r="M60" i="37"/>
  <c r="P65" i="40"/>
  <c r="P59" i="45"/>
  <c r="R59" i="45" s="1"/>
  <c r="E61" i="46"/>
  <c r="I69" i="46"/>
  <c r="I70" i="46" s="1"/>
  <c r="I36" i="46" s="1"/>
  <c r="AI16" i="36" s="1"/>
  <c r="H74" i="45"/>
  <c r="H75" i="45" s="1"/>
  <c r="H35" i="45" s="1"/>
  <c r="F62" i="46"/>
  <c r="L72" i="46"/>
  <c r="L73" i="46" s="1"/>
  <c r="L35" i="46" s="1"/>
  <c r="L39" i="37" s="1"/>
  <c r="L60" i="37" s="1"/>
  <c r="P71" i="40"/>
  <c r="P65" i="47"/>
  <c r="D74" i="45"/>
  <c r="D75" i="45" s="1"/>
  <c r="M63" i="40"/>
  <c r="M78" i="40" s="1"/>
  <c r="M79" i="40" s="1"/>
  <c r="M36" i="40" s="1"/>
  <c r="AM15" i="36" s="1"/>
  <c r="F60" i="40"/>
  <c r="N60" i="40"/>
  <c r="K61" i="40"/>
  <c r="E60" i="40"/>
  <c r="M60" i="40"/>
  <c r="J61" i="40"/>
  <c r="O57" i="45"/>
  <c r="O72" i="46"/>
  <c r="O73" i="46" s="1"/>
  <c r="O35" i="46" s="1"/>
  <c r="P39" i="37" s="1"/>
  <c r="P60" i="37" s="1"/>
  <c r="L64" i="45"/>
  <c r="L71" i="45" s="1"/>
  <c r="L72" i="45" s="1"/>
  <c r="L36" i="45" s="1"/>
  <c r="AL14" i="36" s="1"/>
  <c r="O63" i="45"/>
  <c r="G63" i="45"/>
  <c r="M64" i="45"/>
  <c r="E64" i="45"/>
  <c r="H63" i="45"/>
  <c r="N24" i="47"/>
  <c r="J61" i="47"/>
  <c r="J77" i="47" s="1"/>
  <c r="J78" i="47" s="1"/>
  <c r="J35" i="47" s="1"/>
  <c r="G62" i="47"/>
  <c r="O62" i="47"/>
  <c r="O74" i="47" s="1"/>
  <c r="O75" i="47" s="1"/>
  <c r="O36" i="47" s="1"/>
  <c r="AO17" i="36" s="1"/>
  <c r="I61" i="47"/>
  <c r="F62" i="47"/>
  <c r="F74" i="47" s="1"/>
  <c r="F75" i="47" s="1"/>
  <c r="F36" i="47" s="1"/>
  <c r="AF17" i="36" s="1"/>
  <c r="N62" i="47"/>
  <c r="N74" i="47" s="1"/>
  <c r="N75" i="47" s="1"/>
  <c r="N36" i="47" s="1"/>
  <c r="AN17" i="36" s="1"/>
  <c r="L68" i="40"/>
  <c r="L81" i="40" s="1"/>
  <c r="L82" i="40" s="1"/>
  <c r="L35" i="40" s="1"/>
  <c r="I69" i="40"/>
  <c r="I78" i="40" s="1"/>
  <c r="I79" i="40" s="1"/>
  <c r="D68" i="40"/>
  <c r="P68" i="40" s="1"/>
  <c r="K68" i="40"/>
  <c r="H69" i="40"/>
  <c r="D69" i="40"/>
  <c r="F67" i="47"/>
  <c r="F77" i="47" s="1"/>
  <c r="F78" i="47" s="1"/>
  <c r="F35" i="47" s="1"/>
  <c r="L3" i="48"/>
  <c r="L67" i="47"/>
  <c r="L77" i="47" s="1"/>
  <c r="L78" i="47" s="1"/>
  <c r="L35" i="47" s="1"/>
  <c r="F62" i="40"/>
  <c r="N62" i="40"/>
  <c r="K63" i="40"/>
  <c r="E62" i="40"/>
  <c r="M62" i="40"/>
  <c r="J63" i="40"/>
  <c r="E72" i="46"/>
  <c r="E73" i="46" s="1"/>
  <c r="E35" i="46" s="1"/>
  <c r="K72" i="46"/>
  <c r="K73" i="46" s="1"/>
  <c r="K35" i="46" s="1"/>
  <c r="K39" i="37" s="1"/>
  <c r="K60" i="37" s="1"/>
  <c r="I57" i="45"/>
  <c r="I74" i="45" s="1"/>
  <c r="I75" i="45" s="1"/>
  <c r="I35" i="45" s="1"/>
  <c r="E57" i="45"/>
  <c r="P57" i="45" s="1"/>
  <c r="M57" i="45"/>
  <c r="I58" i="45"/>
  <c r="E58" i="45"/>
  <c r="M58" i="45"/>
  <c r="H63" i="40"/>
  <c r="I62" i="40"/>
  <c r="I81" i="40" s="1"/>
  <c r="I82" i="40" s="1"/>
  <c r="L61" i="40"/>
  <c r="L78" i="40" s="1"/>
  <c r="L79" i="40" s="1"/>
  <c r="L36" i="40" s="1"/>
  <c r="AL15" i="36" s="1"/>
  <c r="K60" i="40"/>
  <c r="K81" i="40" s="1"/>
  <c r="K82" i="40" s="1"/>
  <c r="K35" i="40" s="1"/>
  <c r="AE23" i="46"/>
  <c r="K57" i="45"/>
  <c r="K74" i="45" s="1"/>
  <c r="K75" i="45" s="1"/>
  <c r="K35" i="45" s="1"/>
  <c r="D58" i="45"/>
  <c r="P59" i="46"/>
  <c r="E58" i="46"/>
  <c r="E69" i="46" s="1"/>
  <c r="E70" i="46" s="1"/>
  <c r="E36" i="46" s="1"/>
  <c r="AE16" i="36" s="1"/>
  <c r="L69" i="40"/>
  <c r="M68" i="40"/>
  <c r="L62" i="47"/>
  <c r="L74" i="47" s="1"/>
  <c r="L75" i="47" s="1"/>
  <c r="L36" i="47" s="1"/>
  <c r="AL17" i="36" s="1"/>
  <c r="M61" i="47"/>
  <c r="M77" i="47" s="1"/>
  <c r="M78" i="47" s="1"/>
  <c r="M35" i="47" s="1"/>
  <c r="D62" i="47"/>
  <c r="J63" i="45"/>
  <c r="I64" i="45"/>
  <c r="H6" i="48"/>
  <c r="P66" i="47"/>
  <c r="E67" i="47"/>
  <c r="E77" i="47" s="1"/>
  <c r="E78" i="47" s="1"/>
  <c r="E35" i="47" s="1"/>
  <c r="M68" i="47"/>
  <c r="I67" i="47"/>
  <c r="D68" i="47"/>
  <c r="D67" i="47"/>
  <c r="G68" i="47"/>
  <c r="K68" i="47"/>
  <c r="K74" i="47" s="1"/>
  <c r="K75" i="47" s="1"/>
  <c r="K36" i="47" s="1"/>
  <c r="AK17" i="36" s="1"/>
  <c r="O67" i="47"/>
  <c r="O77" i="47" s="1"/>
  <c r="O78" i="47" s="1"/>
  <c r="O35" i="47" s="1"/>
  <c r="D63" i="40"/>
  <c r="F63" i="40"/>
  <c r="G62" i="40"/>
  <c r="F71" i="45"/>
  <c r="F72" i="45" s="1"/>
  <c r="F36" i="45" s="1"/>
  <c r="AF14" i="36" s="1"/>
  <c r="L69" i="46"/>
  <c r="L70" i="46" s="1"/>
  <c r="L36" i="46" s="1"/>
  <c r="O63" i="40"/>
  <c r="O78" i="40" s="1"/>
  <c r="O79" i="40" s="1"/>
  <c r="O36" i="40" s="1"/>
  <c r="AO15" i="36" s="1"/>
  <c r="E63" i="40"/>
  <c r="E78" i="40" s="1"/>
  <c r="E79" i="40" s="1"/>
  <c r="D60" i="40"/>
  <c r="G61" i="40"/>
  <c r="H60" i="40"/>
  <c r="H81" i="40" s="1"/>
  <c r="H82" i="40" s="1"/>
  <c r="F66" i="40"/>
  <c r="G67" i="40"/>
  <c r="O67" i="40"/>
  <c r="E66" i="40"/>
  <c r="P66" i="40" s="1"/>
  <c r="F67" i="40"/>
  <c r="N67" i="40"/>
  <c r="N57" i="45"/>
  <c r="G57" i="45"/>
  <c r="G74" i="45" s="1"/>
  <c r="G75" i="45" s="1"/>
  <c r="G35" i="45" s="1"/>
  <c r="G69" i="40"/>
  <c r="H68" i="40"/>
  <c r="I62" i="47"/>
  <c r="I74" i="47" s="1"/>
  <c r="I75" i="47" s="1"/>
  <c r="I36" i="47" s="1"/>
  <c r="AI17" i="36" s="1"/>
  <c r="H61" i="47"/>
  <c r="H77" i="47" s="1"/>
  <c r="H78" i="47" s="1"/>
  <c r="H35" i="47" s="1"/>
  <c r="M63" i="45"/>
  <c r="N64" i="45"/>
  <c r="E61" i="45"/>
  <c r="P61" i="45" s="1"/>
  <c r="R61" i="45" s="1"/>
  <c r="M62" i="45"/>
  <c r="I62" i="45"/>
  <c r="E62" i="45"/>
  <c r="F62" i="45"/>
  <c r="J61" i="45"/>
  <c r="J74" i="45" s="1"/>
  <c r="J75" i="45" s="1"/>
  <c r="J35" i="45" s="1"/>
  <c r="J57" i="46"/>
  <c r="J72" i="46" s="1"/>
  <c r="J73" i="46" s="1"/>
  <c r="J35" i="46" s="1"/>
  <c r="J39" i="37" s="1"/>
  <c r="F57" i="46"/>
  <c r="N58" i="46"/>
  <c r="N69" i="46" s="1"/>
  <c r="N70" i="46" s="1"/>
  <c r="N36" i="46" s="1"/>
  <c r="M58" i="46"/>
  <c r="M69" i="46" s="1"/>
  <c r="M70" i="46" s="1"/>
  <c r="M36" i="46" s="1"/>
  <c r="O58" i="46"/>
  <c r="O69" i="46" s="1"/>
  <c r="O70" i="46" s="1"/>
  <c r="O36" i="46" s="1"/>
  <c r="J58" i="46"/>
  <c r="J69" i="46" s="1"/>
  <c r="J70" i="46" s="1"/>
  <c r="J36" i="46" s="1"/>
  <c r="F58" i="46"/>
  <c r="F69" i="46" s="1"/>
  <c r="F70" i="46" s="1"/>
  <c r="F36" i="46" s="1"/>
  <c r="AF16" i="36" s="1"/>
  <c r="N6" i="48"/>
  <c r="N63" i="40"/>
  <c r="N78" i="40" s="1"/>
  <c r="N79" i="40" s="1"/>
  <c r="N36" i="40" s="1"/>
  <c r="AN15" i="36" s="1"/>
  <c r="O62" i="40"/>
  <c r="O81" i="40" s="1"/>
  <c r="O82" i="40" s="1"/>
  <c r="O35" i="40" s="1"/>
  <c r="D61" i="40"/>
  <c r="F61" i="40"/>
  <c r="G60" i="40"/>
  <c r="G81" i="40" s="1"/>
  <c r="G82" i="40" s="1"/>
  <c r="N58" i="45"/>
  <c r="G58" i="45"/>
  <c r="G71" i="45" s="1"/>
  <c r="G72" i="45" s="1"/>
  <c r="G36" i="45" s="1"/>
  <c r="AG14" i="36" s="1"/>
  <c r="D72" i="46"/>
  <c r="D73" i="46" s="1"/>
  <c r="H69" i="46"/>
  <c r="H70" i="46" s="1"/>
  <c r="H36" i="46" s="1"/>
  <c r="AH16" i="36" s="1"/>
  <c r="N72" i="46"/>
  <c r="N73" i="46" s="1"/>
  <c r="N35" i="46" s="1"/>
  <c r="O39" i="37" s="1"/>
  <c r="O60" i="37" s="1"/>
  <c r="F69" i="40"/>
  <c r="G68" i="40"/>
  <c r="H62" i="47"/>
  <c r="H74" i="47" s="1"/>
  <c r="H75" i="47" s="1"/>
  <c r="H36" i="47" s="1"/>
  <c r="AH17" i="36" s="1"/>
  <c r="G61" i="47"/>
  <c r="G77" i="47" s="1"/>
  <c r="G78" i="47" s="1"/>
  <c r="G35" i="47" s="1"/>
  <c r="D64" i="45"/>
  <c r="P64" i="45" s="1"/>
  <c r="R64" i="45" s="1"/>
  <c r="N63" i="45"/>
  <c r="P63" i="45" s="1"/>
  <c r="R63" i="45" s="1"/>
  <c r="O64" i="45"/>
  <c r="O71" i="45" s="1"/>
  <c r="O72" i="45" s="1"/>
  <c r="O36" i="45" s="1"/>
  <c r="AO14" i="36" s="1"/>
  <c r="T2" i="48"/>
  <c r="T6" i="48" s="1"/>
  <c r="AW12" i="52"/>
  <c r="BH12" i="52" s="1"/>
  <c r="BC15" i="52"/>
  <c r="AW24" i="52"/>
  <c r="BC27" i="52"/>
  <c r="BH33" i="52"/>
  <c r="BH7" i="52"/>
  <c r="AY12" i="52"/>
  <c r="AY13" i="52"/>
  <c r="BH13" i="52" s="1"/>
  <c r="BA14" i="52"/>
  <c r="BE15" i="52"/>
  <c r="AY24" i="52"/>
  <c r="AY25" i="52"/>
  <c r="BH25" i="52" s="1"/>
  <c r="BA26" i="52"/>
  <c r="BE27" i="52"/>
  <c r="BA12" i="52"/>
  <c r="BA13" i="52"/>
  <c r="BC14" i="52"/>
  <c r="BA24" i="52"/>
  <c r="BA25" i="52"/>
  <c r="BC26" i="52"/>
  <c r="BR31" i="52"/>
  <c r="BR37" i="52"/>
  <c r="BP54" i="52"/>
  <c r="BR56" i="52" s="1"/>
  <c r="BH8" i="52"/>
  <c r="BC12" i="52"/>
  <c r="BC13" i="52"/>
  <c r="BE14" i="52"/>
  <c r="BC24" i="52"/>
  <c r="BC25" i="52"/>
  <c r="BE26" i="52"/>
  <c r="BM37" i="52"/>
  <c r="BL37" i="52"/>
  <c r="BE13" i="52"/>
  <c r="BE25" i="52"/>
  <c r="BP66" i="52"/>
  <c r="BU37" i="52"/>
  <c r="BT31" i="52"/>
  <c r="BH5" i="52"/>
  <c r="BH9" i="52"/>
  <c r="BH10" i="52"/>
  <c r="BE16" i="52"/>
  <c r="BE28" i="52"/>
  <c r="BH30" i="52"/>
  <c r="BP65" i="52"/>
  <c r="BQ65" i="52" s="1"/>
  <c r="AE23" i="47"/>
  <c r="AE23" i="45"/>
  <c r="G2" i="48"/>
  <c r="P64" i="47"/>
  <c r="AD23" i="46"/>
  <c r="R6" i="48"/>
  <c r="BL47" i="52"/>
  <c r="BZ9" i="52"/>
  <c r="BZ31" i="52" s="1"/>
  <c r="BA23" i="52"/>
  <c r="BE23" i="52"/>
  <c r="BC23" i="52"/>
  <c r="BP41" i="52"/>
  <c r="BP4" i="52"/>
  <c r="BX31" i="52"/>
  <c r="BC22" i="52"/>
  <c r="BE22" i="52"/>
  <c r="BA22" i="52"/>
  <c r="AY22" i="52"/>
  <c r="BV31" i="52"/>
  <c r="BV37" i="52" s="1"/>
  <c r="AW22" i="52"/>
  <c r="BP87" i="52"/>
  <c r="BH4" i="52"/>
  <c r="AW23" i="52"/>
  <c r="BG37" i="52"/>
  <c r="BC21" i="52"/>
  <c r="AY21" i="52"/>
  <c r="AW21" i="52"/>
  <c r="BE21" i="52"/>
  <c r="BA21" i="52"/>
  <c r="AY23" i="52"/>
  <c r="BT37" i="52"/>
  <c r="BN37" i="52"/>
  <c r="CB31" i="52"/>
  <c r="AW20" i="52"/>
  <c r="AW19" i="52"/>
  <c r="CA7" i="52"/>
  <c r="CA31" i="52" s="1"/>
  <c r="AW18" i="52"/>
  <c r="BA20" i="52"/>
  <c r="AW17" i="52"/>
  <c r="BA19" i="52"/>
  <c r="BN44" i="52"/>
  <c r="AW16" i="52"/>
  <c r="BA18" i="52"/>
  <c r="BE20" i="52"/>
  <c r="AW28" i="52"/>
  <c r="AW15" i="52"/>
  <c r="BE19" i="52"/>
  <c r="BJ45" i="52"/>
  <c r="AW14" i="52"/>
  <c r="BH14" i="52" s="1"/>
  <c r="AY15" i="52"/>
  <c r="BA16" i="52"/>
  <c r="BC17" i="52"/>
  <c r="BE18" i="52"/>
  <c r="AW26" i="52"/>
  <c r="AY27" i="52"/>
  <c r="BA28" i="52"/>
  <c r="BC29" i="52"/>
  <c r="AY20" i="52"/>
  <c r="BH2" i="52"/>
  <c r="AY19" i="52"/>
  <c r="AY18" i="52"/>
  <c r="AW29" i="52"/>
  <c r="AY17" i="52"/>
  <c r="AY29" i="52"/>
  <c r="AY16" i="52"/>
  <c r="BA17" i="52"/>
  <c r="AW27" i="52"/>
  <c r="AY28" i="52"/>
  <c r="BA29" i="52"/>
  <c r="BI39" i="52"/>
  <c r="M74" i="47"/>
  <c r="M75" i="47" s="1"/>
  <c r="M36" i="47" s="1"/>
  <c r="Q6" i="48"/>
  <c r="C6" i="48"/>
  <c r="R57" i="45" l="1"/>
  <c r="P74" i="45"/>
  <c r="AR11" i="37"/>
  <c r="AR32" i="37" s="1"/>
  <c r="L11" i="37"/>
  <c r="L32" i="37" s="1"/>
  <c r="P11" i="37"/>
  <c r="P32" i="37" s="1"/>
  <c r="AV11" i="37"/>
  <c r="AV32" i="37" s="1"/>
  <c r="AN16" i="36"/>
  <c r="AU39" i="37"/>
  <c r="AU60" i="37" s="1"/>
  <c r="BH27" i="52"/>
  <c r="R7" i="48"/>
  <c r="P68" i="47"/>
  <c r="D74" i="47"/>
  <c r="D75" i="47" s="1"/>
  <c r="D36" i="47" s="1"/>
  <c r="AD17" i="36" s="1"/>
  <c r="I71" i="45"/>
  <c r="I72" i="45" s="1"/>
  <c r="I36" i="45" s="1"/>
  <c r="AI14" i="36" s="1"/>
  <c r="P62" i="40"/>
  <c r="N81" i="40"/>
  <c r="N82" i="40" s="1"/>
  <c r="N35" i="40" s="1"/>
  <c r="D35" i="46"/>
  <c r="AO16" i="36"/>
  <c r="AV39" i="37"/>
  <c r="AV60" i="37" s="1"/>
  <c r="P62" i="47"/>
  <c r="P74" i="47" s="1"/>
  <c r="BO37" i="52"/>
  <c r="F78" i="40"/>
  <c r="F79" i="40" s="1"/>
  <c r="AT39" i="37"/>
  <c r="AT60" i="37" s="1"/>
  <c r="AM16" i="36"/>
  <c r="M74" i="45"/>
  <c r="M75" i="45" s="1"/>
  <c r="M35" i="45" s="1"/>
  <c r="G74" i="47"/>
  <c r="G75" i="47" s="1"/>
  <c r="G36" i="47" s="1"/>
  <c r="AG17" i="36" s="1"/>
  <c r="F81" i="40"/>
  <c r="F82" i="40" s="1"/>
  <c r="P62" i="46"/>
  <c r="D69" i="46"/>
  <c r="D70" i="46" s="1"/>
  <c r="K11" i="37"/>
  <c r="AQ11" i="37"/>
  <c r="BH26" i="52"/>
  <c r="F72" i="46"/>
  <c r="F73" i="46" s="1"/>
  <c r="F35" i="46" s="1"/>
  <c r="P57" i="46"/>
  <c r="P72" i="46" s="1"/>
  <c r="N74" i="45"/>
  <c r="N75" i="45" s="1"/>
  <c r="N35" i="45" s="1"/>
  <c r="G78" i="40"/>
  <c r="G79" i="40" s="1"/>
  <c r="P63" i="40"/>
  <c r="O74" i="45"/>
  <c r="O75" i="45" s="1"/>
  <c r="O35" i="45" s="1"/>
  <c r="D35" i="45"/>
  <c r="P35" i="45" s="1"/>
  <c r="D78" i="40"/>
  <c r="D79" i="40" s="1"/>
  <c r="P61" i="40"/>
  <c r="E74" i="45"/>
  <c r="E75" i="45" s="1"/>
  <c r="E35" i="45" s="1"/>
  <c r="BE37" i="52"/>
  <c r="BE49" i="52" s="1"/>
  <c r="BP85" i="52" s="1"/>
  <c r="BQ85" i="52" s="1"/>
  <c r="R39" i="37"/>
  <c r="R60" i="37" s="1"/>
  <c r="J60" i="37"/>
  <c r="D81" i="40"/>
  <c r="D82" i="40" s="1"/>
  <c r="P60" i="40"/>
  <c r="J78" i="40"/>
  <c r="J79" i="40" s="1"/>
  <c r="P58" i="46"/>
  <c r="P69" i="46" s="1"/>
  <c r="P67" i="40"/>
  <c r="H78" i="40"/>
  <c r="H79" i="40" s="1"/>
  <c r="M81" i="40"/>
  <c r="M82" i="40" s="1"/>
  <c r="M35" i="40" s="1"/>
  <c r="P35" i="40" s="1"/>
  <c r="P61" i="47"/>
  <c r="P77" i="47" s="1"/>
  <c r="M71" i="45"/>
  <c r="M72" i="45" s="1"/>
  <c r="M36" i="45" s="1"/>
  <c r="AM14" i="36" s="1"/>
  <c r="E81" i="40"/>
  <c r="E82" i="40" s="1"/>
  <c r="P61" i="46"/>
  <c r="R60" i="45"/>
  <c r="Q60" i="45"/>
  <c r="BC37" i="52"/>
  <c r="BC49" i="52" s="1"/>
  <c r="BP84" i="52" s="1"/>
  <c r="BQ84" i="52" s="1"/>
  <c r="BH22" i="52"/>
  <c r="BA37" i="52"/>
  <c r="BA49" i="52" s="1"/>
  <c r="BP83" i="52" s="1"/>
  <c r="BQ83" i="52" s="1"/>
  <c r="AY37" i="52"/>
  <c r="AY49" i="52" s="1"/>
  <c r="BP82" i="52" s="1"/>
  <c r="BQ82" i="52" s="1"/>
  <c r="BH16" i="52"/>
  <c r="BH24" i="52"/>
  <c r="N71" i="45"/>
  <c r="N72" i="45" s="1"/>
  <c r="N36" i="45" s="1"/>
  <c r="AN14" i="36" s="1"/>
  <c r="AP39" i="37"/>
  <c r="AJ16" i="36"/>
  <c r="P62" i="45"/>
  <c r="AR39" i="37"/>
  <c r="AR60" i="37" s="1"/>
  <c r="AL16" i="36"/>
  <c r="P67" i="47"/>
  <c r="D77" i="47"/>
  <c r="D78" i="47" s="1"/>
  <c r="P58" i="45"/>
  <c r="D71" i="45"/>
  <c r="D72" i="45" s="1"/>
  <c r="E71" i="45"/>
  <c r="E72" i="45" s="1"/>
  <c r="E36" i="45" s="1"/>
  <c r="AE14" i="36" s="1"/>
  <c r="P69" i="40"/>
  <c r="I77" i="47"/>
  <c r="I78" i="47" s="1"/>
  <c r="I35" i="47" s="1"/>
  <c r="K78" i="40"/>
  <c r="K79" i="40" s="1"/>
  <c r="K36" i="40" s="1"/>
  <c r="BA39" i="52"/>
  <c r="BB39" i="52" s="1"/>
  <c r="BP51" i="52"/>
  <c r="BO38" i="52"/>
  <c r="BP98" i="52"/>
  <c r="BP99" i="52" s="1"/>
  <c r="BP101" i="52" s="1"/>
  <c r="BP103" i="52" s="1"/>
  <c r="BP105" i="52" s="1"/>
  <c r="BG38" i="52"/>
  <c r="BG49" i="52"/>
  <c r="BH19" i="52"/>
  <c r="BH23" i="52"/>
  <c r="BR87" i="52"/>
  <c r="BQ87" i="52"/>
  <c r="BS87" i="52" s="1"/>
  <c r="BH17" i="52"/>
  <c r="BH18" i="52"/>
  <c r="BH15" i="52"/>
  <c r="BH20" i="52"/>
  <c r="BH28" i="52"/>
  <c r="BH21" i="52"/>
  <c r="BH29" i="52"/>
  <c r="BW37" i="52"/>
  <c r="AW37" i="52"/>
  <c r="CC31" i="52"/>
  <c r="BW31" i="52"/>
  <c r="P75" i="47"/>
  <c r="AM17" i="36"/>
  <c r="P36" i="47"/>
  <c r="D2" i="48"/>
  <c r="D5" i="48"/>
  <c r="J7" i="48"/>
  <c r="D3" i="48"/>
  <c r="P36" i="40" l="1"/>
  <c r="AK15" i="36"/>
  <c r="P82" i="40"/>
  <c r="P73" i="46"/>
  <c r="AQ32" i="37"/>
  <c r="O11" i="37"/>
  <c r="O32" i="37" s="1"/>
  <c r="AU11" i="37"/>
  <c r="AU32" i="37" s="1"/>
  <c r="N11" i="37"/>
  <c r="N32" i="37" s="1"/>
  <c r="AT11" i="37"/>
  <c r="AT32" i="37" s="1"/>
  <c r="K32" i="37"/>
  <c r="D36" i="46"/>
  <c r="P70" i="46"/>
  <c r="D36" i="45"/>
  <c r="P72" i="45"/>
  <c r="AX39" i="37"/>
  <c r="AX60" i="37" s="1"/>
  <c r="AP60" i="37"/>
  <c r="P78" i="40"/>
  <c r="AZ38" i="52"/>
  <c r="P79" i="40"/>
  <c r="Q62" i="45"/>
  <c r="R62" i="45" s="1"/>
  <c r="P71" i="45"/>
  <c r="R71" i="45" s="1"/>
  <c r="Q58" i="45"/>
  <c r="R58" i="45"/>
  <c r="D35" i="47"/>
  <c r="P35" i="47" s="1"/>
  <c r="P78" i="47"/>
  <c r="BH37" i="52"/>
  <c r="P81" i="40"/>
  <c r="P75" i="45"/>
  <c r="P35" i="46"/>
  <c r="BI37" i="52"/>
  <c r="AW49" i="52"/>
  <c r="AX38" i="52"/>
  <c r="BW38" i="52"/>
  <c r="BT56" i="52"/>
  <c r="BP53" i="52"/>
  <c r="AQ17" i="36" a="1"/>
  <c r="AQ17" i="36" s="1"/>
  <c r="AP17" i="36"/>
  <c r="AD14" i="36" l="1"/>
  <c r="P36" i="45"/>
  <c r="AD16" i="36"/>
  <c r="P36" i="46"/>
  <c r="AX11" i="37"/>
  <c r="AX32" i="37" s="1"/>
  <c r="R11" i="37"/>
  <c r="R32" i="37" s="1"/>
  <c r="AQ15" i="36" a="1"/>
  <c r="AQ15" i="36" s="1"/>
  <c r="AP15" i="36"/>
  <c r="BI49" i="52"/>
  <c r="BP81" i="52"/>
  <c r="BR58" i="52"/>
  <c r="BP57" i="52"/>
  <c r="BP60" i="52" s="1"/>
  <c r="BP69" i="52" s="1"/>
  <c r="AP16" i="36" l="1"/>
  <c r="AQ16" i="36" a="1"/>
  <c r="AQ16" i="36" s="1"/>
  <c r="AQ14" i="36" a="1"/>
  <c r="AQ14" i="36" s="1"/>
  <c r="AP14" i="36"/>
  <c r="BP89" i="52"/>
  <c r="BQ89" i="52" s="1"/>
  <c r="BQ72" i="52"/>
  <c r="BQ70" i="52"/>
  <c r="BR74" i="52" s="1"/>
  <c r="BQ81" i="52"/>
  <c r="BP86" i="52"/>
  <c r="BQ86" i="52" l="1"/>
  <c r="BP88" i="52"/>
  <c r="BQ88" i="52" s="1"/>
  <c r="AE25" i="45"/>
  <c r="AD25" i="45"/>
  <c r="G3" i="48"/>
  <c r="G6" i="48" s="1"/>
  <c r="AE23" i="40" l="1"/>
  <c r="AD23" i="40"/>
  <c r="AC25" i="40"/>
  <c r="AD25" i="40" s="1"/>
  <c r="AE2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57AF7951-E1EC-41EC-BE56-120E1FDA21B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7445532-D5B1-4ECA-98CD-FD5D7E158754}">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50AEE25-EC29-43DA-95A9-D4FD20BA9C8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334315B-6DE4-452D-A678-5EC36BB675F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BF14EA4E-16A3-4840-80F7-7D9342738C09}">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E8B2AE85-CA96-4567-AC4A-B532258169B9}">
      <text>
        <r>
          <rPr>
            <sz val="9"/>
            <color indexed="81"/>
            <rFont val="Tahoma"/>
            <family val="2"/>
          </rPr>
          <t>En este campo se diligencia el nombre de la actividad del proyecto de inversión</t>
        </r>
      </text>
    </comment>
    <comment ref="A21" authorId="0" shapeId="0" xr:uid="{09E954AE-0809-4B7A-8272-CB204B32F3A4}">
      <text>
        <r>
          <rPr>
            <sz val="9"/>
            <color indexed="81"/>
            <rFont val="Tahoma"/>
            <family val="2"/>
          </rPr>
          <t>Valor de la reserva constituida al inicio de la vigencia</t>
        </r>
      </text>
    </comment>
    <comment ref="AD21" authorId="0" shapeId="0" xr:uid="{2379C265-B541-4A23-88BE-A92C7F039B2F}">
      <text>
        <r>
          <rPr>
            <sz val="9"/>
            <color indexed="81"/>
            <rFont val="Tahoma"/>
            <family val="2"/>
          </rPr>
          <t>Ajustar las sumatorias en las formulas de compromisos y giros según el periodo según corresponda</t>
        </r>
      </text>
    </comment>
    <comment ref="A22" authorId="0" shapeId="0" xr:uid="{B67F681F-1901-4632-B397-E1C7BDA87791}">
      <text>
        <r>
          <rPr>
            <sz val="9"/>
            <color indexed="81"/>
            <rFont val="Tahoma"/>
            <family val="2"/>
          </rPr>
          <t>Programación de acuerdo de desempleño en la ejecución de giros para cada mes de la vigencia.</t>
        </r>
      </text>
    </comment>
    <comment ref="A23" authorId="0" shapeId="0" xr:uid="{412C6367-71BA-452E-A044-2399A771529B}">
      <text>
        <r>
          <rPr>
            <sz val="9"/>
            <color indexed="81"/>
            <rFont val="Tahoma"/>
            <family val="2"/>
          </rPr>
          <t>Liberaciones de reservas realizadas en cada mes de la vigencia.</t>
        </r>
      </text>
    </comment>
    <comment ref="A24" authorId="0" shapeId="0" xr:uid="{3C9345A2-F061-427C-ABAA-BA5D5739814A}">
      <text>
        <r>
          <rPr>
            <sz val="9"/>
            <color indexed="81"/>
            <rFont val="Tahoma"/>
            <family val="2"/>
          </rPr>
          <t>Reserva definitiva después de liberaciones.</t>
        </r>
      </text>
    </comment>
    <comment ref="A25" authorId="0" shapeId="0" xr:uid="{9B255818-EAB3-4F01-A71A-5405BC50100C}">
      <text>
        <r>
          <rPr>
            <sz val="9"/>
            <color indexed="81"/>
            <rFont val="Tahoma"/>
            <family val="2"/>
          </rPr>
          <t>Ejecución de los giros de la reserva para mes</t>
        </r>
      </text>
    </comment>
    <comment ref="A28" authorId="2" shapeId="0" xr:uid="{92FEAD84-9F99-4304-BC3D-5804CEE2C19F}">
      <text>
        <r>
          <rPr>
            <sz val="9"/>
            <color indexed="81"/>
            <rFont val="Tahoma"/>
            <family val="2"/>
          </rPr>
          <t>En este campo se diligencia el nombre de la actividad del proyecto que se reportó con rezago en su cumplimiento físico en la vigencia anterior</t>
        </r>
      </text>
    </comment>
    <comment ref="B28" authorId="2" shapeId="0" xr:uid="{CE76B14E-7BB1-41BC-9316-EF71ADD04A86}">
      <text>
        <r>
          <rPr>
            <sz val="9"/>
            <color indexed="81"/>
            <rFont val="Tahoma"/>
            <family val="2"/>
          </rPr>
          <t>Se diligencia el rezago reportado al corte de diciembre de la vigencia anterior</t>
        </r>
      </text>
    </comment>
    <comment ref="A33" authorId="2" shapeId="0" xr:uid="{E907BDCE-F05F-4E93-B86F-CD83AAC28B77}">
      <text>
        <r>
          <rPr>
            <sz val="9"/>
            <color indexed="81"/>
            <rFont val="Tahoma"/>
            <family val="2"/>
          </rPr>
          <t>En este campo se diligencia el nombre de la actividad del proyecto de inversión</t>
        </r>
      </text>
    </comment>
    <comment ref="B33" authorId="2" shapeId="0" xr:uid="{4337274C-6B37-40C1-9859-0FFFE45B6BF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162CD920-25F3-4B3E-BCA3-4D782BDC1161}">
      <text>
        <r>
          <rPr>
            <sz val="9"/>
            <color indexed="81"/>
            <rFont val="Tahoma"/>
            <family val="2"/>
          </rPr>
          <t>Se diligencia la programación mensual de la actividad proyecto de inversión</t>
        </r>
      </text>
    </comment>
    <comment ref="A39" authorId="2" shapeId="0" xr:uid="{4DB5353B-215C-4461-B2B2-CC9E30D88CEE}">
      <text>
        <r>
          <rPr>
            <sz val="9"/>
            <color indexed="81"/>
            <rFont val="Tahoma"/>
            <family val="2"/>
          </rPr>
          <t>En este campo se diligencia el nombre de la tarea definida para la gestión de cumplimiento de la actividad del proyecto de inversión</t>
        </r>
      </text>
    </comment>
    <comment ref="B39" authorId="2" shapeId="0" xr:uid="{FF408761-0EA9-4053-9F02-C86E9242B48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57313</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C23" authorId="3" shapeId="0" xr:uid="{6D60CBFF-0BBF-44A6-BDE2-AB851050DA58}">
      <text>
        <r>
          <rPr>
            <b/>
            <sz val="9"/>
            <color indexed="81"/>
            <rFont val="Tahoma"/>
            <family val="2"/>
          </rPr>
          <t>57313:</t>
        </r>
        <r>
          <rPr>
            <sz val="9"/>
            <color indexed="81"/>
            <rFont val="Tahoma"/>
            <family val="2"/>
          </rPr>
          <t xml:space="preserve">
$409.973.857</t>
        </r>
      </text>
    </comment>
    <comment ref="A24" authorId="0" shapeId="0" xr:uid="{00000000-0006-0000-0000-000007000000}">
      <text>
        <r>
          <rPr>
            <sz val="9"/>
            <color indexed="81"/>
            <rFont val="Tahoma"/>
            <family val="2"/>
          </rPr>
          <t>Reserva definitiva después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5BC318E-76D3-4621-B3F8-495613666A2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CF7F2910-306F-4DCF-926E-F2D428F8211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9219908-ABDE-473C-B5D3-6FEEA498687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1AFCDC34-D025-49AC-9FC8-F0F015430971}">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78FADC25-70EF-4BFB-8827-7505CDC80B8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BCDEB57-9FD2-488B-9193-481DF9450A9C}">
      <text>
        <r>
          <rPr>
            <sz val="9"/>
            <color indexed="81"/>
            <rFont val="Tahoma"/>
            <family val="2"/>
          </rPr>
          <t>En este campo se diligencia el nombre de la actividad del proyecto de inversión</t>
        </r>
      </text>
    </comment>
    <comment ref="A21" authorId="0" shapeId="0" xr:uid="{7C5C2336-B581-44B1-B58D-FACC91D39D06}">
      <text>
        <r>
          <rPr>
            <sz val="9"/>
            <color indexed="81"/>
            <rFont val="Tahoma"/>
            <family val="2"/>
          </rPr>
          <t>Valor de la reserva constituida al inicio de la vigencia</t>
        </r>
      </text>
    </comment>
    <comment ref="AD21" authorId="0" shapeId="0" xr:uid="{9FA2BC74-A032-4DB5-9AB4-0BF4A05BA8AD}">
      <text>
        <r>
          <rPr>
            <sz val="9"/>
            <color indexed="81"/>
            <rFont val="Tahoma"/>
            <family val="2"/>
          </rPr>
          <t>Ajustar las sumatorias en las formulas de compromisos y giros según el periodo según corresponda</t>
        </r>
      </text>
    </comment>
    <comment ref="A22" authorId="0" shapeId="0" xr:uid="{9415FA71-5FF6-42BB-9D21-351EFE0A92EC}">
      <text>
        <r>
          <rPr>
            <sz val="9"/>
            <color indexed="81"/>
            <rFont val="Tahoma"/>
            <family val="2"/>
          </rPr>
          <t>Programación de acuerdo de desempeño en la ejecución de giros para cada mes de la vigencia.</t>
        </r>
      </text>
    </comment>
    <comment ref="A23" authorId="0" shapeId="0" xr:uid="{50D747D3-28AC-4C69-A573-A6BEF66857FB}">
      <text>
        <r>
          <rPr>
            <sz val="9"/>
            <color indexed="81"/>
            <rFont val="Tahoma"/>
            <family val="2"/>
          </rPr>
          <t>Liberaciones de reservas realizadas en cada mes de la vigencia.</t>
        </r>
      </text>
    </comment>
    <comment ref="A24" authorId="0" shapeId="0" xr:uid="{96E50303-6E1E-4D5E-B254-431169AB5F27}">
      <text>
        <r>
          <rPr>
            <sz val="9"/>
            <color indexed="81"/>
            <rFont val="Tahoma"/>
            <family val="2"/>
          </rPr>
          <t>Reserva definitiva después de liberaciones.</t>
        </r>
      </text>
    </comment>
    <comment ref="A25" authorId="0" shapeId="0" xr:uid="{732A2381-6159-430F-8FFB-7400DB7128E2}">
      <text>
        <r>
          <rPr>
            <sz val="9"/>
            <color indexed="81"/>
            <rFont val="Tahoma"/>
            <family val="2"/>
          </rPr>
          <t>Ejecución de los giros de la reserva para mes</t>
        </r>
      </text>
    </comment>
    <comment ref="A28" authorId="2" shapeId="0" xr:uid="{12DBA62D-9281-4532-AF48-12C973496AF8}">
      <text>
        <r>
          <rPr>
            <sz val="9"/>
            <color indexed="81"/>
            <rFont val="Tahoma"/>
            <family val="2"/>
          </rPr>
          <t>En este campo se diligencia el nombre de la actividad del proyecto que se reportó con rezago en su cumplimiento físico en la vigencia anterior</t>
        </r>
      </text>
    </comment>
    <comment ref="B28" authorId="2" shapeId="0" xr:uid="{E8CEB343-C3C9-4EB8-875F-051B4905EF8A}">
      <text>
        <r>
          <rPr>
            <sz val="9"/>
            <color indexed="81"/>
            <rFont val="Tahoma"/>
            <family val="2"/>
          </rPr>
          <t>Se diligencia el rezago reportado al corte de diciembre de la vigencia anterior</t>
        </r>
      </text>
    </comment>
    <comment ref="A33" authorId="2" shapeId="0" xr:uid="{BBE20E46-0BDA-46F2-A162-B3883255160A}">
      <text>
        <r>
          <rPr>
            <sz val="9"/>
            <color indexed="81"/>
            <rFont val="Tahoma"/>
            <family val="2"/>
          </rPr>
          <t>En este campo se diligencia el nombre de la actividad del proyecto de inversión</t>
        </r>
      </text>
    </comment>
    <comment ref="B33" authorId="2" shapeId="0" xr:uid="{125E3E25-48A9-46A4-B7C1-75DE6E15F40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2A48844-4178-44B1-AE22-6B06CDAC5AD4}">
      <text>
        <r>
          <rPr>
            <sz val="9"/>
            <color indexed="81"/>
            <rFont val="Tahoma"/>
            <family val="2"/>
          </rPr>
          <t>Se diligencia la programación mensual de la actividad proyecto de inversión</t>
        </r>
      </text>
    </comment>
    <comment ref="A39" authorId="2" shapeId="0" xr:uid="{79AC6C12-2E90-4BB1-945F-1F88AAB11C2D}">
      <text>
        <r>
          <rPr>
            <sz val="9"/>
            <color indexed="81"/>
            <rFont val="Tahoma"/>
            <family val="2"/>
          </rPr>
          <t>En este campo se diligencia el nombre de la tarea definida para la gestión de cumplimiento de la actividad del proyecto de inversión</t>
        </r>
      </text>
    </comment>
    <comment ref="B39" authorId="2" shapeId="0" xr:uid="{3A3370FA-CEB5-4A38-98FC-D05F325C5E6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57313</author>
  </authors>
  <commentList>
    <comment ref="K7" authorId="0" shapeId="0" xr:uid="{D071EAC2-EE91-4784-BA18-388208AB463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D173F8F-4339-4782-8AA8-8880CF72AFD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BEE76E2-3D0D-41B2-9226-6C430EE101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586B100-EEBD-48AE-BBD0-31169531310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97A9FFD-E5E8-4570-9D9B-14476FFD917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F6A187E1-E7EF-427D-844A-F238D39DE15C}">
      <text>
        <r>
          <rPr>
            <sz val="9"/>
            <color indexed="81"/>
            <rFont val="Tahoma"/>
            <family val="2"/>
          </rPr>
          <t>En este campo se diligencia el nombre de la actividad del proyecto de inversión</t>
        </r>
      </text>
    </comment>
    <comment ref="A21" authorId="0" shapeId="0" xr:uid="{16D52735-39F9-4141-B4A5-A9AD61D8CB32}">
      <text>
        <r>
          <rPr>
            <sz val="9"/>
            <color indexed="81"/>
            <rFont val="Tahoma"/>
            <family val="2"/>
          </rPr>
          <t>Valor de la reserva constituida al inicio de la vigencia</t>
        </r>
      </text>
    </comment>
    <comment ref="AD21" authorId="0" shapeId="0" xr:uid="{43D28251-F09D-484F-8A44-FEB501565007}">
      <text>
        <r>
          <rPr>
            <sz val="9"/>
            <color indexed="81"/>
            <rFont val="Tahoma"/>
            <family val="2"/>
          </rPr>
          <t>Ajustar las sumatorias en las formulas de compromisos y giros según el periodo según corresponda</t>
        </r>
      </text>
    </comment>
    <comment ref="A22" authorId="0" shapeId="0" xr:uid="{42596BB3-F453-4B37-A375-5866206B410A}">
      <text>
        <r>
          <rPr>
            <sz val="9"/>
            <color indexed="81"/>
            <rFont val="Tahoma"/>
            <family val="2"/>
          </rPr>
          <t>Programación de acuerdo de desempeño en la ejecución de giros para cada mes de la vigencia.</t>
        </r>
      </text>
    </comment>
    <comment ref="A23" authorId="0" shapeId="0" xr:uid="{A1DC6DBF-D74D-473D-AD04-45E139B1A8D7}">
      <text>
        <r>
          <rPr>
            <sz val="9"/>
            <color indexed="81"/>
            <rFont val="Tahoma"/>
            <family val="2"/>
          </rPr>
          <t>Liberaciones de reservas realizadas en cada mes de la vigencia.</t>
        </r>
      </text>
    </comment>
    <comment ref="AC23" authorId="3" shapeId="0" xr:uid="{3CACD747-B900-4855-AC35-F7E9E2C093CA}">
      <text>
        <r>
          <rPr>
            <b/>
            <sz val="9"/>
            <color indexed="81"/>
            <rFont val="Tahoma"/>
            <family val="2"/>
          </rPr>
          <t>57313:</t>
        </r>
        <r>
          <rPr>
            <sz val="9"/>
            <color indexed="81"/>
            <rFont val="Tahoma"/>
            <family val="2"/>
          </rPr>
          <t xml:space="preserve">
$64.009.844</t>
        </r>
      </text>
    </comment>
    <comment ref="A24" authorId="0" shapeId="0" xr:uid="{09F082F0-FD0B-4FD6-B568-EAEBA544FF29}">
      <text>
        <r>
          <rPr>
            <sz val="9"/>
            <color indexed="81"/>
            <rFont val="Tahoma"/>
            <family val="2"/>
          </rPr>
          <t>Reserva definitiva después de liberaciones.</t>
        </r>
      </text>
    </comment>
    <comment ref="AC24" authorId="3" shapeId="0" xr:uid="{596A115F-F6B5-4146-A615-015011DA7ABB}">
      <text>
        <r>
          <rPr>
            <b/>
            <sz val="9"/>
            <color indexed="81"/>
            <rFont val="Tahoma"/>
            <family val="2"/>
          </rPr>
          <t>57313:</t>
        </r>
        <r>
          <rPr>
            <sz val="9"/>
            <color indexed="81"/>
            <rFont val="Tahoma"/>
            <family val="2"/>
          </rPr>
          <t xml:space="preserve">
$54.919.493</t>
        </r>
      </text>
    </comment>
    <comment ref="A25" authorId="0" shapeId="0" xr:uid="{30B15797-5083-40CA-9A73-3F53F6283132}">
      <text>
        <r>
          <rPr>
            <sz val="9"/>
            <color indexed="81"/>
            <rFont val="Tahoma"/>
            <family val="2"/>
          </rPr>
          <t>Ejecución de los giros de la reserva para mes</t>
        </r>
      </text>
    </comment>
    <comment ref="A28" authorId="2" shapeId="0" xr:uid="{B90F939B-3976-4D36-930C-D09A653F0345}">
      <text>
        <r>
          <rPr>
            <sz val="9"/>
            <color indexed="81"/>
            <rFont val="Tahoma"/>
            <family val="2"/>
          </rPr>
          <t>En este campo se diligencia el nombre de la actividad del proyecto que se reportó con rezago en su cumplimiento físico en la vigencia anterior</t>
        </r>
      </text>
    </comment>
    <comment ref="B28" authorId="2" shapeId="0" xr:uid="{74E82958-66A9-4CF9-B46B-555F2BBE5404}">
      <text>
        <r>
          <rPr>
            <sz val="9"/>
            <color indexed="81"/>
            <rFont val="Tahoma"/>
            <family val="2"/>
          </rPr>
          <t>Se diligencia el rezago reportado al corte de diciembre de la vigencia anterior</t>
        </r>
      </text>
    </comment>
    <comment ref="A33" authorId="2" shapeId="0" xr:uid="{1B6B692A-3DD0-433C-8B30-19B6BEF601EC}">
      <text>
        <r>
          <rPr>
            <sz val="9"/>
            <color indexed="81"/>
            <rFont val="Tahoma"/>
            <family val="2"/>
          </rPr>
          <t>En este campo se diligencia el nombre de la actividad del proyecto de inversión</t>
        </r>
      </text>
    </comment>
    <comment ref="B33" authorId="2" shapeId="0" xr:uid="{3E07C037-8643-4098-87C4-45CB68C69798}">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42141726-7D65-43D5-88DD-7A9167CD201E}">
      <text>
        <r>
          <rPr>
            <sz val="9"/>
            <color indexed="81"/>
            <rFont val="Tahoma"/>
            <family val="2"/>
          </rPr>
          <t>Se diligencia la programación mensual de la actividad proyecto de inversión</t>
        </r>
      </text>
    </comment>
    <comment ref="A39" authorId="2" shapeId="0" xr:uid="{504830CD-E390-4C46-AD25-F802F33D1C3A}">
      <text>
        <r>
          <rPr>
            <sz val="9"/>
            <color indexed="81"/>
            <rFont val="Tahoma"/>
            <family val="2"/>
          </rPr>
          <t>En este campo se diligencia el nombre de la tarea definida para la gestión de cumplimiento de la actividad del proyecto de inversión</t>
        </r>
      </text>
    </comment>
    <comment ref="B39" authorId="2" shapeId="0" xr:uid="{729BE474-1BCB-489E-8DA8-B82B4092DD0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tc={52512995-20B8-431B-8B61-457F61350873}</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según: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medición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 ref="AQ13" authorId="3" shapeId="0" xr:uid="{52512995-20B8-431B-8B61-457F6135087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@Miguel Giovanny Gómez López  por favor podrías ayudarme a diligenciar de manera urgente este indicador, con la descripción cualitativa del avance, evidencia del avance del periodo. la descripción cualitativa del avance acumulado, si hay retrasos y soluciones para ello si no, se indica no aplica.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5" authorId="0" shapeId="0" xr:uid="{AAD4C76F-565C-4BFB-A569-61F7ABC0A54B}">
      <text>
        <r>
          <rPr>
            <sz val="9"/>
            <color indexed="81"/>
            <rFont val="Tahoma"/>
            <family val="2"/>
          </rPr>
          <t>Se diligencia el nombre del indicador o actividad a territorializar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<sst xmlns="http://schemas.openxmlformats.org/spreadsheetml/2006/main" count="2655" uniqueCount="764">
  <si>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</si>
  <si>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</si>
  <si>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</si>
  <si>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</si>
  <si>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</si>
  <si>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</si>
  <si>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</si>
  <si>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</si>
  <si>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</si>
  <si>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</si>
  <si>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</si>
  <si>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</si>
  <si>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</si>
  <si>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</si>
  <si>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</si>
  <si>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</si>
  <si>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</si>
  <si>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</si>
  <si>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</si>
  <si>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</si>
  <si>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</si>
  <si>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</si>
  <si>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</si>
  <si>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</si>
  <si>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</si>
  <si>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</si>
  <si>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</si>
  <si>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</si>
  <si>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</si>
  <si>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</si>
  <si>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</si>
  <si>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</si>
  <si>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</si>
  <si>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</si>
  <si>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</si>
  <si>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</si>
  <si>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</si>
  <si>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</si>
  <si>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</si>
  <si>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</si>
  <si>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</si>
  <si>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</si>
  <si>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</si>
  <si>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</si>
  <si>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</si>
  <si>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</si>
  <si>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</si>
  <si>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</si>
  <si>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</si>
  <si>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</si>
  <si>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</si>
  <si>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</si>
  <si>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</si>
  <si>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</si>
  <si>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</si>
  <si>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</si>
  <si>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</si>
  <si>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</si>
  <si>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</si>
  <si>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</si>
  <si>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</si>
  <si>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</si>
  <si>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</si>
  <si>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</si>
  <si>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</si>
  <si>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</si>
  <si>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</si>
  <si>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</si>
  <si>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</si>
  <si>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</si>
  <si>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</si>
  <si>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</si>
  <si>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</si>
  <si>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</si>
  <si>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</si>
  <si>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</si>
  <si>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</si>
  <si>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</si>
  <si>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</si>
  <si>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</si>
  <si>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</si>
  <si>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</si>
  <si>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</si>
  <si>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</si>
  <si>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</si>
  <si>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</si>
  <si>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</si>
  <si>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</si>
  <si>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</si>
  <si>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</si>
  <si>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</si>
  <si>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</si>
  <si>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</si>
  <si>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</si>
  <si>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</si>
  <si>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</si>
  <si>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</si>
  <si>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</si>
  <si>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</si>
  <si>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</si>
  <si>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</si>
  <si>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</si>
  <si>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</si>
  <si>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</si>
  <si>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</si>
  <si>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</si>
  <si>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</si>
  <si>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</si>
  <si>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</si>
  <si>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</si>
  <si>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</si>
  <si>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</si>
  <si>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</si>
  <si>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</si>
  <si>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</si>
  <si>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</si>
  <si>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</si>
  <si>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</si>
  <si>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</si>
  <si>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</si>
  <si>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</si>
  <si>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</si>
  <si>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</si>
  <si>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</si>
  <si>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</si>
  <si>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</si>
  <si>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</si>
  <si>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</si>
  <si>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DIC</t>
  </si>
  <si>
    <t>FORMULACION</t>
  </si>
  <si>
    <t>ACTUALIZACION</t>
  </si>
  <si>
    <t>X</t>
  </si>
  <si>
    <t>SEGUIMIENTO</t>
  </si>
  <si>
    <t>8198 - Implementación de la estrategia de transformación cultural de la Secretaría Distrital de la Mujer en Bogotá D.C.</t>
  </si>
  <si>
    <t>2. Bogotá confía en su bien-estar</t>
  </si>
  <si>
    <t>2.12. Bogotá cuida a su gente</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</si>
  <si>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</si>
  <si>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 xml:space="preserve">Formular 9 acciones de transformación cultural que promuevan y garanticen el libre ejercicio de los derechos de las mujeres y la equidad de género a través de mecanismos de cambio cultural y comportamental desarrollados con las comunidades. (Producto MGA - Documento de lineamientos Técnicos)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</si>
  <si>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</si>
  <si>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</si>
  <si>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</si>
  <si>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</si>
  <si>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</si>
  <si>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</si>
  <si>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</si>
  <si>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</si>
  <si>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</si>
  <si>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</si>
  <si>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</si>
  <si>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</si>
  <si>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</si>
  <si>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</si>
  <si>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</si>
  <si>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</si>
  <si>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</si>
  <si>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</si>
  <si>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</si>
  <si>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</si>
  <si>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</si>
  <si>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</si>
  <si>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</si>
  <si>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</si>
  <si>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Durante el mes de diciembre se logró consolidar el Documento de Balance General, que recopila los avances alcanzados en las acciones implementadas bajo la Estrategia de Transformaciones Culturales, ofreciendo una visión integral del cumplimiento de los objetivos propuestos para 2024. Asimismo, se finalizó el Protocolo de Articulaciones, que establece directrices para fortalecer las alianzas estratégicas. También se completaron los documentos técnicos de formulación del Laboratorio de Soluciones para la Redistribución de los Trabajos de Cuidado y la estrategia Caleidoscopio, así como el documento de diagnóstico sobre estereotipos de género en el deporte, desarrollado en colaboración con la Dirección de Eliminación de Violencias. Estos avances fortalecen la implementación y evaluación de las estrategias propuestas, garantizando su continuidad y proyección para 2025.
</t>
  </si>
  <si>
    <t>Durante el 2024, el Programa de Transformaciones Culturales logró importantes avances en tres acciones estratégicas clave, alineadas con la promoción de los derechos de las mujeres y el cambio cultural en Bogotá. Estas acciones sentaron las bases para su implementación y proyección en los años siguientes.
1. Prevención de Acoso Sexual en Espacios y Transporte Público:
Se elaboró un documento técnico que aborda acoso en transporte público, calles solitarias y frentes de obra. La estrategia integra enfoques del modelo COM-B y ecológico feminista, identificando factores culturales y proponiendo intervenciones disruptivas para transformar actitudes que normalizan el acoso.
2. Laboratorio de Soluciones para la Redistribución del Cuidado:
Este documento técnico analiza barreras culturales relacionadas con la inequidad en las labores de cuidado. Con apoyo de aliados como USAID, se construyeron metodologías que promueven corresponsabilidad en los hogares y comunidades, estableciendo indicadores para medir el cambio cultural.
3. Estrategia Caleidoscopio:
Se formuló esta propuesta para prevenir violencias y promover la corresponsabilidad desde la infancia, trabajando con niñas y niños. La estrategia incorpora enfoques pedagógicos que fortalecen valores de igualdad y convivencia.
Logros Adicionales:
Se avanzó en el diagnóstico de estereotipos que afectan a las mujeres en el deporte, desarrollando una propuesta técnica para su eliminación. Además, se consolidó un Protocolo de Articulaciones para fortalecer alianzas estratégicas con actores como USAID, DVVI y TransMilenio, asegurando la sostenibilidad de las acciones.</t>
  </si>
  <si>
    <t>Las acciones desarrolladas en la Estrategia de Transformaciones Culturales aportan beneficios significativos para las mujeres de Bogotá, al promover cambios culturales que fortalecen sus derechos y mejoran sus condiciones de vida. En primer lugar, la formulación del Laboratorio de Soluciones para la Redistribución de los Trabajos de Cuidado No Remunerados fomenta la corresponsabilidad en las labores del hogar, permitiendo que las mujeres dispongan de más tiempo para su desarrollo personal y profesional, aliviando la carga desproporcionada que tradicionalmente han asumido. En paralelo, las acciones enfocadas en la prevención de violencias y acoso en espacios públicos y transporte contribuyen a crear entornos más seguros, garantizando que las mujeres puedan transitar por la ciudad con mayor confianza y ejercer plenamente su derecho a la movilidad segura.
Adicionalmente, la estrategia enfocada en la eliminación de estereotipos en el deporte, particularmente en el ciclismo, promueve la igualdad de oportunidades para las mujeres en espacios deportivos, rompiendo barreras culturales que limitan su participación. La consolidación de documentos técnicos y guías de formulación asegura que las entidades distritales cuenten con herramientas claras para diseñar políticas y programas que promuevan los derechos de las mujeres de manera efectiva y sostenible.
El fortalecimiento de alianzas estratégicas con actores clave como USAID, DVVI, TransMilenio, Universidad El Bosque y WINGU ha permitido articular esfuerzos para desarrollar proyectos conjuntos que promuevan la redistribución del cuidado, la prevención de violencias y la creación de espacios seguros para las mujeres. Estos avances también facilitan el acceso a información y recursos que fortalecen la planeación y ejecución de acciones, garantizando un impacto a largo plazo..</t>
  </si>
  <si>
    <t xml:space="preserve">
Guía 2 seguimiento de acciones desarrolladas. Diagnóstico: violencias y acoso en espacios y transporte público incorporando datos de frentes de obra. Estrategias 2024, reflejadas en planes de trabajo y cronogramas. 3 memorandos de entendimiento: DVV International, GE USAID y Universidad El Bosque.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</si>
  <si>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</si>
  <si>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</si>
  <si>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</si>
  <si>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</si>
  <si>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</si>
  <si>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</si>
  <si>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</si>
  <si>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</si>
  <si>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</si>
  <si>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</si>
  <si>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</si>
  <si>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</si>
  <si>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</si>
  <si>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</si>
  <si>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</si>
  <si>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</si>
  <si>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</si>
  <si>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</si>
  <si>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</si>
  <si>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Desarrollar una guía estructurada que sirva como referencia para la creación de documentos técnicos enfocados en la formulación de estrategias de transformación cultural.</t>
  </si>
  <si>
    <t>Se logró consolidar el documento de matriz inicial, que sirve como guía para la la formulación de documentos técnicos de estrategias y acciones de transformación cultural, el cual contiene marcos de referencia, enfoques, introducción, entre otros, para culminar con el desarrollo de esta actividad se encuentra pendiente la guía No 2 relacionada con la elaboración de documentos de balance. 
Para el mes de septiembre, se finaliza y remite al equipo de trabajo de la Estrategia de Transformación Cultural la guía de formulación de documentos técnicos para el desarrollo de acciones. Este logro incluye la creación de la pestaña o Guía No. 2, relacionada con la elaboración de los documentos de balance de las acciones desarrolladas en el marco de la Estrategia de Transformación Cultural. Este avance permite que el equipo cuente con una herramienta técnica clara y organizada para la elaboración de los documentos de seguimiento y evaluación de las acciones, lo que contribuye al fortalecimiento de la planeación estratégica y a la coherencia en el monitoreo de las actividades.</t>
  </si>
  <si>
    <t xml:space="preserve">Agosto 
https://secretariadistritald.sharepoint.com/:f:/s/BogotCaminaSegura/ErEYkwm3ZTJHgHmDcbYV18ABhV2_Xm_hLA5SR1cNmQ7m6g?e=chq82o
Septiembre 
https://secretariadistritald.sharepoint.com/:f:/s/BogotCaminaSegura/EggU7J-fK-FHqJ1haj7YaB0BY_vb3p_P5-kkqsUu-FeKcg?e=RnY26Z
</t>
  </si>
  <si>
    <t xml:space="preserve">2. Adelantar dos diagnósticos para identificar las barreras culturales, sociales, legales y económicas que impiden la redistribución equitativa del cuidado, y sustentan las violencias de género  aplicando los respectivos modelos de cambio cultural y comportamental. </t>
  </si>
  <si>
    <t xml:space="preserve">Se avanza en la primera fase de diagnostico e identificación de factores culturales relacionados con las barreras culturales, sociales, legales y económicas que impiden la redistribución equitativa del cuidado incorporado en el documento técnico de formulación llamado "Laboratorio de soluciones para la redistribución de las labores del cuidado" (Ver capítulos 1 y 3) Así mismo de las violencias y acoso contra las mujeres en espacio y transporte público la cual se encuentra en el documento técnico de formulación desde el capítulo 1 al capítulo 8.
En septiembre se completó el diagnóstico sobre violencias y acoso en espacios y transporte público, incluyendo datos de frentes de obra. El documento "Propuesta Inicial de Acciones de Cambio Cultural" organiza los resultados entre las páginas 2-19 y 50-61, estableciendo una base sólida para futuras acciones.
En octubre se finalizan los respectivos diagnosticos los cuales quedan como referente del 2024 y que tendran una actualización en 2025 acorde al fortalecimiento de las estrategias de prevención de acoso y otras formas de violencia contra las mujeres y laboratorio de soluciones para la redistribución de los trabajos de cuidado. 
Retrasos y alternativas de solución:
El diagnóstico sobre las barreras culturales y sociales de la redistribución del cuidado quedó en 80% debido a la priorización de otros requerimientos. por lo que como alternativa se propone reajustar del 50% al 30% en el mes de septiembre y el 20% restante se completará en octubre con ajustes en la distribución de tiempos en el cronograma interno de trabajo. 
En octubre se finalizan los respectivos diagnosticos los cuales quedan como referente del 2024 y que tendran una actualización en 2025 acorde al fortalecimiento de las estrategias </t>
  </si>
  <si>
    <t>Agosto 
https://secretariadistritald.sharepoint.com/:f:/s/BogotCaminaSegura/EjqAGpGrq4FOjG9Opvdc9yoBUeNBDQZiQUOhsXHdCXtTeQ?e=Sg7VNj
Septiembre.
https://secretariadistritald.sharepoint.com/:f:/s/BogotCaminaSegura/Et1U_3KU5g5EjMMre48xljcBYy1DyhZmbjMw3syUO9tx-w?e=qPIC6t
Octubre 
https://secretariadistritald.sharepoint.com/:f:/s/BogotCaminaSegura/EhitxhGnmFhMiEiZVmibauABB7FQ4ptyDSCOp6H1rAALFA?e=b7X8UI</t>
  </si>
  <si>
    <t>3. Planificar la implementación de las estrategias, incluyendo la coordinación con otras dependencias, entidades, organizaciones locales y comunitarias. Establecer alianzas y definir roles y responsabilidades.</t>
  </si>
  <si>
    <t xml:space="preserve">En octubre se firmo carta de intención con DVVI y Secretaria Distrital de Cultura, Recreación y Deporte. Así mismo iniciaron los procesos de construcción de plan de trabajo en el marco de la alianza con DVVI. 
En noviembre se avanzó en la gestión para la revision y seguimiento del contenido del memorando de entendimiento con USAID aritculando con el árera de Alianzas Estratégicas de Despacho de la SdMujer para el envío de comentarios ajustar por parte de USAID. También se realizo reunión con H&amp;M para exploración de acciones de articulacion futuras en 2025 para la implementacion de acciónes que proueban la redisrtibución de los trabajos del cuidado entre los y las colaboradoras de H&amp;M. 
En diciembre se consolidó el Protocolo de Articulaciones, un documento que establece las orientaciones para la coordinación y el fortalecimiento de alianzas estratégicas con dependencias, entidades y organizaciones, facilitando procesos de colaboración efectiva. Durante el año, se gestionaron avances importantes en la formalización de alianzas con actores clave. Con USAID, los compromisos trabajados fueron incorporados en el memorando de ciudad firmado con la Alcaldía. En cuanto a la alianza con Universidad El Bosque y TransMilenio, se avanzó en el proceso de firma del memorando, que se encuentra en su etapa final. Por su parte, el memorando con DVVI se unificó y fue enviado para revisión final por parte de esta entidad, quedando la Secretaría de Cultura a cargo del seguimiento. Finalmente, con WINGU, se reafirmó el interés mutuo en continuar aplicando la herramienta “Cuidos” como estrategia para la redistribución de los trabajos de cuidado, y se proyectó la formalización del memorando de entendimiento en 2025, asegurando la continuidad de las acciones conjuntas. </t>
  </si>
  <si>
    <t>Diciembre 
https://secretariadistritald.sharepoint.com/:b:/s/BogotCaminaSegura/EZYtY-VY0WpAvWn66CKezOEBb1CwbtDStoO6sisafjQZXw?e=NeolkZ"</t>
  </si>
  <si>
    <t>4. Desarrollar un informe de balance general que detalle y evalúe las acciones implementadas bajo la estrategia de transformación cultural durante el año 2024.</t>
  </si>
  <si>
    <t xml:space="preserve">En noviembre, se avanzó en la creación del documento informe de balance general, el cual contendra el seguimiento y evaluación de las acciones implementadas bajo la estrategia de transformaciones culturales.
En diciembre se finalizó y consolidó el Documento de Balance General, el cual presenta una descripción integral de la estrategia de transformación cultural, sus líneas de acción, y los avances alcanzados conforme a lo programado para 2024. Este documento permite evaluar el cumplimiento de los objetivos trazados, destacando los logros obtenidos y las acciones implementadas durante el año.   </t>
  </si>
  <si>
    <t xml:space="preserve">Noviembre:
https://secretariadistritald.sharepoint.com/:f:/s/BogotCaminaSegura/EhlXoV4ogWJKqEPtDnZTQcUBPoEIXxl1kuoUIRWn-FJKmQ?e=Ub3Pxr
Diciembre
https://secretariadistritald.sharepoint.com/:b:/s/BogotCaminaSegura/EXl6kO05K9RJtw5mOMxun7oBz0kaUDZWbkM8xn7jxmZcWw?e=C6QgjZ
</t>
  </si>
  <si>
    <t>*Incluir tantas filas sean necesarias</t>
  </si>
  <si>
    <t>Implementar 3 acciones de transformación cultural que promuevan la redistribución equitativa de las labores del cuidado en Bogotá. (Producto MGA - Servicio de promoción de la garantía de derechos)</t>
  </si>
  <si>
    <t xml:space="preserve">
Durante diciembre se consolidaron documentos técnicos clave para la Estrategia de Transformaciones Culturales. Se finalizó el Documento Técnico del Laboratorio de Soluciones para la Redistribución de los Trabajos de Cuidado No Remunerados, que incluye un balance de las acciones de pilotaje, correcciones implementadas y recomendaciones para futuras fases. Además, se completó el Protocolo de Acuerdos, que establece directrices para articular acciones con actores estratégicos y ejecutar los pilotajes. Se consolidó el Documento de Balance General, el cual recoge los avances alcanzados en 2024 y las recomendaciones para fortalecer las estrategias en 2025. Finalmente, se culminó el diseño de la estrategia Caleidoscopio, enfocada en prevenir violencias y promover la corresponsabilidad en los cuidados desde la infancia.
Adicionalmente en diciembre
Se realizó acompañamiento técnico al CCMB, Espacio Ampliado, mesas de trabajo y Espacio Autonomo. Igualmente se realiza acompañamiento al Concejo de Bogotá.
</t>
  </si>
  <si>
    <t xml:space="preserve">
A lo largo de 2024, se lograron avances significativos en la Estrategia de Transformaciones Culturales, consolidando documentos técnicos, diagnósticos y alianzas estratégicas. En agosto se inició el diseño del Laboratorio de Soluciones para la Redistribución de los Trabajos de Cuidado, avanzando en su matriz de consistencia y teoría de cambio. En septiembre, se completó un 40% de la estrategia Caleidoscopio, enfocada en niñas y niños para prevenir violencias y promover corresponsabilidad en los cuidados. Asimismo, se avanzó en la elaboración del Protocolo de Acuerdos, una herramienta clave para fortalecer la articulación entre actores estratégicos.
En octubre se finalizó el diagnóstico del Laboratorio de Soluciones, que incluye capítulos sobre contexto, factores culturales, problemas comportamentales y propuestas de cambio cultural. También se firmó una carta de intención con DVVI y la Secretaría de Cultura, iniciando un plan de trabajo conjunto. En noviembre, se avanzó en la gestión de alianzas estratégicas, incluyendo la revisión del memorando de entendimiento con USAID y la exploración de futuras articulaciones con H&amp;M. Además, se elaboró el Informe de Balance General, que contiene los indicadores y características que serían evaluados en diciembre.
En diciembre, se consolidaron los documentos técnicos del Laboratorio de Soluciones y el Protocolo de Acuerdos, además de culminarse el diseño de la estrategia Caleidoscopio. Asimismo, se acompañó al Consejo Consultivo de Mujeres (CCM) en su segunda sesión ampliada, con la participación del Alcalde Mayor y los sectores de la Administración Distrital. Se presentaron los logros de la Estrategia en distintos espacios del Concejo de Bogotá y se brindó asistencia técnica para el fortalecimiento del enfoque de género en las políticas públicas. Estos avances garantizan la sostenibilidad de las acciones y proyectan nuevas estrategias para 2025.
En diciembre se ha realizado el acompañamiento técnico al  CCM y en el Concejo de Bogotá. Se realizó articulación para el acompañamiento del CCM con la dirección de Enfoque Diferencial.</t>
  </si>
  <si>
    <t>Durante agosto, septiembre y octubre, los avances en la Estrategia de Transformación Cultural aportaron beneficios clave para los derechos humanos de las mujeres. El diseño de estrategias para redistribuir las labores de cuidado impulsa una mayor equidad en el trabajo de cuidado, favoreciendo el reconocimiento de los derechos de las mujeres. El apoyo técnico de la Subsecretaría del Cuidado y la transversalización del enfoque de género en el Consejo de Bogotá fortalecen la implementación de políticas con igualdad de género. La propuesta Caleidoscopio avanzó en la prevención de violencias y la corresponsabilidad en los cuidados desde la infancia, protegiendo los derechos de niñas y niños. La elaboración del protocolo de acuerdos en el laboratorio de soluciones y la reprogramación de actividades garantizan un enfoque participativo que transforma prácticas culturales para reducir las desigualdades de género.</t>
  </si>
  <si>
    <t>5. Diseñar dos estrategias de transformación cultural con matrices de consistencia y teorías del cambio (a partir de la línea base de investigación)</t>
  </si>
  <si>
    <t>En agosto, se avanzó en el diseño de la estrategia del Laboratorio de Soluciones para la Redistribución de los Trabajos de Cuidado, a partir de la línea base y la propuesta de la matriz de consistencia y teoría de cambio. El documento cuenta con cuatro capítulos que abordan el contexto del problema en Bogotá, la identificación de posibles aliadas, comportamientos problemáticos y factores culturales asociados.
En septiembre, se alcanzó un 40% de avance en la propuesta de la estrategia cultural Caleidoscopio, enfocada en niñas y niños de Bogotá para prevenir violencias, discriminación y promover la corresponsabilidad en los cuidados. Se completaron los capítulos de diagnóstico, factores culturales y análisis de los modelos COM-B y Ecológico Feminista, estableciendo una base sólida para continuar el diseño.
Durante octubre, se avanzó significativamente en la estrategia del Laboratorio de Soluciones, completando capítulos como diagnóstico, factores culturales, problemas comportamentales y propuestas de cambio cultural y comportamental, alcanzando un 60% del documento.
En noviembre, se incorporaron los aportes del equipo de gestión del conocimiento al primer capítulo del documento técnico del Laboratorio de Soluciones para la Redistribución de los Trabajos de Cuidado, logrando un avance del 80%.
Finalmente, en diciembre, se completó el diseño de las estrategias Caleidoscopio y Laboratorio de Soluciones, consolidando los documentos técnicos para su implementación en 2024.</t>
  </si>
  <si>
    <r>
      <t xml:space="preserve">Agosto 
https://secretariadistritald.sharepoint.com/:w:/s/BogotCaminaSegura/EQigQQA7-5BArSTr3R6K9ZsBghwEozjCVdizdPgRIei2EA?e=6Ksayw
</t>
    </r>
    <r>
      <rPr>
        <sz val="11"/>
        <color rgb="FF000000"/>
        <rFont val="Calibri"/>
        <family val="2"/>
      </rPr>
      <t xml:space="preserve">Septiembre
https://secretariadistritald.sharepoint.com/:f:/s/BogotCaminaSegura/Eq1MQ8ogKcpDkidr945ED4AB2o7M1vT1XjghA5Q5tgZwwQ?e=mJoZdi
</t>
    </r>
    <r>
      <rPr>
        <u/>
        <sz val="11"/>
        <color rgb="FF000000"/>
        <rFont val="Calibri"/>
        <family val="2"/>
      </rPr>
      <t>Octubre
https://secretariadistritald.sharepoint.com/:b:/s/BogotCaminaSegura/EcyNoP52K05HjD-sADHBVYUBJ5ugjzMwysnjFd0jLJzbyQ?e=IGtbfJ
Noviembre
https://secretariadistritald.sharepoint.com/:f:/s/BogotCaminaSegura/Er0XtmO2hDtFtrdH1frkAvwBBafI2FSwJpq1OzcR2zYD4A?e=FvSrNG
Diciembre 
https://secretariadistritald.sharepoint.com/:f:/s/BogotCaminaSegura/Ei4RBlE-5xBLn7eanHX01doB7eXhbPGjMPMZFBZmVXwt1Q?e=P4kqw5</t>
    </r>
  </si>
  <si>
    <t>6. Ejecutar el pilotaje de las estrategias en comunidades seleccionadas, realizar el seguimiento de su implementación y ajustar las estrategias basándose en los resultados obtenidos. Desarrollar las acciones narrativas y comunicativas de cada estrategia.</t>
  </si>
  <si>
    <t xml:space="preserve">En septiembre con el avance en el diseño de la estrategia de laboratorio de soluciones para la redistribución del cuidado, se han iniciado las jornadas de trabajo para la elaboración del Documento de Protocolo de acuerdos. Este protocolo es clave para la ejecución de los pilotajes con la ciudadanía, permitiendo una mayor cohesión entre los diferentes actores involucrados y facilitando una implementación más efectiva de las soluciones propuestas.
Octubre 
Se realizaron dos encuentros formativos con plural para definir la lineas metodologicas y las acciones del Laboratorio de soluciones para la redistribución de los trabajos de cuidados no remunerados.
Se incorporaron las acciones/hitos en términos de articulación y comunicaciones en el plan de acción de la línea de Redistirbución de los trabajos del Cuidado
Noviembre
Se avanzo en las metodologias y la aprobación de las actividades para el desarrollo del laboratorio de soluciones para la redistribución de los trabajos de cuidados, teniendo un avance del 80%
En diciembre, se elaboró y consolidó el documento que recopila los resultados de las tres acciones de pilotaje del Laboratorio de Soluciones para la Redistribución de los Trabajos de Cuidado. El documento incluye un balance detallado de las acciones realizadas, las correcciones implementadas durante el proceso y las recomendaciones operativas para fortalecer la estrategia en futuras fases. </t>
  </si>
  <si>
    <t>Septiembre
https://secretariadistritald.sharepoint.com/:f:/s/BogotCaminaSegura/EsswUr345RxNtzHcn_aCFooBbnahSkA1s6jhHknLwBCJMw?e=Uuju7W
Octubre
https://secretariadistritald.sharepoint.com/:f:/s/BogotCaminaSegura/EgyoxZiKu2tCpJVfpZUgkm0Bte2lFthWe00oUnFJaos-tA?e=i4q7Ad
Noviembre
https://secretariadistritald.sharepoint.com/:f:/s/BogotCaminaSegura/EsGz8hd04FVKoPoyOKkMXKwBxlhuubx-82nDRYD1BPya2w?e=V0OAZz
Diciembre
https://secretariadistritald.sharepoint.com/:b:/s/BogotCaminaSegura/EWFuqzbYrR9IrTihuyKsZw0BkrzJhPH9BbXmKjt_JBA-mA?e=DuCnHd</t>
  </si>
  <si>
    <t>7. Elaborar documentos de formulación técnica que detallen el desarrollo y los resultados de las estrategias de transformación cultural. Incluir un balance de las acciones adelantadas y su impacto.</t>
  </si>
  <si>
    <t xml:space="preserve">Octubre 
Se avanzo en el documento tecnico del del protocolo de acuerdos, y la propuesta metodologica del mismo, los cuales tienen un avance del 50%.
Noviembre
Avance significativo en la estrategia de transformaciones culturales para la redistribución de los trabajos de cuidados con el desarrollo y avances en el documento del Laboratorio de Soluciones para el Reconocimiento y Redistribución de los trabajos de cuidados no Remunerados, en los siguientes capitulos:  diagnostico y contexto, analisis a partir del modelo COMB, Identificación de Problemas y Comportamientos Problemáticos y propuestas de cambio comportamental. Teniendo un avance del 80% en el mismo.
En diciembre se finalizó la consolidación del documento técnico del Laboratorio de Soluciones para la Redistribución de los Trabajos de Cuidado No Remunerados, el cual se encuentra evidenciado en la tarea No. 5. Asimismo, se completó el documento técnico del Protocolo de Acuerdos para la Redistribución de los Trabajos de Cuidado, proporcionando lineamientos clave para fortalecer la corresponsabilidad en el cuidado y fomentar alianzas estratégicas en su implementación.
</t>
  </si>
  <si>
    <t xml:space="preserve">
Diciembre
https://secretariadistritald.sharepoint.com/:f:/s/BogotCaminaSegura/Et0NHOQtZSpLiQWh1KWmCQAB2l-N1EIso11wSrgPMLY1hg?e=NKTIka
</t>
  </si>
  <si>
    <t>8. Evaluar de manera integral las estrategias implementadas, identificar áreas de mejora y planificar ajustes para futuras intervenciones.</t>
  </si>
  <si>
    <t xml:space="preserve">Durante el mes de noviembre se postulo el documento "Indorme Balance transformaciones culturales" el cual contiene los diferentes indicadores y caracteristicas que seran evaluados durante el mes de diciembre.
En diciembre se elaboró y consolidó el documento de reporte y evaluación de acciones desarrolladas desde la línea de cuidado en el marco de la Estrategia de Transformaciones Culturales, evidenciando los avances, aprendizajes y recomendaciones para fortalecer las acciones futuras en la redistribución de los trabajos de cuidado. </t>
  </si>
  <si>
    <t>Noviembre: 
https://secretariadistritald.sharepoint.com/:f:/s/BogotCaminaSegura/EtpVcPLf4-ZCmPmHHxxPKNwB3fY6lYEYjKFMBuYuPQKFBA?e=KPLoV9
Diciembre 
https://secretariadistritald.sharepoint.com/:f:/s/BogotCaminaSegura/EhzRcBOgkw5LvnLRknbEYDsBZ11oAd72Kl7vb_gRHAHcVA?e=QrX1rp</t>
  </si>
  <si>
    <t>9. Realizar las acciones pertinentes para el desarrollo de la secretaría técnica del Consejo Consultivo de Mujeres de Bogotá, Mesa Coordinadora, Espacio Autónomo, Espacio Ampliado, según las funciones establecidas en el Decreto 364 de 2021.</t>
  </si>
  <si>
    <t>Durante el mes de agosto se convoca y asiste a la Mesa Coordinadora de agosto en la que se presenta la Estrategia Mujeres y el estado actual de la PPMYEG y de la PPASP. Se acompaña la sesión mensual del Espacio Autónomo con levantamiento del acta. Se acompaña técnicamente dos procesos: a) Pacto de corresponsabilidad, en el cual se analiza la información reportada por las referentes de género sobre el avance en la implementación y se acompaña la construcción del nuevo pacto, a firmar por los nuevos alcaldes y alcaldesas el 19 de septiembre. b) encuentro de construcción de la memoria del espacio autónomo del CCMB, en el cual se construye conjuntamente la metodología.
Se acompaña técnicamente 3 sesiones de trabajo para la Construcción del contenido del Pacto de Corresponsabilidad por los Derechos Humanos de las Mujeres 2024-2028 (3, 13 y 16 de septiembre). Se convoca y asiste a la reunión ordinaria de la Mesa Coordinadora de septiembre en la que se presenta un recuento del proceso para la construcción del Pacto y se acuerdan pasos a seguir. En la sesión ordinaria del Espacio Autónomo se levanta acta. Además, se da continuidad a la preparación logistica y metodológica del encuentro para la construcción de la memoria colectiva del espacio autónomo del CCMB.
En el mes de octubre se desarrollaron de los eventos “Encuentro para la Construcción de la Memoria Colectiva del Consejo Consultivo de Mujeres de Bogotá” el 19 de octubre y “firma del Pacto de Corresponsabilidad por los Derechos Humanos de las Mujeres entre Alcaldesas y Alcaldes y el Consejo Consultivo de Mujeres de Bogotá – Espacio Autónomo” el 29 de octubre. Se convoca y asiste a reunión extraordinaria de la Mesa Coordinadora el 18 de octubre y a la reunión ordinaria el 30 de octubre en la que participan tres direcciones de la SDMujer: Dirección de Eliminación de Violencias contra las Mujeres y Acceso a la Justicia; Dirección del Sistema de Cuidado y Dirección de Territorialización de Derechos y Participación. Adicionalmente, se coordinó reunión entre la instancia autónoma y la Secretaría Distrital de Planeación sobre el enfoque de género y los derechos humanos de las mujeres en el Plan Distrital de Desarrollo (15 de octubre) y entre la instancia y la Dirección de Territorialización sobre criterios de elegibilidad, viabilidad y de enfoques de políticas públicas del sector mujeres (16 de octubre).
En el mes de noviembre se convoca y asiste a reunión extraordinaria de la Mesa Coordinadora el 14 de noviembre con la Dirección de Eliminación de Violencias y a reunión ordinaria el 27 de noviembre en la que se presenta un reporte de la implementación de compromisos de las reuniones ordinarias y extraordinarias de la misma instancia entre junio y octubre de 2024. Se convoca y desarrolla el evento "Voces entre generaciones: Mujeres que inspiran, un legado en común” que convocó a exconsejeras y consejeras consultivas el 30 de noviembre. Este evento buscó visibilizar sus liderazgos y aportes a la institucionalización de los derechos de las mujeres en la administración distrital desde el 2007. Adicionalmente, se desarrollaron dos espacios de conexión emocional con psicóloga de la Dirección de Enfoque Diferencial para el fortalecimiento de la instancia (9 y 23 de noviembre).
El 5 de diciembre se lleva a cabo la segunda sesión del Espaciado Ampliado del Consejo Consultivo de Mujeres con la participación del Alcalde Mayor, los 15 sectores de la Administración Distrital y la Alcaldesa de Teusaquillo como representante de las Alcaldías locales. De esta manera, se da cumplimiento a las dos sesiones ordinarias de año y al seguimiento de los 26 compromisos asumidos en la primera sesión. El 13 de de diciembre el Espacio Autónomo presenta el informe de gestión en evento público. En esta última actividad la secretaría técnica acompaña logísticamente.</t>
  </si>
  <si>
    <t>https://secretariadistritald.sharepoint.com/:f:/s/BogotCaminaSegura/EiEChgJAE8VGiWmTKmg778QB1iFZhce5oFOaI0YdpoVGbQ?e=VKxOKq</t>
  </si>
  <si>
    <t>10. Acompañar técnicamente la transversalización del enfoque de género en el Concejo de Bogotá, con énfasis en las bancadas de mujeres de este órgano</t>
  </si>
  <si>
    <t xml:space="preserve">Durante el mes de agosto la Secretaría Distrital de la Mujer asistió al foro sobre ciudad púrpura convocado por la Comisión Legal de la Mujer en donde se expuso la articulación de la SDMujer con la policía para atender las violencias basadas en género. También se asistió a la bancada Bogotá 24 horas convocada por la HC Donka Atanassova en donde se discute el lanzamiento de la bancada y la SDMujer realiza acompañamiento para transversalizar el enfoque de género. Igualmente, la SDMujer asistió al debate de control político sobre comisarias de familia convocado por la HC Heidy Sánchez en donde se expuso las acciones articuladas de la entidad con la Secretaría de Integración Social en el marco de la atención a casos de violencia intrafamiliar. 
Durante el mes de septiembre, la Secretaría Distrital de la Mujer realizó la entrega de certificados del Sello de Igualdad a las Unidades de Apoyo Normativo que participaron en el ciclo de talleres para la transversalización del enfoque de género. 
Durante el mes de octubre se asistió al foro de salud mental en donde se conversó sobre los impactos diferenciados que esta tiene en las personas. Igualmente se prepararon insumos y se asistió a la sesión de control político en donde se informó sobre el presupuesto de la secretaría de la mujer.
Durante el mes de noviembre se asistió al foro del 25N día internacional para la eliminación de la violencia contra las mujeres convocado por el concejo de Bogotá, allí se realizó una intervención exponiendo las acciones de la SDMujer para la prevención y atención de violencias. También se asistió a la mesa de trabajo del proyecto de acuerdo 863 del 2024 sobre endometriosis en donde se realizó asistencia técnica para la incorporación del enfoque de género. Igualmente se realizó una capacitación sobre enfoque de género al comité de género del Concejo el 26 de noviembre.
Durante diciembre se asistió a la comisión accidental de la salud mental en donde se expuso la importancia de la transversalización del enfoque de género para la garantía de la salud plena de las mujeres. Igualmente se asistió al lanzamiento de la bancada 24 horas en donde se tiene como propósito visibilizar las afectaciones diferenciadas para hombres y mujeres en la ciudad. </t>
  </si>
  <si>
    <t>https://secretariadistritald.sharepoint.com/:f:/s/BogotCaminaSegura/Ei8FadY2S3ZHiVF16FKi5_gBiDZzyB_FhIyllrOh7slEHA?e=YA5zI4</t>
  </si>
  <si>
    <t>Desarrollar 3 acciones de transformación cultural efectivas para prevenir las violencias contra las mujeres, incluyendo campañas educativas. (Producto MGA - Servicio de promoción de la garantía de derechos)</t>
  </si>
  <si>
    <t>Durante diciembre, se consolidaron los resultados de la Estrategia de Transformación Cultural para la Prevención del Acoso Sexual y otras Formas de Violencia en Espacios Públicos y Transporte. Se realizó un evento de socialización que contó con la participación de más de 60 personas, donde se presentaron los aprendizajes obtenidos a partir de los laboratorios de cocreación ciudadana con mujeres de Bogotá. Estos laboratorios incluyeron la creación de metodologías pedagógicas, como un juego de cartas que brinda herramientas para intervenir de manera segura en situaciones de acoso y la entrega del primer capítulo del cómic “Las Siriris”. Las acciones desarrolladas fortalecen la participación ciudadana y promueven soluciones culturales para la prevención del acoso, con énfasis en la seguridad y los derechos de las mujeres en el transporte público.</t>
  </si>
  <si>
    <t>Durante 2024, se lograron avances significativos en la Estrategia de Transformación Cultural para la Prevención del Acoso Sexual y otras Formas de Violencia en Espacios Públicos y Transporte Público. Desde agosto, se trabajó en la formulación del documento técnico, que incluye un análisis cualitativo y cuantitativo sobre las violencias contra las mujeres en estos espacios. Se abordaron temas como los comportamientos problemáticos y los factores culturales que perpetúan el acoso, utilizando los modelos COM-B y Ecológico Feminista para proponer acciones de cambio cultural. En septiembre, se integró un capítulo enfocado en la prevención del acoso sexual en frentes de obra, consolidando un enfoque integral.
El desarrollo de la estrategia incluyó laboratorios de cocreación ciudadana, iniciados en septiembre en colaboración con Universidad El Bosque y Transmilenio, donde mujeres que utilizan el transporte público participaron en la construcción de soluciones visuales y culturales frente al acoso. En octubre, se avanzó en el Laboratorio Ciudadano “Acoso entre Líneas”, con sesiones destinadas a diseñar herramientas pedagógicas y campañas de sensibilización. En noviembre, se completó el 90% de las sesiones, logrando avances clave en la metodología, incluyendo la creación de un juego de cartas pedagógico y la primera entrega del cómic “Las Siriris”.
Finalmente, en diciembre, se llevó a cabo el evento de socialización de la estrategia, donde se presentaron los resultados de los laboratorios y las propuestas culturales desarrolladas. Estas acciones fortalecen los procesos participativos y generan soluciones culturales que buscan transformar los entornos públicos en espacios más seguros para las mujeres de Bogotá. Además, se lograron avances en la articulación con actores estratégicos, como Generando Equidad y la Universidad El Bosque, lo que asegura la sostenibilidad y expansión de las acciones en 2025.</t>
  </si>
  <si>
    <t>No se presentaron retrasos conforme a lo programado.</t>
  </si>
  <si>
    <t xml:space="preserve">Los avances en la Estrategia de Transformación Cultural benefician a las mujeres de Bogotá al fortalecer su derecho a un entorno seguro y libre de violencias. Con acciones concretas para prevenir el acoso en espacios públicos, transporte y frentes de obra, se promueven cambios culturales que protegen sus derechos. Además, se fomenta la corresponsabilidad en los cuidados y se generan alianzas estratégicas que garantizan un impacto positivo, mejorando la calidad de vida de las mujeres y promoviendo su participación activa en la transformación social.
</t>
  </si>
  <si>
    <t>Capítulo: prevención acoso sexual en frentes de obra, diagnósticos y propuestas de cambio cultural. Mesas de trabajo (U.Bosque-Transmilenio) enfocadas en laboratorios de cocreación con mujeres en transporte público.Sinergia comunicativa en prevención de violencias en espacios públicos y transporte.</t>
  </si>
  <si>
    <t>11. Diseñar una estrategia de transformación cultural para prevenir las violencias contra las mujeres, incluyendo matrices de consistencia y teorías del cambio (a partir de la línea base de investigación)</t>
  </si>
  <si>
    <t>Durante los meses de agosto y septiembre, se avanzó en la formulación del documento técnico de la estrategia de prevención de violencias y acoso contra las mujeres en espacios y transporte público. Este documento aborda detalladamente el contexto del acoso en Bogotá, con análisis cualitativos y cuantitativos sobre los comportamientos problemáticos y los factores culturales asociados, como el machismo y la normalización del acoso. En particular, se estudia la violencia en Transmilenio y en espacios solitarios como parques, analizando su impacto en los derechos humanos de las mujeres, tales como la libertad de movimiento y la seguridad.
El documento utiliza los modelos COM-B y ecológico feminista para identificar y evaluar los factores culturales que alimentan el problema. Además, propone acciones de transformación cultural, como intervenciones artísticas y pedagógicas en Transmilenio, con la participación ciudadana y campañas de sensibilización. En septiembre, se integró al documento el capítulo sobre la prevención del acoso sexual en frentes de obra, incluyendo diagnósticos, análisis culturales y propuestas de cambio, con una priorización de las acciones sugeridas. Este avance permite abordar el acoso desde diversos contextos, consolidando un enfoque integral de transformación cultural en Bogotá.   
Para el mes de octubre se finaliza el documento técnico de la estrategia de Prevención de Violencias y acoso en espacio público, realizando la actualización y ajuste del  documento que fue presentado en el mes de agosto y septiembre</t>
  </si>
  <si>
    <t>Octubre:  https://secretariadistritald.sharepoint.com/:b:/s/BogotCaminaSegura/EQ4VMQCp631GossbMCvNcgwBVtj1vwxqPH3HSEXNOMtybA?e=p5OeTc
Noviembre: 
https://secretariadistritald.sharepoint.com/:f:/s/BogotCaminaSegura/EjVCHd5gmINGrMZV-xZSTjAB4mPMXpycujQaky88IMYErg?e=YS8nWh</t>
  </si>
  <si>
    <t xml:space="preserve">12. Desarrollar el pilotaje de la estrategia en comunidades seleccionadas, realizar el seguimiento de su implementación y ajustar las estrategias basándose en los resultados obtenidos. </t>
  </si>
  <si>
    <t xml:space="preserve">En septiembre se inició el pilotaje de la estrategia mediante mesas de trabajo con la Universidad El Bosque y Transmilenio. Estas mesas están enfocadas en el desarrollo de laboratorios de cocreación cartográfica y visual con mujeres en transporte público. Se consolidó un plan de trabajo que decanta en un primer espacio de pilotaje. Estas acciones permiten una mayor participación ciudadana, específicamente de las mujeres, en el diseño de soluciones visuales y culturales que aborden el acoso sexual en transporte público. 
En el mes de octubre se inicia el desarrollo de las sesiones de trabajo con las mujeres de la ciudad del Laboratorio ciudadano acoso entre líenas, espacio que busca construir conjuntamente con mujeres de la ciudad, soluciones y alternativas frente al acoso callejero en transporte público, particularmente en el sistema integrado Transmilenio.   
Para el mes de noviembre, se ha llevado a cabo el 90% de las sesiones del laboratorio ciudadano "Acoso entre líneas". Este espacio ha permitido avanzar  en la construcción de los elementos fundamentales para el diseño de la metodolgia de la estrategia, destinada a la línea de intervención específica sobre la "prevención de acoso sexual en espacios públicos y transporte colectivo".  Dentro de los avances del mes, se presenta la construcción del contenido y metodologia de una juego de cartas para ser usado como insumo pedagogico para vindrar herramientas a la ciudadania de cómo intervenir de manera efectiva y segura al ser testigos de situaciones de acoso sexual en la vía pública y la primera entrega del comic Las Siriris. 
En el mes de diciembre se realiza el evento de socialización de las acciones de tranformación cultural para la prevención del acoso sexual y otras formas de violencia en espacio y transporte público, el cual conto con la participación de mas de 60 personas y que recogio los resultados de los laboratorios de cocreación ciudadana con las mujeres de Bogotá. </t>
  </si>
  <si>
    <t>Septiembre
https://secretariadistritald.sharepoint.com/:f:/s/BogotCaminaSegura/EnM9nekge0lPuyD2jyZWJZQBk859ES1AIAa19w_sLfZV5w?e=W2yWD7.      
Octubre:
https://secretariadistritald.sharepoint.com/:x:/s/BogotCaminaSegura/EXyWcDMMLetAjuQkaJvHXTsBv1gQQuaCJUfrasfW8CXpfw?e=lJ8KPv
Noviembre: 
https://secretariadistritald.sharepoint.com/:f:/s/BogotCaminaSegura/Ekc_y2eHlxBEie8hMUIDlZ8BzGA7nzYu7-vLeybWpjAZuA?e=2IRQtE
Diciembre
https://secretariadistritald.sharepoint.com/:f:/s/BogotCaminaSegura/Ehyz58Q8tghIp0Imx_GTG8QBRRGj6PJQU9-VvORL39LJaQ?e=SJfzw8</t>
  </si>
  <si>
    <t>13. Idear  las acciones narrativas y comunicativas de cada estrategia.</t>
  </si>
  <si>
    <t xml:space="preserve">En agosto, se logró un avance significativo en la formulación de la estrategia de transformación cultural para la prevención de la violencia y el acoso en espacios públicos y transporte. En particular, se desarrolló la sombrilla narrativa, que articula todas las acciones propuestas, asegurando coherencia y efectividad en las intervenciones. Este enfoque conceptual, detallado en el capítulo 15 (páginas 46 a 49), sirve como eje que unifica las actividades bajo un mensaje claro, orientado a sensibilizar y movilizar a la ciudadanía en torno a la prevención de violencias de género. Se han diseñado acciones comunicativas clave, incluyendo campañas informativas, intervenciones artísticas y estrategias pedagógicas que buscan transformar normas y comportamientos que perpetúan la violencia y el acoso.
En septiembre se llevaron a cabo reuniones de trabajo con Generando Equidad y la Universidad El Bosque para desarrollar una sinergia comunicativa. Esta colaboración es clave para articular acciones de cambio cultural enfocadas en la prevención de la violencia y el acoso en espacios públicos y transporte. El desarrollo de estas alianzas fortalece la cohesión entre las diferentes partes interesadas, aumentando el impacto de las futuras acciones comunicativas y culturales.
En octubre se dió continuidad a las articulaciones a través de reunión de trabajo con Generando Equidad y Universidad El Bosque para construir La narrativa a posicionar para la conmemoración del 25N. Allí se logro concertar un concepto y argumento narrativo para el anzamiento de la camapaña comunicativa para el 25N. </t>
  </si>
  <si>
    <t>Agosto
https://secretariadistritald.sharepoint.com/:w:/s/BogotCaminaSegura/EcFVCbU2lzBFoxGrIvBFfJ8BjE6wtqYX7lrZciB5HzjAWw?e=dGLLhb
Septiembre
https://secretariadistritald.sharepoint.com/:f:/s/BogotCaminaSegura/EpnndnDF0yBImSYbYLPTG4MBbv4vy3FVY__d30bqkUWD_g?e=7vBHZe.  Octubre: https://secretariadistritald-my.sharepoint.com/:b:/g/personal/jdcortes_sdmujer_gov_co/EVOC28qPvERMr9S52R2FVvgBclaAck11DzSe-mU8mSnLmw?e=BbuIWe
Octubre
https://secretariadistritald.sharepoint.com/:f:/s/BogotCaminaSegura/Eo-zwoNojhNCh5MGeua6qk8BZREP2b1HFZmocd3pcGI_dw?e=ZfJGIm</t>
  </si>
  <si>
    <t>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t>
  </si>
  <si>
    <t>En diciembre se finalizó el Documento Técnico de Formulación para la Eliminación de Estereotipos e Imaginarios sobre las Mujeres en el Deporte, que incluye un diagnóstico detallado sobre las barreras culturales y comportamentales que afectan la participación de las mujeres, especialmente en el ciclismo. El documento se complementa con una presentación desarrollada en colaboración con la Dirección de Eliminación de Violencias, que recoge datos clave sobre la problemática y propuestas para su abordaje desde la transformación cultural. Además, se llevó a cabo la última submesa de género del año, en la que se socializaron los avances alcanzados en 2024 y se definieron los retos para 2025, en el marco del Decreto 053 de 2023, que garantiza los derechos a la protesta pacífica con enfoque de género.</t>
  </si>
  <si>
    <t>Durante 2024, se avanzó de manera significativa en la formulación de la Estrategia de Transformación Cultural para la Eliminación de Estereotipos e Imaginarios sobre las Mujeres en el Deporte, con un enfoque en derechos humanos como la igualdad, la participación y una vida libre de discriminación. En agosto y septiembre, se elaboró un documento preliminar que incluye un diagnóstico inicial sobre cómo los estereotipos afectan la representación y participación de las mujeres en actividades deportivas. Este análisis incorpora datos cualitativos y cuantitativos, además de marcos de referencia como los modelos COM-B y Ecológico Feminista.
En octubre, se avanzó en la elaboración del Documento Técnico de Formulación, que incluye un análisis detallado de las barreras culturales y propuestas de acciones para desmantelar los estereotipos negativos en deportes como el fútbol y el ciclismo. Durante noviembre, se consolidó la Matriz de Consistencia, que identifica los factores culturales y comportamentales que perpetúan los estereotipos, aportando una base sólida para futuras acciones de cambio cultural.
Paralelamente, se realizaron múltiples reuniones y espacios de articulación en el marco del Decreto 053 de 2023, enfocado en la garantía de derechos durante las protestas sociales. Se llevaron a cabo Puestos de Mando Unificado (PMU) y submesas de género, en los que la Secretaría Distrital de la Mujer acompañó movilizaciones como la del 28 de septiembre (Día por la Despenalización del Aborto) y el 25 de noviembre (Día Internacional para la Eliminación de la Violencia contra las Mujeres). Estas acciones fortalecieron la transversalización del enfoque de género en los protocolos de protesta pacífica.
El cierre del año se dio con la finalización del Documento Técnico de Formulación, que visibiliza los estereotipos de género en el deporte y propone estrategias de cambio cultural para promover la igualdad y erradicar la discriminación en los entornos deportivos.
El 11 de diciembre, se realizó una submesa de género para con el fin de socializar los avances de la vigencia 2024 y retos del 2025. Se propuso un plan de acción para el trabajo de las consejeras territoriales de planeación el cual no programo actividades para el mes de diciembre.</t>
  </si>
  <si>
    <t>Acompañamiento técnico para el fortalecimiento del derecho a la participación de las mujeres en las diferentes instancias priorizadas, para el posicionamiento de sus agendas.
La Estrategia de Eliminación de Estereotipos e Imaginarios sobre las Mujeres en el Deporte contribuirá a que las mujeres puedan participar en actividades deportivas sin ser limitadas por estereotipos de género, garantizando su derecho a la igualdad y a la no discriminación. Al desmantelar imaginarios negativos en disciplinas como el ciclismo y el fútbol, se fomenta la inclusión y representación equitativa de las mujeres en el deporte, promoviendo entornos libres de violencia y discriminación.
El trabajo realizado en el marco del Decreto 053 de 2023 asegura la protección de los derechos de las mujeres durante las manifestaciones y protestas sociales, garantizando su participación segura y libre en espacios públicos. Las acciones realizadas a través de los Puestos de Mando Unificado (PMU) y las submesas de género fortalecen la capacidad del Estado para brindar acompañamiento institucional con un enfoque de género, reduciendo los riesgos de violencia y garantizando los derechos de las mujeres durante las movilizaciones.
La creación de metodologías pedagógicas y la promoción de campañas de sensibilización aportan herramientas para la ciudadanía en general, fomentando la construcción de entornos más igualitarios y seguros, y desafiando las normas culturales que perpetúan los estereotipos y la discriminación contra las mujeres.</t>
  </si>
  <si>
    <t xml:space="preserve">Revisión y elaboración documento: Diagnostico sobre estereotipos - mujeres en el deporte, se enmarca en: Der.a la Igualdad y la No Discriminación; Der.Vida Libre de Violencia y Discriminación; Der.a Participación y Representación Equitativa y Der.a Educación y Sensibilización en Igualdad de Género. </t>
  </si>
  <si>
    <t>14. Adelantar la revisión de documentos diagnósticos y complementar las acciones de investigación para la consolidación de la línea base de una estrategia que promueva y garantice el libre ejercicio de los derechos de las mujeres y la equidad de género.</t>
  </si>
  <si>
    <t xml:space="preserve">Se adelantó el ejercicio de revisión y elaboración de un documento inicial de transformación cultural para la eliminación de imaginarios y estereotipos sobre las mujeres en el deporte, y que contiene un diagnostico inicial entre las páginas 5 y 15 de dicho documento, igualmente incorpora un análisis sobre la afectación de esta problemática en los derechos humanos de las mujeres y que se relacionan a continuación.  
1) Derecho a una Vida Libre de Violencia y Discriminación. 
2) Derecho a la Participación y a la Representación Equitativa. 
3) Derecho a la Educación y Sensibilización en Igualdad de Género.
En el mes de septiembre, se logró la elaboración de una presentación que incluye datos clave sobre las violencias y la afectación de los derechos de las mujeres en el entorno deportivo del ciclismo. Este trabajo se realizó en articulación con la Dirección de Derechos y Diseño de Política. Además, se elaboró un documento general que recopila los resultados de la investigación, con información cualitativa y cuantitativa, que se integrará al documento de la Estrategia de Transformación Cultural. Estos avances permiten visibilizar problemáticas específicas en el ámbito deportivo, aportando una base sólida para futuras acciones de cambio cultural
En el mes de octubre se inicio la consolidación de los respectivos diagnosticos relacionados con llas barreras culturales y comportamentales de las mujeres que limitan su participación en el deporte por estereotipos e imaginarios negativos este di9agnostico se encuientra en el documento que reposa como evidencia de la tarea 15 entre las paginas 5 y 16. 
En el mes de noviembre se da por finalizado el diagnostico con el desarrollo de la "Matriz de Consistencia"  documento anexo al documento técnico de formulación, que a partir de los datos cualitativos y cuantitativos identifica las barreras culturales y comportamentales que limitan la garantia de derechos de las mujeres y sustentan estereotipos negativos en el futbol </t>
  </si>
  <si>
    <t>Noviembre:
https://secretariadistritald.sharepoint.com/:f:/s/BogotCaminaSegura/EhQsre2JE9dMg9eUdUu3FUYBhrW7bwMmhOf1kWKdkwMt2g?e=aM6ygA</t>
  </si>
  <si>
    <t xml:space="preserve">15. Avanzar en el diseño de una estrategia de transformación cultural que promueva y garantice el libre ejercicio de los derechos de las mujeres y la equidad de género (a partir de la línea base de investigación) </t>
  </si>
  <si>
    <t xml:space="preserve">Para el mes de octubre se da incio a la elbaoración del documento tecnico de formulación de la estratgegia de eliminación de estereotipos e imaginarios negativos contra las mujeres en el deporte. 
En el mes de noviembre se logró un avance significativo en el documento técnico para las acciones de cambio cultural titulado “Estereotipos e Imaginarios 
sobre las Mujeres en el Deporte” Campeonato Mundial de Futbol Femenino.
En diciembre se finalizó el documento técnico de formulación para la Eliminación de Estereotipos e Imaginarios sobre las Mujeres en el Deporte, complementado con una presentación que incluye datos y propuestas específicas para abordar los estereotipos y violencias contra mujeres en el ciclismo, desarrollada en colaboración con la Dirección de Eliminación de Violencias. </t>
  </si>
  <si>
    <t>Octubre
https://secretariadistritald.sharepoint.com/:b:/s/BogotCaminaSegura/EV4Czx3suvNCjtxjrCDyo0IBU6sy3xIFIzoc0E0ZctdaxA?e=1IS6h1
Noviembre
https://secretariadistritald.sharepoint.com/:f:/s/BogotCaminaSegura/EuzKlb4LOxFKoasjF_sL3XsBwnDktL6UAssF98RmuT1T9A?e=0gJyyS
Diciembre 
https://secretariadistritald.sharepoint.com/:f:/s/BogotCaminaSegura/EpCMqIr5lfBHtwiN80XnvAIBCTrBYn3LIbdsm1gP3AH1Rw?e=3yoUgH</t>
  </si>
  <si>
    <t>16.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</si>
  <si>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 xml:space="preserve">Se realiza submesa de género el día 14 de agosto,  con el fin de realizar evaluación de las sesiones de sensibilización del decreto 053 con enfoque de género.  No se realizó Puesto de Mando Unificado para el mes de agosto.
Se realiza reunión interna de trabajo movilización y protesta social, el día 06 de septiembre para determinar las acciones conjuntas tanto en Puesto de Mando Unificado como en terreno para el día 28 de septiembre denominado Día por la Despenalización y Legalización del Aborto 
Se realiza reunión Secretaría Técnica Decreto 053-2023, el día 12 de septiembre  para realizar coordinación conjunta entre las entidades sobre las acciones que viene desarrollando desde el sector mujer dentro de la Submesa para la Garantía de los Derechos de las mujeres, diversidades, disidencias sexuales y de género y la Secretaría Técnica de la instancia que está a cargo de la Dirección de Derechos Humanos de Gobierno.
Se realiza segundo encuentro manejo universidades públicas en escenarios de protesta. el día 16 de septiembre, con el fin de  consolidar propuestas para el abordaje de la situación actual de las universidades públicas.
Se realiza reunión externa escenario protesta social, el día 18 de septiembre plan de trabajo entre la Secretaría Distrital de la Mujer y la Secretaría Distrital de Gobierno para la Submesa de Género.
Se realiza Puesto de Mando Unificado apoyo reformas del Gobierno Nacional, el día 18 de septiembre, con el fin de realizar acompañamiento por parte de la Secretaría Distrital de la Mujer como firmante del Decreto 053 de 2023.
Se realiza reunión extraordinaria del Decreto 053 de 2023, el día 20 de septiembre con el fin de  la movilización el día 25 de septiembre día por la Despenalización y Legalización del Aborto.
Se realiza Puesto de Mando Unificado despenalización y legalización Aborto el día 28 de septiembre, con el fin de realizar acompañamiento por parte de la Secretaría Distrital de la Mujer como firmante del Decreto 053 de 2023.
Se realiza reunión el día 03 de octubre, desde la Secretaría Distrital de Gobierno  a mesa Extraordinaria Distrital de Coordinación y Seguimiento, con motivo Cumbre y movilización de Consejo Nacional de Paz Afrocolombiano (CONPA)
Se realiza Puesto de Mando Unificado el día 07 de octubre, con el fin de realizar acompañamiento por parte de la Secretaría Distrital de la Mujer como firmante del Decreto 053 de 2023.
Se realiza Puesto de Mando Unificado el día 08 de octubre, con el fin de realizar acompañamiento por parte de la Secretaría Distrital de la Mujer como firmante del Decreto 053 de 2023.
Se realiza submesa de género el día 09 de octubre, con el fin de realizar balance de la movilización del 28 de septiembre a favor del aborto libre y seguro
 se realiza mesa ordinaria del Decreto 053 de 2023, el día 16 de octubre, con el fin de rendir informa por parte de las entidades firmantes del Decreto sobre sus actuaciones durante el tercer trimestre de la vigencia 2024. 
Se realiza Puesto de Mando Unificado el día 19 de octubre, con el fin de realizar acompañamiento por parte de la Secretaría Distrital de la Mujer como firmante del Decreto 053 de 2023 en la marcha de los niños y Contramarcha, Marcha contra la reforma del Gobierno.
Cargado tercer informe de gestión trimestral Submesa de Género.
Se realiza reunión el día 01 de noviembre, mesa Ordinaria Distrital de Coordinación y Seguimiento, con el fin de revisar las actuaciones de las entidades durante los primeros 6 meses dela vigencia 2024.
Se realiza reunión el día 08 de noviembre mesa extraordinaria del Decreto 053 de 2023, con motivo de las movilizaciones de taxistas convocadas para el día 13 de noviembre de 2024.
Se realiza submesa de género el día 13 de noviembre, con el fin de socializar la ruta única de atención a mujeres victimas de violencia y en riesgo de feminicidio por parte de la SDMujer.
Se realiza reunión extraordinaria del Decreto 053 de 2023, el día 19 de noviembre, con motivo de las movilizaciones del Día Internacional de la Eliminación de la Violencia contra la Mujer.
Se realiza Puesto de Mando Unificado en terreno, el día 25 de noviembre, con el fin de realizar acompañamiento por parte de la Secretaría Distrital de la Mujer como firmante del Decreto 053 de 2023 en el día internacional de la no violencia contra las mujeres.
Se realiza reunión el día 04 de diciembre, mesa Ordinaria Distrital de Coordinación y Seguimiento, con el fin de revisar las actuaciones de las entidades durante los ultimos 6 meses de la vigencia 2024.
Se realiza ultima submesa de género el día 11 de diciembre, con el fin de socializar los avances de la vigencia 2024 y retos del 2025 con los y las firmantes del Decreto 053 de 2023.
Informe acompañamiento Puesto de Mando Unificado vigencia 2024 Decreto 053 de 2023 por el cual se establece y adopta el «Protocolo Distrital para la garantía y protección de los derechos a la reunión, manifestación pública y la protesta social pacífica»
</t>
  </si>
  <si>
    <t>https://secretariadistritald.sharepoint.com/:f:/s/BogotCaminaSegura/EnPh24LzhnVPru-P6HIe5_cBYBGzWZGe36xPwITdY5aquQ?e=eBjO0s</t>
  </si>
  <si>
    <t>17. Socializar e implementar la hoja de ruta para incorporar los enfoques de derechos de las mujeres, de género y diferencial, mediante el acompañamiento técnico a dos instancias de participación del Distrito Capital, priorizadas por la Subsecretaría del Cuidado y Políticas de Igualdad</t>
  </si>
  <si>
    <t>Realizada reunión el día 13 de agosto, con el fin de realizar presentación de la nueva Subsecretaria del Cuidado y Políticas de Igualdad y proponer plan de acción para el trabajo de las consejeras territoriales durante este periodo.
En el mes de septiembre Realizado plan de acción CTPD, con el fin de realizar acompañamiento y fortalecimiento de los derechos de las mujeres a las consejeras territoriales CTPD.
Se realiza reunión con la Secretaría Tecnica del CTPD, el día 22 de octubre, con el fin de revisar temas de la instancia con la Secretaría Distrital de Planeación. 
 Se proyecta el día 25 de octubre correo para las consejeras consultivas del CTPD proponiendo desde la SDMujer socializar el plan de acción vigencia 2024.
Cargado tercer informe de gestión trimestral instancia Consejo Territorial de Planeación distital (CTPD)
Se realiza reunión con la Secretaría Tecnica del CTPD, , el día 12 de noviembre, con el fin de dialogar con la Directora del Sistema Distrital de Cuidado sobre la manzana de Engativá y el equipo de la Subsecretaría del Cuidado y Políticas de Igualdad de la Secretaría Distrital de la Mujer.
En el mes de diciembre se realizó el informe de gestión del IV trimestre de 2024. Cargado en el botón de transparencia y reporte del PIPC</t>
  </si>
  <si>
    <t>https://secretariadistritald.sharepoint.com/:f:/s/BogotCaminaSegura/Eks9d141O9JFn2qOOqYKeFIBP9EHvgUL9uElh81GGN6SEw?e=DLNwKO</t>
  </si>
  <si>
    <t>Página 2 de 4</t>
  </si>
  <si>
    <t xml:space="preserve">PROGRAMACIÓN </t>
  </si>
  <si>
    <t>SOLUCIONES PROPUESTAS PARA RESOLVER LOS RETRASOS Y FACTORES LIMITANTES PARA EL CUMPLIMIENTO</t>
  </si>
  <si>
    <t>PRODUCTO INSTITUCIONAL (PMR):</t>
  </si>
  <si>
    <t>Servicio de coordinación del Sistema Distrital de Cuidado y Servicios Complementarios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</si>
  <si>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</si>
  <si>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</si>
  <si>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</si>
  <si>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</si>
  <si>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</si>
  <si>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</si>
  <si>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</si>
  <si>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</si>
  <si>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Implementar acciones de transformación cultural que promuevan la redistribución equitativa de las labores del cuidado en Bogotá.</t>
  </si>
  <si>
    <t xml:space="preserve">Número de personas que participan de las acciones y procesos de transformación cultural para las redistribución de los trabajos de cuidado no remunerados. </t>
  </si>
  <si>
    <t>Número de personas vinculadas a los talleres de cambio cultural</t>
  </si>
  <si>
    <t>Suma</t>
  </si>
  <si>
    <t xml:space="preserve">número </t>
  </si>
  <si>
    <t xml:space="preserve">sumatoria de personas participantes. </t>
  </si>
  <si>
    <t>Profesional/contratista responsable de instrumentos de planeación 2024</t>
  </si>
  <si>
    <t xml:space="preserve">Mensual </t>
  </si>
  <si>
    <t>Plan de acción del proyecto - SIMISIONAL</t>
  </si>
  <si>
    <t xml:space="preserve">Diciembre
Se realizaron un total de 14 actividades de transformación cultural para aportar al reconocimiento y la redistribución de los trabajos de cuidados no remunerados en Bogotá. Se implementaron los módulos "A cuidar se aprende" y "Cuidamos a las que nos cuidan". Estas actividades se desarrollaron en las unidades operativas del Sistema de Cuidado: Manzanas del cuidado, Asistencia en Casa y otras unidades operativas.
</t>
  </si>
  <si>
    <t>https://secretariadistritald-my.sharepoint.com/:x:/g/personal/jdcortes_sdmujer_gov_co/EYT4c7k3PRZEm2yHcXFh164BhfqAnKUvVxscNrLtpm9C4A?e=f3sLN2</t>
  </si>
  <si>
    <t>Se realizaron un total de 139 actividades de transformación cultural, con la participación de 1.760 personas, orientadas al reconocimiento y redistribución de los trabajos de cuidado no remunerados. Estas acciones incluyeron la implementación de los módulos “A cuidar se aprende” y “Cuidamos a las que nos cuidan”, desarrollados en las unidades operativas del Sistema Distrital de Cuidado, como las Manzanas del Cuidado, Asistencia en Casa y otras modalidades de atención.
La meta propuesta fue cumplida y superada durante los meses de noviembre y diciembre. No obstante, debido a la continuidad de los objetivos territoriales del Sistema de Cuidado, las acciones pedagógicas se mantienen activas en las Manzanas del Cuidado, incluso después de haber alcanzado el número proyectado de personas participantes, asegurando el fortalecimiento del proceso de transformación cultural en las comunidades vinculadas.</t>
  </si>
  <si>
    <t>Las acciones iniciaron a mediados de septiembre debido a las demoras para acordar las manzanas priorizadas entre la estrategia de Transformaciones Culturales de la Subsecretaría de Políticas de Igualdad y el liderazgo del Sistema Distrital del Cuidado.</t>
  </si>
  <si>
    <t>No aplica</t>
  </si>
  <si>
    <t>M1. Formular 9 acciones de transformación cultural que promuevan y garanticen el libre ejercicio de los derechos de las mujeres y la equidad de género a través de mecanismos de cambio cultural y comportamental desarrollados con las comunidades.</t>
  </si>
  <si>
    <t xml:space="preserve">Número de documentos técnicos desarrollados que contienen estrategias de transformación cultural, revisados y aprobados. </t>
  </si>
  <si>
    <t xml:space="preserve">Sumatoria del número de documentos técnicos formulados. </t>
  </si>
  <si>
    <t xml:space="preserve">Sumatoria de documentos producidos </t>
  </si>
  <si>
    <t xml:space="preserve">Durante el mes de diciembre se logró consolidar el Documento de Balance General, que recopila los avances alcanzados en las acciones implementadas bajo la Estrategia de Transformaciones Culturales, ofreciendo una visión integral del cumplimiento de los objetivos propuestos para 2024. Asimismo, se finalizó el Protocolo de Articulaciones, que establece directrices para fortalecer las alianzas estratégicas. También se completaron los documentos técnicos de formulación del Laboratorio de Soluciones para la Redistribución de los Trabajos de Cuidado y la estrategia Caleidoscopio, así como el documento de diagnóstico sobre estereotipos de género en el deporte, desarrollado en colaboración con la Dirección de Eliminación de Violencias. Estos avances fortalecen la implementación y evaluación de las estrategias propuestas, garantizando su continuidad y proyección para 2025.
			</t>
  </si>
  <si>
    <t>Meta 1</t>
  </si>
  <si>
    <t>suma</t>
  </si>
  <si>
    <t>M3. Implementar 3 acciones de transformación cultural que promuevan la redistribución equitativa de las labores del cuidado en Bogotá. (Producto MGA - Servicio de promoción de la garantía de derechos)</t>
  </si>
  <si>
    <t>Número de estrategias de transformación cultural implementadas.</t>
  </si>
  <si>
    <t xml:space="preserve">Sumatoria del número de estrategias de transformación cultural implementadas. </t>
  </si>
  <si>
    <t xml:space="preserve">Sumatoria de estrategias implementadas </t>
  </si>
  <si>
    <t xml:space="preserve">Plan de acción del proyecto </t>
  </si>
  <si>
    <t>Durante diciembre se consolidaron documentos técnicos clave para la Estrategia de Transformaciones Culturales. Se finalizó el Documento Técnico del Laboratorio de Soluciones para la Redistribución de los Trabajos de Cuidado No Remunerados, que incluye un balance de las acciones de pilotaje, correcciones implementadas y recomendaciones para futuras fases. Además, se completó el Protocolo de Acuerdos, que establece directrices para articular acciones con actores estratégicos y ejecutar los pilotajes. Se consolidó el Documento de Balance General, el cual recoge los avances alcanzados en 2024 y las recomendaciones para fortalecer las estrategias en 2025. Finalmente, se culminó el diseño de la estrategia Caleidoscopio, enfocada en prevenir violencias y promover la corresponsabilidad en los cuidados desde la infancia.
Adicionalmente en diciembre
Se realizó acompañamiento técnico al CCMB, Espacio Ampliado, mesas de trabajo y Espacio Autonomo. Igualmente se realiza acompañamiento al Concejo de Bogotá.</t>
  </si>
  <si>
    <t>Meta 3</t>
  </si>
  <si>
    <t>decreciente</t>
  </si>
  <si>
    <t>M4. Desarrollar 3 acciones de transformación cultural efectivas para prevenir las violencias contra las mujeres, incluyendo campañas educativas. (Producto MGA - Servicio de promoción de la garantía de derechos)</t>
  </si>
  <si>
    <t>Meta 4</t>
  </si>
  <si>
    <t>constante</t>
  </si>
  <si>
    <t>M5. 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t>
  </si>
  <si>
    <t>Meta 5</t>
  </si>
  <si>
    <t>ELABORÓ</t>
  </si>
  <si>
    <t>Firma:</t>
  </si>
  <si>
    <t>APROBÓ (Según aplique Gerenta de proyecto, Líder técnica y responsable de proceso)</t>
  </si>
  <si>
    <t>REVISÓ OFICINA ASESORA DE PLANEACIÓN</t>
  </si>
  <si>
    <t xml:space="preserve">VoBo. </t>
  </si>
  <si>
    <t>Nombre: Juan David Cortes González  
Iván Felipe Vargas Aldana</t>
  </si>
  <si>
    <t>Nombre: Juan David Cortes González</t>
  </si>
  <si>
    <t>Nombre:Lina Tatiana Lozano Ruíz</t>
  </si>
  <si>
    <t>Nombre:</t>
  </si>
  <si>
    <t>Cargo: Contratistas - SCPI</t>
  </si>
  <si>
    <t xml:space="preserve">Cargo: Líder Técnico proyecto de inversión 8198
</t>
  </si>
  <si>
    <t>Cargo:  Subsecretaria del Cuidado y Políticas de Igualdad (E)</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</si>
  <si>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</si>
  <si>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</si>
  <si>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</si>
  <si>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</si>
  <si>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</si>
  <si>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</si>
  <si>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</si>
  <si>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</si>
  <si>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</si>
  <si>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</si>
  <si>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</si>
  <si>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</si>
  <si>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</si>
  <si>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</si>
  <si>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</si>
  <si>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</si>
  <si>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</si>
  <si>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</si>
  <si>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</si>
  <si>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</si>
  <si>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</si>
  <si>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</si>
  <si>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</si>
  <si>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</si>
  <si>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</si>
  <si>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Meta 3. Implementar 3 acciones de transformación cultural que promuevan la redistribución equitativa de las labores del cuidado en Bogotá. (Producto MGA - Servicio de promoción de la garantía de derechos)</t>
  </si>
  <si>
    <t>LOCALIDAD</t>
  </si>
  <si>
    <t>TOTAL POR LOCALIDAD</t>
  </si>
  <si>
    <t xml:space="preserve">ENFOQUE DIFERENCIAL </t>
  </si>
  <si>
    <t>GRUPO ETARIO</t>
  </si>
  <si>
    <t>Magnitud</t>
  </si>
  <si>
    <t>Presupuesto</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</si>
  <si>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</si>
  <si>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</si>
  <si>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</si>
  <si>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</si>
  <si>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</si>
  <si>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</si>
  <si>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</si>
  <si>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</si>
  <si>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</si>
  <si>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</si>
  <si>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</si>
  <si>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</si>
  <si>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</si>
  <si>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</si>
  <si>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</si>
  <si>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</si>
  <si>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</si>
  <si>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</si>
  <si>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</si>
  <si>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</si>
  <si>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</si>
  <si>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</si>
  <si>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</si>
  <si>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</si>
  <si>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</si>
  <si>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</si>
  <si>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</si>
  <si>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</si>
  <si>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</si>
  <si>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</si>
  <si>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</si>
  <si>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</si>
  <si>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</si>
  <si>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</si>
  <si>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Meta 4: Desarrollar 3 acciones de transformación cultural efectivas para prevenir las violencias contra las mujeres, incluyendo campañas educativas. (Producto MGA - Servicio de promoción de la garantía de derechos)</t>
  </si>
  <si>
    <t>SEGUIMIENTO PMR (META 3 Y META EQUIPO TERRITORIAL GESTORAS TRANSFORMACIÓN CULTURAL)</t>
  </si>
  <si>
    <t>Página 4 de 4</t>
  </si>
  <si>
    <t>CONTROL DE CAMBIOS EN EL PLAN DE ACCIÓN</t>
  </si>
  <si>
    <t>Fecha de aprobación</t>
  </si>
  <si>
    <t>Cambio</t>
  </si>
  <si>
    <t>Justificación del cambio</t>
  </si>
  <si>
    <t xml:space="preserve">reprogramación tarea 2 - meta 1 </t>
  </si>
  <si>
    <t xml:space="preserve">El diagnóstico sobre las barreras culturales y sociales de la redistribución del cuidado quedó en 80% debido a la priorización de otros requerimientos. por lo que como alternativa se propone reajustar del 50% al 30% en el mes de septiembre y el 20% restante se completará en octubre con ajustes en la distribución de tiempos en el cronograma interno de trabajo. </t>
  </si>
  <si>
    <t>reprogramación tarea 7 - meta 3</t>
  </si>
  <si>
    <t>Como alternativa de solución, se propone un ajuste en el cronograma interno de trabajo, trasladando el porcentaje de avance  del 30% y sumarlo al 10% del mes de diciembre, para que al mes de diciembre sea de un (40%), cuando se espera contar con los insumos finales para la consolidación de los resultados. Esta medida permitirá ajustar las expectativas y asegurar que los documentos se produzcan con la información necesaria y de forma completa.</t>
  </si>
  <si>
    <t xml:space="preserve">Reprogramación Número de personas que participan de las acciones y procesos de transformación cultural para las redistribución de los trabajos de cuidado no remunerados (1500 personas). indicador PA </t>
  </si>
  <si>
    <t>Las acciones iniciaron a mediados de septiembre debido a las demoras para acordar las manzanas priorizadas entre la estrategia de Transformaciones Culturales de la Subsecretaría de Políticas de Igualdad y el liderazgo del Sistema Distrital del Cuidado. Se realizaran nuevas convocatorias con diferentes aliadas del Sistema de cuidado y la Estrategia para llegar a la meta de septiembre y octubre.</t>
  </si>
  <si>
    <t>Valor actividades</t>
  </si>
  <si>
    <t>Se solicita modificación del valor de las metas del Proyecto de Inversión  8198 - Implementación de la estrategia de transformación cultural de la Secretaría Distrital de la Mujer en Bogotá D.C.” liderado por la Subsecretaría del Cuidado y Políticas de Igualdad, lo anterior en el marco de traslado presupuestal entre proyectos de inversión realizado en el mes de octubre de 2024 por valor de Treinta y dos millones ochocientos setenta y un mil doscientos dieciséis pesos m/cte. ($32.871.216), el cual quedó en firme través de la Resolución No 387 del 11 de octubre de 2024 “Por medio de la cual se efectúa modificación en el Presupuesto de Gastos e Inversiones de la Secretaría Distrital de la Mujer para la vigencia fiscal comprendida entre el 1 de enero y el 31 de diciembre de 2024”.</t>
  </si>
  <si>
    <t>Se hace necesaria la modificación del valor apropiado para tres (3) de las cuatro (4) metas del proyecto que tuvieron recursos en la presente vigencia, toda vez que se hizo necesaria la adición de Contratos de Prestación de Servicios para garantizar la continuidad de la gestión de la Subsecretaría durante el paso de una vigencia a la otra, tanto en las actividades administrativas como en la misionales, es decir, continuar la atención en la estrategia de transformación cultural.</t>
  </si>
  <si>
    <t>Se hace necesaria la modificación del valor apropiado para dos (2) de las cuatro (4) metas del proyecto que tuvieron recursos en la presente vigencia, toda vez que se hizo necesaria la adición de Contratos de Prestación de Servicios para garantizar la continuidad de la gestión de la Subsecretaría durante el paso de una vigencia a la otra, tanto en las actividades administrativas como en la misionales, es decir, continuar la atención en la estrategia de transformación cultural.</t>
  </si>
  <si>
    <t>Se hace necesaria la modificación del valor apropiado para dos (2) de las cuatro (4) metas del proyecto que tuvieron recursos en la presente vigencia, toda vez que se hizo necesaria la compra de equipos de cómputo que aportan a una (1) meta, los cuales son necesarios para garantizar una mejor prestación de los servicvios dentro de la estrategia de trasnsformación cultural.</t>
  </si>
  <si>
    <t>Meta</t>
  </si>
  <si>
    <t>Recursos 2024</t>
  </si>
  <si>
    <t>Porcentaje</t>
  </si>
  <si>
    <t>Producto MGA</t>
  </si>
  <si>
    <t>Programación 2024</t>
  </si>
  <si>
    <t>Recursos programados agosto</t>
  </si>
  <si>
    <t>Recursos comprometidos agosto</t>
  </si>
  <si>
    <t>%</t>
  </si>
  <si>
    <t>Giros programados agosto</t>
  </si>
  <si>
    <t>Giros comprometidos agosto</t>
  </si>
  <si>
    <t>Giros programados septiembre</t>
  </si>
  <si>
    <t>Giros comprometidos septiembre</t>
  </si>
  <si>
    <t>Giros programados octubre</t>
  </si>
  <si>
    <t>Giros comprometidos octubre</t>
  </si>
  <si>
    <t>Documento de Lineamientos Técnicos</t>
  </si>
  <si>
    <t>Servicios de Promoción de la Garantía de Derechos</t>
  </si>
  <si>
    <t>Techo presupuestal 2024</t>
  </si>
  <si>
    <t>PROGRAMACIÓN INICIAL</t>
  </si>
  <si>
    <t>Valor inicIal</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</si>
  <si>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</si>
  <si>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</si>
  <si>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</si>
  <si>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</si>
  <si>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</si>
  <si>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</si>
  <si>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</si>
  <si>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</si>
  <si>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</si>
  <si>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</si>
  <si>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</si>
  <si>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</si>
  <si>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</si>
  <si>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</si>
  <si>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</si>
  <si>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</si>
  <si>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</si>
  <si>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</si>
  <si>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</si>
  <si>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</si>
  <si>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</si>
  <si>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</si>
  <si>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</si>
  <si>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</si>
  <si>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</si>
  <si>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</si>
  <si>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</si>
  <si>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</si>
  <si>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</si>
  <si>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</si>
  <si>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</si>
  <si>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</si>
  <si>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</si>
  <si>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</si>
  <si>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</si>
  <si>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</si>
  <si>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</si>
  <si>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</si>
  <si>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</si>
  <si>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</si>
  <si>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</si>
  <si>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Proyecto</t>
  </si>
  <si>
    <t>Honorarios</t>
  </si>
  <si>
    <t>Fecha inicio cto</t>
  </si>
  <si>
    <t>Fecha final cto</t>
  </si>
  <si>
    <t>Dependencia</t>
  </si>
  <si>
    <t>prog.ago (giro sep)</t>
  </si>
  <si>
    <t>giros.sep</t>
  </si>
  <si>
    <t>prog.sep (giro oct)</t>
  </si>
  <si>
    <t>giros.oct</t>
  </si>
  <si>
    <t>prog.oct (giro nov)</t>
  </si>
  <si>
    <t>giros.nov</t>
  </si>
  <si>
    <t>prog.nov (giro dic)</t>
  </si>
  <si>
    <t>giros.dic</t>
  </si>
  <si>
    <t>prog.dic (giro ene)</t>
  </si>
  <si>
    <t>giros.ene</t>
  </si>
  <si>
    <t>saldo a liberar (2do pago / liberación)</t>
  </si>
  <si>
    <t>Total Giros</t>
  </si>
  <si>
    <t>META 1</t>
  </si>
  <si>
    <t>META 2</t>
  </si>
  <si>
    <t>META 3</t>
  </si>
  <si>
    <t>META 4</t>
  </si>
  <si>
    <t>META 5</t>
  </si>
  <si>
    <t>0121-01</t>
  </si>
  <si>
    <t>12</t>
  </si>
  <si>
    <t>CONTRATO DE PRESTACION DE SERVICIOS</t>
  </si>
  <si>
    <t>1040</t>
  </si>
  <si>
    <t>159</t>
  </si>
  <si>
    <t>02</t>
  </si>
  <si>
    <t>ORDENES DE PAGO</t>
  </si>
  <si>
    <t>Prestar los servicios de apoyo logístico para atender las actividades misionales y/o de apoyo que adelante la Secretaría Distrital de la Mujer en cumplimiento de sus funciones, de conformidad con el anexo técnico y la oferta presentada por el contratista.</t>
  </si>
  <si>
    <t>O23011745022024028908032</t>
  </si>
  <si>
    <t>Documentos de lineamientos técnicos</t>
  </si>
  <si>
    <t>1-100-F001</t>
  </si>
  <si>
    <t>VA-Recursos distrito</t>
  </si>
  <si>
    <t>O232020200885961 Servicios de organización y asistencia de convenciones</t>
  </si>
  <si>
    <t>Servicios de organización y asistencia de convenciones</t>
  </si>
  <si>
    <t>PM/0121/0108/45020320289</t>
  </si>
  <si>
    <t/>
  </si>
  <si>
    <t>Servicio de promoción de la garantía de derechos</t>
  </si>
  <si>
    <t>01</t>
  </si>
  <si>
    <t>LICITACIÓN PÚBLICA</t>
  </si>
  <si>
    <t>1000629251</t>
  </si>
  <si>
    <t>NIT</t>
  </si>
  <si>
    <t>900391059</t>
  </si>
  <si>
    <t>QUINTA GENERACION SAS</t>
  </si>
  <si>
    <t>Subsecretaría del Cuidado y Políticas de Igualdad</t>
  </si>
  <si>
    <t>O232020200885961</t>
  </si>
  <si>
    <t>145</t>
  </si>
  <si>
    <t>CONTRATO DE PRESTACION DE SERVICIOS PROFESIONALES</t>
  </si>
  <si>
    <t>151</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</si>
  <si>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</si>
  <si>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O232020200991122</t>
  </si>
  <si>
    <t>Servicios de la administración pública relacionados con la salud</t>
  </si>
  <si>
    <t>10</t>
  </si>
  <si>
    <t>CONTRATACIÓN DIRECTA</t>
  </si>
  <si>
    <t>1000135892</t>
  </si>
  <si>
    <t>CC</t>
  </si>
  <si>
    <t>80283677</t>
  </si>
  <si>
    <t>JUAN DAVID CORTES GONZALEZ</t>
  </si>
  <si>
    <t>Prestar servicios profesionales a la Subsecretaría del Cuidado y Políticas de Igualdad en la coordinación de acciones que conlleven a la consolidación y seguimiento de la información presupuestal y física de los proyectos de inversión que la componen.</t>
  </si>
  <si>
    <t>O232020200991114</t>
  </si>
  <si>
    <t>Servicios de planificación económica, social y estadística de la administración publica</t>
  </si>
  <si>
    <t>1000143764</t>
  </si>
  <si>
    <t>52737116</t>
  </si>
  <si>
    <t>ANGELA ADRIANA AVILA OSPINA</t>
  </si>
  <si>
    <t>1326</t>
  </si>
  <si>
    <t>144</t>
  </si>
  <si>
    <t>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t>
  </si>
  <si>
    <t>1010730554</t>
  </si>
  <si>
    <t>1015436980</t>
  </si>
  <si>
    <t>MIGUEL GIOVANNY GOMEZ LOPEZ</t>
  </si>
  <si>
    <t>1327</t>
  </si>
  <si>
    <t>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t>
  </si>
  <si>
    <t>1008938488</t>
  </si>
  <si>
    <t>1014248098</t>
  </si>
  <si>
    <t>PAULA ANDREA MORALES LEAL</t>
  </si>
  <si>
    <t>127</t>
  </si>
  <si>
    <t>Prestar servicios profesionales para apoyar a la Subsecretaría del Cuidado y Políticas de Igualdad en el fortalecimiento de capacidades ciudadanas de las instancias priorizadas de la Secretaría Distrital de la Mujer.</t>
  </si>
  <si>
    <t>1009799962</t>
  </si>
  <si>
    <t>1085274653</t>
  </si>
  <si>
    <t>MARIA CONSTANZA LOPEZ MEJIA</t>
  </si>
  <si>
    <t>1383</t>
  </si>
  <si>
    <t>148</t>
  </si>
  <si>
    <t>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t>
  </si>
  <si>
    <t>1011938666</t>
  </si>
  <si>
    <t>1018486213</t>
  </si>
  <si>
    <t>MARIA ISABEL PARRA ROJAS</t>
  </si>
  <si>
    <t>1384</t>
  </si>
  <si>
    <t>Prestar servicios profesionales para apoyar la implementación de alianzas estratégicas con actores diversos, que le permitan, faciliten y apoyen a la Secretaría Distrital de la Mujer el cumplimiento de los logros correspondientes al sector mujeres.</t>
  </si>
  <si>
    <t>1012067035</t>
  </si>
  <si>
    <t>1019088049</t>
  </si>
  <si>
    <t>LAURA  PEREZ CAMACHO</t>
  </si>
  <si>
    <t>Prestar servicios profesionales para apoyar a la Subsecretaría del Cuidado y Políticas de Igualdad en el fortalecimiento de capacidades ciudadanas del Consejo Consultivo de Mujeres.</t>
  </si>
  <si>
    <t>1010757501</t>
  </si>
  <si>
    <t>1018454387</t>
  </si>
  <si>
    <t>JINETH LILIANA GARCIA LARROTTA</t>
  </si>
  <si>
    <t>1634</t>
  </si>
  <si>
    <t>137</t>
  </si>
  <si>
    <t>Prestar servicios profesionales de apoyo en la planificación, ejecución, seguimiento y evaluación de la Estrategia de Transformación Cultural de la Secretaría Distrital de la Mujer.</t>
  </si>
  <si>
    <t>1000579039</t>
  </si>
  <si>
    <t>1014239350</t>
  </si>
  <si>
    <t>NATHALIE VIVIANA CONTRERAS TELLEZ</t>
  </si>
  <si>
    <t>1667</t>
  </si>
  <si>
    <t>133</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</si>
  <si>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</si>
  <si>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1000142728</t>
  </si>
  <si>
    <t>1018453055</t>
  </si>
  <si>
    <t>LUZ MAGNOLIA TIRADO CUELLAR</t>
  </si>
  <si>
    <t>1668</t>
  </si>
  <si>
    <t>1009792112</t>
  </si>
  <si>
    <t>1018487742</t>
  </si>
  <si>
    <t>SHIRLY VANESSA SANCHEZ MARTINEZ</t>
  </si>
  <si>
    <t>1672</t>
  </si>
  <si>
    <t>1000198316</t>
  </si>
  <si>
    <t>1032379438</t>
  </si>
  <si>
    <t>LUIS CARLOS VEGA BARRETO</t>
  </si>
  <si>
    <t>1673</t>
  </si>
  <si>
    <t>1012069635</t>
  </si>
  <si>
    <t>1144074564</t>
  </si>
  <si>
    <t>JOSE LUIS GUTIERREZ CRUZ</t>
  </si>
  <si>
    <t>1674</t>
  </si>
  <si>
    <t>1008943936</t>
  </si>
  <si>
    <t>1030578775</t>
  </si>
  <si>
    <t>JENY PAOLA FUQUENE SALAS</t>
  </si>
  <si>
    <t>1690</t>
  </si>
  <si>
    <t>130</t>
  </si>
  <si>
    <t>1013043536</t>
  </si>
  <si>
    <t>1233897607</t>
  </si>
  <si>
    <t>FELIPE  ROJAS BARRERA</t>
  </si>
  <si>
    <t>1691</t>
  </si>
  <si>
    <t>132</t>
  </si>
  <si>
    <t>1005558136</t>
  </si>
  <si>
    <t>1015394684</t>
  </si>
  <si>
    <t>HUGO MAURICIO ZAMBRANO GALVIS</t>
  </si>
  <si>
    <t>1692</t>
  </si>
  <si>
    <t>1013640651</t>
  </si>
  <si>
    <t>1020816925</t>
  </si>
  <si>
    <t>CATALINA  ARANGO SALGADO</t>
  </si>
  <si>
    <t>2024</t>
  </si>
  <si>
    <t>1934</t>
  </si>
  <si>
    <t>85</t>
  </si>
  <si>
    <t>Prestar servicios profesionales para apoyar a la Subsecretaría del Cuidado y Políticas de Igualdad en la coordinación de los asuntos jurídicos y contractuales relacionados con las funciones de la dependencia, así como, el acompañamiento a las demás direcciones de la subsecretaria para atender las solicitudes que se generen por parte de los organismos de control.</t>
  </si>
  <si>
    <t>VA-RECURSOS DISTRITO</t>
  </si>
  <si>
    <t>79652627</t>
  </si>
  <si>
    <t>ANDRES GIOVANNI PARDO CARVAJAL</t>
  </si>
  <si>
    <t>LÍDER TÉCNICA</t>
  </si>
  <si>
    <t>CORRESPONSABILIDAD</t>
  </si>
  <si>
    <t>ADICIÓN MARIA ISABEL PARRA</t>
  </si>
  <si>
    <t>Cumplido</t>
  </si>
  <si>
    <t>Operador logístico</t>
  </si>
  <si>
    <t>1328</t>
  </si>
  <si>
    <t>María Constanza López Mejía</t>
  </si>
  <si>
    <t>Laura Pérez Camaho</t>
  </si>
  <si>
    <t>1275</t>
  </si>
  <si>
    <t>Juan David Cortés</t>
  </si>
  <si>
    <t>1277</t>
  </si>
  <si>
    <t xml:space="preserve">Angela Adriana Avila </t>
  </si>
  <si>
    <t>1428</t>
  </si>
  <si>
    <t>Jineth Liliana García</t>
  </si>
  <si>
    <t>Techo presupuestal</t>
  </si>
  <si>
    <t>Techo</t>
  </si>
  <si>
    <t>Comprometido (RP) a</t>
  </si>
  <si>
    <t>X comprometer</t>
  </si>
  <si>
    <t>Liberaciones sep</t>
  </si>
  <si>
    <t>Liberaciones oct</t>
  </si>
  <si>
    <t>Liberaciones nov</t>
  </si>
  <si>
    <t>Por comprometer + liberaciones</t>
  </si>
  <si>
    <t>Traslado (oct-nov)</t>
  </si>
  <si>
    <t>PROYECCIÓN RECURSOS X COMPROMETER</t>
  </si>
  <si>
    <t>Contrato (apoyo técnica investigación 1m,20d)</t>
  </si>
  <si>
    <t>Contrato (proceso elecccionario 1m,20d)</t>
  </si>
  <si>
    <t>Proyección adiciones (completar vigencia)</t>
  </si>
  <si>
    <t>Adición operador (reserva pptal)</t>
  </si>
  <si>
    <t>Proyección adiciones (reserva pptal)</t>
  </si>
  <si>
    <t>Posible saldo sin ejecutar</t>
  </si>
  <si>
    <t>Total Proyecto</t>
  </si>
  <si>
    <t>Pesos en millones</t>
  </si>
  <si>
    <t xml:space="preserve">Valor total Proyectos </t>
  </si>
  <si>
    <t>Valor total de Giros Agosto</t>
  </si>
  <si>
    <t>Valor total de Giros Septiembre</t>
  </si>
  <si>
    <t>Valor total de Giros Octubre</t>
  </si>
  <si>
    <t>Valor total de Giros Noviembre</t>
  </si>
  <si>
    <t>Valor total de Giros Diciembre (por pagar en Enero)</t>
  </si>
  <si>
    <t>Reservas 2025 (OPS)</t>
  </si>
  <si>
    <t>Saldo sin ejecutar (incluidas adiciones enero)</t>
  </si>
  <si>
    <t>CONCEPTO</t>
  </si>
  <si>
    <t>VALOR</t>
  </si>
  <si>
    <t xml:space="preserve"> CONCEPTO </t>
  </si>
  <si>
    <t xml:space="preserve"> DIAS ADICIÓN </t>
  </si>
  <si>
    <t xml:space="preserve"> VALOR  </t>
  </si>
  <si>
    <t xml:space="preserve"> PRESUPUESTO ASIGNADO 2024 </t>
  </si>
  <si>
    <t>50 días</t>
  </si>
  <si>
    <t xml:space="preserve"> VALOR COMPROMETIDO A 25/oct/2024 </t>
  </si>
  <si>
    <t>Contrato (proceso eleccionario 1m,20d)</t>
  </si>
  <si>
    <t xml:space="preserve"> SALDO POR UTILIZAR (1) </t>
  </si>
  <si>
    <t>Adición operador logístico</t>
  </si>
  <si>
    <t>60 días</t>
  </si>
  <si>
    <t xml:space="preserve"> LIBERACIONES SEGUNDO PAGO (2)* </t>
  </si>
  <si>
    <t xml:space="preserve"> SALDO DEL PROYECTO (1) + (2) = 3 </t>
  </si>
  <si>
    <t>Adición enlace alianzas despacho</t>
  </si>
  <si>
    <t>13 días</t>
  </si>
  <si>
    <t xml:space="preserve"> TRASLADO DE RECURSOS (4) </t>
  </si>
  <si>
    <t xml:space="preserve"> TOTAL</t>
  </si>
  <si>
    <t xml:space="preserve"> TOTAL, PRESUPUESTO DISPONIBLE (3) + (4) </t>
  </si>
  <si>
    <t xml:space="preserve"> MODIFICACIONES PAABS SOLICITADAS EN OCTUBRE  (quitando</t>
  </si>
  <si>
    <t xml:space="preserve"> SALDO DISPONIBLE** </t>
  </si>
  <si>
    <t>Adiciones enero 15 días, 3 personas (por aprobar)</t>
  </si>
  <si>
    <t xml:space="preserve"> POSIBLE SALDO SIN EJECUTAR AL CIERRE DE VIGENCIA </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</si>
  <si>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</si>
  <si>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</si>
  <si>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</si>
  <si>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</si>
  <si>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</si>
  <si>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</si>
  <si>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</si>
  <si>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</si>
  <si>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</si>
  <si>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</si>
  <si>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</si>
  <si>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</si>
  <si>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</si>
  <si>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</si>
  <si>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</si>
  <si>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</si>
  <si>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</si>
  <si>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</si>
  <si>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</si>
  <si>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</si>
  <si>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</si>
  <si>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</si>
  <si>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</si>
  <si>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</si>
  <si>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</si>
  <si>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</si>
  <si>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Indigenas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</si>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</sst>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quot;$&quot;\ #,##0;[Red]\-&quot;$&quot;\ #,##0"/>
    <numFmt numFmtId="168" formatCode="&quot;$&quot;\ #,##0.00;[Red]\-&quot;$&quot;\ #,##0.00"/>
    <numFmt numFmtId="169" formatCode="_-&quot;$&quot;\ * #,##0.00_-;\-&quot;$&quot;\ * #,##0.00_-;_-&quot;$&quot;\ * &quot;-&quot;??_-;_-@_-"/>
    <numFmt numFmtId="170" formatCode="_-&quot;$&quot;* #,##0.00_-;\-&quot;$&quot;* #,##0.00_-;_-&quot;$&quot;* &quot;-&quot;??_-;_-@_-"/>
    <numFmt numFmtId="171" formatCode="_-* #,##0\ _€_-;\-* #,##0\ _€_-;_-* &quot;-&quot;\ _€_-;_-@_-"/>
    <numFmt numFmtId="172" formatCode="_-* #,##0.00\ _€_-;\-* #,##0.00\ _€_-;_-* &quot;-&quot;??\ _€_-;_-@_-"/>
    <numFmt numFmtId="173" formatCode="_(&quot;$&quot;\ * #,##0.00_);_(&quot;$&quot;\ * \(#,##0.00\);_(&quot;$&quot;\ * &quot;-&quot;??_);_(@_)"/>
    <numFmt numFmtId="174" formatCode="_ &quot;$&quot;\ * #,##0.00_ ;_ &quot;$&quot;\ * \-#,##0.00_ ;_ &quot;$&quot;\ * &quot;-&quot;??_ ;_ @_ "/>
    <numFmt numFmtId="175" formatCode="_-* #,##0\ _€_-;\-* #,##0\ _€_-;_-* &quot;-&quot;??\ _€_-;_-@_-"/>
    <numFmt numFmtId="176" formatCode="0.0%"/>
    <numFmt numFmtId="177" formatCode="#,##0;[Red]#,##0"/>
    <numFmt numFmtId="178" formatCode="_-[$$-240A]\ * #,##0.00_-;\-[$$-240A]\ * #,##0.00_-;_-[$$-240A]\ * &quot;-&quot;??_-;_-@_-"/>
    <numFmt numFmtId="179" formatCode="&quot;$&quot;\ #,##0.00"/>
    <numFmt numFmtId="180" formatCode="&quot;$&quot;\ #,##0"/>
    <numFmt numFmtId="181" formatCode="0.000"/>
    <numFmt numFmtId="182" formatCode="0.00000"/>
    <numFmt numFmtId="183" formatCode="0.0000"/>
  </numFmts>
  <fonts count="87"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8"/>
      <color theme="1"/>
      <name val="Calibri"/>
      <family val="2"/>
      <scheme val="minor"/>
    </font>
    <font>
      <b/>
      <sz val="8"/>
      <color theme="1"/>
      <name val="Calibri"/>
      <family val="2"/>
      <scheme val="minor"/>
    </font>
    <font>
      <sz val="8"/>
      <color theme="1"/>
      <name val="Arial"/>
      <family val="2"/>
    </font>
    <font>
      <b/>
      <sz val="8"/>
      <color theme="1"/>
      <name val="Arial"/>
      <family val="2"/>
    </font>
    <font>
      <u/>
      <sz val="11"/>
      <color theme="10"/>
      <name val="Calibri"/>
      <family val="2"/>
      <scheme val="minor"/>
    </font>
    <font>
      <sz val="11"/>
      <name val="Times New Roman"/>
      <family val="1"/>
    </font>
    <font>
      <b/>
      <sz val="8"/>
      <color rgb="FF000000"/>
      <name val="Calibri"/>
      <family val="2"/>
      <scheme val="minor"/>
    </font>
    <font>
      <sz val="8"/>
      <color rgb="FF000000"/>
      <name val="Calibri"/>
      <family val="2"/>
      <scheme val="minor"/>
    </font>
    <font>
      <sz val="10"/>
      <name val="Arial"/>
      <family val="2"/>
    </font>
    <font>
      <b/>
      <sz val="9"/>
      <name val="Arial"/>
      <family val="2"/>
    </font>
    <font>
      <b/>
      <sz val="9"/>
      <color theme="0"/>
      <name val="Arial"/>
      <family val="2"/>
    </font>
    <font>
      <b/>
      <sz val="9"/>
      <color theme="0"/>
      <name val="Calibri"/>
      <family val="2"/>
      <scheme val="minor"/>
    </font>
    <font>
      <sz val="9"/>
      <name val="Arial"/>
      <family val="2"/>
    </font>
    <font>
      <sz val="9"/>
      <color theme="5"/>
      <name val="Arial"/>
      <family val="2"/>
    </font>
    <font>
      <sz val="9"/>
      <color rgb="FF0070C0"/>
      <name val="Arial"/>
      <family val="2"/>
    </font>
    <font>
      <sz val="9"/>
      <color rgb="FF0070C0"/>
      <name val="Calibri"/>
      <family val="2"/>
    </font>
    <font>
      <b/>
      <sz val="9"/>
      <color rgb="FF0070C0"/>
      <name val="Arial"/>
      <family val="2"/>
    </font>
    <font>
      <sz val="10"/>
      <name val="Arial"/>
      <family val="2"/>
    </font>
    <font>
      <b/>
      <sz val="18"/>
      <name val="Arial"/>
      <family val="2"/>
    </font>
    <font>
      <u/>
      <sz val="11"/>
      <name val="Calibri"/>
      <family val="2"/>
      <scheme val="minor"/>
    </font>
    <font>
      <b/>
      <sz val="8"/>
      <name val="Times New Roman"/>
      <family val="1"/>
    </font>
    <font>
      <sz val="8"/>
      <name val="Times New Roman"/>
      <family val="1"/>
    </font>
    <font>
      <sz val="7"/>
      <name val="Times New Roman"/>
      <family val="1"/>
    </font>
    <font>
      <sz val="10"/>
      <name val="Times New Roman"/>
      <family val="1"/>
    </font>
    <font>
      <sz val="11"/>
      <color rgb="FF000000"/>
      <name val="Arial"/>
      <family val="2"/>
    </font>
    <font>
      <sz val="11"/>
      <color theme="1" tint="4.9989318521683403E-2"/>
      <name val="Arial"/>
      <family val="2"/>
    </font>
    <font>
      <sz val="9"/>
      <color theme="1"/>
      <name val="Arial"/>
      <family val="2"/>
    </font>
    <font>
      <sz val="9"/>
      <color theme="1"/>
      <name val="Calibri"/>
      <family val="2"/>
    </font>
    <font>
      <b/>
      <sz val="9"/>
      <color theme="1"/>
      <name val="Arial"/>
      <family val="2"/>
    </font>
    <font>
      <sz val="10"/>
      <color theme="1"/>
      <name val="Arial"/>
      <family val="2"/>
    </font>
    <font>
      <b/>
      <sz val="9"/>
      <color rgb="FF0070C0"/>
      <name val="Calibri"/>
      <family val="2"/>
    </font>
    <font>
      <b/>
      <sz val="9"/>
      <color rgb="FF7030A0"/>
      <name val="Arial"/>
      <family val="2"/>
    </font>
    <font>
      <sz val="10"/>
      <color rgb="FFFF0000"/>
      <name val="Arial"/>
      <family val="2"/>
    </font>
    <font>
      <sz val="10"/>
      <color rgb="FF7030A0"/>
      <name val="Arial"/>
      <family val="2"/>
    </font>
    <font>
      <sz val="9"/>
      <color rgb="FF7030A0"/>
      <name val="Arial"/>
      <family val="2"/>
    </font>
    <font>
      <b/>
      <sz val="9"/>
      <color rgb="FFFF0000"/>
      <name val="Arial"/>
      <family val="2"/>
    </font>
    <font>
      <b/>
      <sz val="9"/>
      <color rgb="FF000000"/>
      <name val="Aptos"/>
      <family val="2"/>
    </font>
    <font>
      <sz val="9"/>
      <color rgb="FF000000"/>
      <name val="Aptos"/>
      <family val="2"/>
    </font>
    <font>
      <sz val="7"/>
      <color theme="1"/>
      <name val="Arial"/>
      <family val="2"/>
    </font>
    <font>
      <sz val="8"/>
      <name val="Arial"/>
      <family val="2"/>
    </font>
    <font>
      <b/>
      <sz val="9"/>
      <color theme="1"/>
      <name val="Calibri"/>
      <family val="2"/>
    </font>
    <font>
      <sz val="10"/>
      <color rgb="FF0070C0"/>
      <name val="Arial"/>
      <family val="2"/>
    </font>
    <font>
      <sz val="9"/>
      <color rgb="FF7030A0"/>
      <name val="Calibri"/>
      <family val="2"/>
    </font>
    <font>
      <b/>
      <sz val="11"/>
      <color rgb="FF000000"/>
      <name val="Aptos Narrow"/>
      <family val="2"/>
    </font>
    <font>
      <b/>
      <sz val="11"/>
      <name val="Aptos Narrow"/>
      <family val="2"/>
    </font>
    <font>
      <sz val="11"/>
      <name val="Aptos Narrow"/>
      <family val="2"/>
    </font>
    <font>
      <b/>
      <sz val="11"/>
      <color rgb="FFA02B93"/>
      <name val="Aptos Narrow"/>
      <family val="2"/>
    </font>
    <font>
      <u/>
      <sz val="11"/>
      <color rgb="FF000000"/>
      <name val="Calibri"/>
      <family val="2"/>
    </font>
    <font>
      <sz val="11"/>
      <color rgb="FF000000"/>
      <name val="Calibri"/>
      <family val="2"/>
    </font>
  </fonts>
  <fills count="4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
      <patternFill patternType="solid">
        <fgColor rgb="FFCCC0DA"/>
        <bgColor rgb="FF000000"/>
      </patternFill>
    </fill>
    <fill>
      <patternFill patternType="solid">
        <fgColor rgb="FFFCD5B4"/>
        <bgColor rgb="FF000000"/>
      </patternFill>
    </fill>
    <fill>
      <patternFill patternType="solid">
        <fgColor indexed="22"/>
        <bgColor indexed="64"/>
      </patternFill>
    </fill>
    <fill>
      <patternFill patternType="solid">
        <fgColor theme="5"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66FFCC"/>
        <bgColor indexed="64"/>
      </patternFill>
    </fill>
    <fill>
      <patternFill patternType="solid">
        <fgColor rgb="FFD0D0D0"/>
        <bgColor indexed="64"/>
      </patternFill>
    </fill>
    <fill>
      <patternFill patternType="solid">
        <fgColor rgb="FFFFFFFF"/>
        <bgColor indexed="64"/>
      </patternFill>
    </fill>
    <fill>
      <patternFill patternType="solid">
        <fgColor rgb="FFFBE2D5"/>
        <bgColor indexed="64"/>
      </patternFill>
    </fill>
  </fills>
  <borders count="10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n">
        <color indexed="64"/>
      </right>
      <top/>
      <bottom style="medium">
        <color rgb="FF000000"/>
      </bottom>
      <diagonal/>
    </border>
    <border>
      <left/>
      <right style="medium">
        <color rgb="FF000000"/>
      </right>
      <top style="thin">
        <color indexed="64"/>
      </top>
      <bottom/>
      <diagonal/>
    </border>
    <border>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s>
  <cellStyleXfs count="40">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72" fontId="8" fillId="0" borderId="0" applyFont="0" applyFill="0" applyBorder="0" applyAlignment="0" applyProtection="0"/>
    <xf numFmtId="171" fontId="8" fillId="0" borderId="0" applyFont="0" applyFill="0" applyBorder="0" applyAlignment="0" applyProtection="0"/>
    <xf numFmtId="41" fontId="8" fillId="0" borderId="0" applyFont="0" applyFill="0" applyBorder="0" applyAlignment="0" applyProtection="0"/>
    <xf numFmtId="172"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70" fontId="8" fillId="0" borderId="0" applyFont="0" applyFill="0" applyBorder="0" applyAlignment="0" applyProtection="0"/>
    <xf numFmtId="174" fontId="2" fillId="0" borderId="0" applyFont="0" applyFill="0" applyBorder="0" applyAlignment="0" applyProtection="0"/>
    <xf numFmtId="173" fontId="8" fillId="0" borderId="0" applyFont="0" applyFill="0" applyBorder="0" applyAlignment="0" applyProtection="0"/>
    <xf numFmtId="170"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2" fillId="0" borderId="0" applyNumberFormat="0" applyFill="0" applyBorder="0" applyAlignment="0" applyProtection="0"/>
    <xf numFmtId="0" fontId="42" fillId="0" borderId="0" applyNumberFormat="0" applyFill="0" applyBorder="0" applyAlignment="0" applyProtection="0"/>
    <xf numFmtId="0" fontId="46" fillId="0" borderId="0"/>
    <xf numFmtId="0" fontId="55" fillId="0" borderId="0"/>
    <xf numFmtId="9" fontId="2" fillId="0" borderId="0" applyFont="0" applyFill="0" applyBorder="0" applyAlignment="0" applyProtection="0"/>
    <xf numFmtId="169" fontId="2" fillId="0" borderId="0" applyFont="0" applyFill="0" applyBorder="0" applyAlignment="0" applyProtection="0"/>
  </cellStyleXfs>
  <cellXfs count="952">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29" fillId="0" borderId="0" xfId="0" applyFont="1" applyAlignment="1">
      <alignment horizontal="center" vertical="center"/>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3" fillId="9" borderId="0" xfId="22" applyFont="1" applyFill="1" applyAlignment="1">
      <alignment horizontal="center" vertical="center" wrapText="1"/>
    </xf>
    <xf numFmtId="0" fontId="27" fillId="9" borderId="0" xfId="22" applyFont="1" applyFill="1" applyAlignment="1">
      <alignment horizontal="center" vertical="center" wrapText="1"/>
    </xf>
    <xf numFmtId="0" fontId="33" fillId="0" borderId="0" xfId="22" applyFont="1" applyAlignment="1">
      <alignment horizontal="center" vertical="center" wrapText="1"/>
    </xf>
    <xf numFmtId="0" fontId="27" fillId="2" borderId="0" xfId="22" applyFont="1" applyFill="1" applyAlignment="1">
      <alignment vertical="center" wrapText="1"/>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0" fontId="27" fillId="13" borderId="20" xfId="22" applyFont="1" applyFill="1" applyBorder="1" applyAlignment="1">
      <alignment vertical="center" wrapText="1"/>
    </xf>
    <xf numFmtId="0" fontId="27" fillId="13" borderId="13" xfId="22" applyFont="1" applyFill="1" applyBorder="1" applyAlignment="1">
      <alignment vertical="center" wrapText="1"/>
    </xf>
    <xf numFmtId="0" fontId="27" fillId="13" borderId="23" xfId="22" applyFont="1" applyFill="1" applyBorder="1" applyAlignment="1">
      <alignment vertical="center" wrapText="1"/>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71"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71" fontId="27" fillId="0" borderId="0" xfId="11" applyFont="1" applyFill="1" applyBorder="1" applyAlignment="1" applyProtection="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2" fillId="14" borderId="6" xfId="0" applyFont="1" applyFill="1" applyBorder="1" applyAlignment="1">
      <alignment horizontal="left" vertical="center"/>
    </xf>
    <xf numFmtId="0" fontId="32" fillId="14" borderId="6" xfId="0" applyFont="1" applyFill="1" applyBorder="1" applyAlignment="1">
      <alignment horizontal="center" vertical="center"/>
    </xf>
    <xf numFmtId="0" fontId="32" fillId="0" borderId="6" xfId="0" applyFont="1" applyBorder="1" applyAlignment="1">
      <alignment horizontal="left" vertical="center"/>
    </xf>
    <xf numFmtId="0" fontId="29" fillId="0" borderId="3" xfId="0" applyFont="1" applyBorder="1" applyAlignment="1">
      <alignment horizontal="left" vertical="center"/>
    </xf>
    <xf numFmtId="0" fontId="35"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2"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2" fillId="0" borderId="6" xfId="0" applyFont="1" applyBorder="1" applyAlignment="1">
      <alignment horizontal="left" vertical="center" wrapText="1"/>
    </xf>
    <xf numFmtId="0" fontId="32" fillId="16" borderId="6" xfId="0" applyFont="1" applyFill="1" applyBorder="1" applyAlignment="1">
      <alignment horizontal="left" vertical="center" wrapText="1"/>
    </xf>
    <xf numFmtId="0" fontId="32"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2" fillId="10" borderId="7"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2" fillId="10" borderId="7" xfId="0" applyFont="1" applyFill="1" applyBorder="1" applyAlignment="1">
      <alignment vertical="center"/>
    </xf>
    <xf numFmtId="0" fontId="32" fillId="10" borderId="0" xfId="0" applyFont="1" applyFill="1" applyAlignment="1">
      <alignment horizontal="center" vertical="center"/>
    </xf>
    <xf numFmtId="0" fontId="29" fillId="0" borderId="30" xfId="0" applyFont="1" applyBorder="1" applyAlignment="1">
      <alignment horizontal="center" vertical="center"/>
    </xf>
    <xf numFmtId="0" fontId="32" fillId="10" borderId="0" xfId="0" applyFont="1" applyFill="1" applyAlignment="1">
      <alignment vertical="center"/>
    </xf>
    <xf numFmtId="0" fontId="29" fillId="0" borderId="15" xfId="0" applyFont="1" applyBorder="1" applyAlignment="1">
      <alignment horizontal="center" vertical="center"/>
    </xf>
    <xf numFmtId="0" fontId="32" fillId="10" borderId="10" xfId="0" applyFont="1" applyFill="1" applyBorder="1" applyAlignment="1">
      <alignment vertical="center"/>
    </xf>
    <xf numFmtId="0" fontId="32" fillId="10" borderId="10" xfId="0" applyFont="1" applyFill="1" applyBorder="1" applyAlignment="1">
      <alignment horizontal="center" vertical="center"/>
    </xf>
    <xf numFmtId="0" fontId="27" fillId="10" borderId="3" xfId="0" applyFont="1" applyFill="1" applyBorder="1" applyAlignment="1">
      <alignment horizontal="center" vertical="center" wrapText="1"/>
    </xf>
    <xf numFmtId="9" fontId="32" fillId="10" borderId="6" xfId="28" applyFont="1" applyFill="1" applyBorder="1" applyAlignment="1">
      <alignment horizontal="center" vertical="center" wrapText="1"/>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6" fillId="9" borderId="0" xfId="0" applyFont="1" applyFill="1" applyAlignment="1">
      <alignment vertical="center"/>
    </xf>
    <xf numFmtId="0" fontId="36"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7" fillId="10" borderId="17" xfId="0" applyFont="1" applyFill="1" applyBorder="1" applyAlignment="1">
      <alignment horizontal="center" vertical="center" wrapText="1"/>
    </xf>
    <xf numFmtId="0" fontId="37"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7" fillId="10" borderId="3" xfId="0" applyFont="1" applyFill="1" applyBorder="1" applyAlignment="1">
      <alignment horizontal="center" vertical="center" wrapText="1"/>
    </xf>
    <xf numFmtId="49" fontId="37" fillId="10" borderId="3" xfId="0" applyNumberFormat="1" applyFont="1" applyFill="1" applyBorder="1" applyAlignment="1">
      <alignment horizontal="center" vertical="center" wrapText="1"/>
    </xf>
    <xf numFmtId="0" fontId="36" fillId="0" borderId="6" xfId="0" applyFont="1" applyBorder="1" applyAlignment="1">
      <alignment vertical="center"/>
    </xf>
    <xf numFmtId="179" fontId="36" fillId="0" borderId="6" xfId="14" applyNumberFormat="1" applyFont="1" applyBorder="1" applyAlignment="1">
      <alignment vertical="center"/>
    </xf>
    <xf numFmtId="0" fontId="36" fillId="12" borderId="6" xfId="0" applyFont="1" applyFill="1" applyBorder="1" applyAlignment="1">
      <alignment horizontal="center" vertical="center"/>
    </xf>
    <xf numFmtId="178" fontId="35" fillId="11" borderId="6" xfId="15" applyNumberFormat="1" applyFont="1" applyFill="1" applyBorder="1" applyAlignment="1">
      <alignment horizontal="center" vertical="center"/>
    </xf>
    <xf numFmtId="178" fontId="35" fillId="0" borderId="6" xfId="15" applyNumberFormat="1" applyFont="1" applyFill="1" applyBorder="1" applyAlignment="1">
      <alignment horizontal="center" vertical="center"/>
    </xf>
    <xf numFmtId="0" fontId="35" fillId="0" borderId="6" xfId="0" applyFont="1" applyBorder="1" applyAlignment="1">
      <alignment vertical="center"/>
    </xf>
    <xf numFmtId="0" fontId="35" fillId="0" borderId="6" xfId="0" applyFont="1" applyBorder="1" applyAlignment="1">
      <alignment vertical="center" wrapText="1"/>
    </xf>
    <xf numFmtId="0" fontId="35" fillId="11" borderId="6" xfId="0" applyFont="1" applyFill="1" applyBorder="1" applyAlignment="1">
      <alignment horizontal="left" vertical="center"/>
    </xf>
    <xf numFmtId="0" fontId="35" fillId="11" borderId="6" xfId="0" applyFont="1" applyFill="1" applyBorder="1" applyAlignment="1">
      <alignment horizontal="center" vertical="center"/>
    </xf>
    <xf numFmtId="179" fontId="35" fillId="11" borderId="6" xfId="14" applyNumberFormat="1" applyFont="1" applyFill="1" applyBorder="1" applyAlignment="1">
      <alignment horizontal="center" vertical="center"/>
    </xf>
    <xf numFmtId="0" fontId="35" fillId="12" borderId="6" xfId="0" applyFont="1" applyFill="1" applyBorder="1" applyAlignment="1">
      <alignment horizontal="center" vertical="center"/>
    </xf>
    <xf numFmtId="178" fontId="35"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0" fontId="38"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0" fontId="38" fillId="0" borderId="0" xfId="0" applyFont="1" applyAlignment="1">
      <alignment horizontal="center" vertical="center" wrapText="1"/>
    </xf>
    <xf numFmtId="179" fontId="38" fillId="0" borderId="0" xfId="0" applyNumberFormat="1" applyFont="1" applyAlignment="1">
      <alignment vertical="center" wrapText="1"/>
    </xf>
    <xf numFmtId="3" fontId="38" fillId="0" borderId="0" xfId="0" applyNumberFormat="1" applyFont="1" applyAlignment="1">
      <alignment horizontal="center" vertical="center" wrapText="1"/>
    </xf>
    <xf numFmtId="3" fontId="39" fillId="19" borderId="0" xfId="0" applyNumberFormat="1" applyFont="1" applyFill="1" applyAlignment="1">
      <alignment horizontal="center" vertical="center" wrapText="1"/>
    </xf>
    <xf numFmtId="9" fontId="39" fillId="19" borderId="0" xfId="28" applyFont="1" applyFill="1" applyAlignment="1">
      <alignment horizontal="center" vertical="center" wrapText="1"/>
    </xf>
    <xf numFmtId="9" fontId="38" fillId="0" borderId="0" xfId="28" applyFont="1" applyAlignment="1">
      <alignment horizontal="center" vertical="center" wrapText="1"/>
    </xf>
    <xf numFmtId="9" fontId="27" fillId="0" borderId="3" xfId="22" applyNumberFormat="1" applyFont="1" applyBorder="1" applyAlignment="1">
      <alignment horizontal="center" vertical="center" wrapText="1"/>
    </xf>
    <xf numFmtId="0" fontId="40" fillId="0" borderId="0" xfId="0" applyFont="1" applyAlignment="1">
      <alignment horizontal="center" vertical="center"/>
    </xf>
    <xf numFmtId="0" fontId="40" fillId="0" borderId="0" xfId="0" applyFont="1" applyAlignment="1">
      <alignment horizontal="center" vertical="center" wrapText="1"/>
    </xf>
    <xf numFmtId="180" fontId="40" fillId="0" borderId="0" xfId="0" applyNumberFormat="1" applyFont="1" applyAlignment="1">
      <alignment horizontal="center" vertical="center"/>
    </xf>
    <xf numFmtId="0" fontId="41" fillId="0" borderId="0" xfId="0" applyFont="1" applyAlignment="1">
      <alignment horizontal="center" vertical="center"/>
    </xf>
    <xf numFmtId="0" fontId="29" fillId="0" borderId="6" xfId="0" applyFont="1" applyBorder="1" applyAlignment="1">
      <alignment horizontal="justify" vertical="center" wrapText="1"/>
    </xf>
    <xf numFmtId="0" fontId="29" fillId="0" borderId="6" xfId="0" applyFont="1" applyBorder="1" applyAlignment="1">
      <alignment horizontal="justify" vertical="center"/>
    </xf>
    <xf numFmtId="171" fontId="29" fillId="0" borderId="6" xfId="11" applyFont="1" applyBorder="1" applyAlignment="1">
      <alignment horizontal="justify" vertical="center" wrapText="1"/>
    </xf>
    <xf numFmtId="9" fontId="29" fillId="0" borderId="6" xfId="28" applyFont="1" applyBorder="1" applyAlignment="1">
      <alignment horizontal="justify" vertical="center"/>
    </xf>
    <xf numFmtId="0" fontId="29" fillId="0" borderId="0" xfId="0" applyFont="1" applyAlignment="1">
      <alignment horizontal="justify" vertical="center"/>
    </xf>
    <xf numFmtId="9" fontId="26" fillId="10" borderId="3" xfId="28" applyFont="1" applyFill="1" applyBorder="1" applyAlignment="1" applyProtection="1">
      <alignment horizontal="center" vertical="center" wrapText="1"/>
      <protection locked="0"/>
    </xf>
    <xf numFmtId="0" fontId="27" fillId="0" borderId="39" xfId="22" applyFont="1" applyBorder="1" applyAlignment="1">
      <alignment horizontal="left" vertical="center" wrapText="1"/>
    </xf>
    <xf numFmtId="0" fontId="27" fillId="10" borderId="8" xfId="22" applyFont="1" applyFill="1" applyBorder="1" applyAlignment="1">
      <alignment horizontal="left" vertical="center" wrapText="1"/>
    </xf>
    <xf numFmtId="9" fontId="26" fillId="0" borderId="6" xfId="29" applyFont="1" applyBorder="1" applyAlignment="1" applyProtection="1">
      <alignment horizontal="center" vertical="center" wrapText="1"/>
      <protection locked="0"/>
    </xf>
    <xf numFmtId="0" fontId="29" fillId="0" borderId="12" xfId="0" applyFont="1" applyBorder="1" applyAlignment="1">
      <alignment horizontal="justify" vertical="center"/>
    </xf>
    <xf numFmtId="0" fontId="29" fillId="0" borderId="39" xfId="0" applyFont="1" applyBorder="1" applyAlignment="1">
      <alignment horizontal="justify" vertical="center" wrapText="1"/>
    </xf>
    <xf numFmtId="0" fontId="29" fillId="0" borderId="4" xfId="0" applyFont="1" applyBorder="1" applyAlignment="1">
      <alignment horizontal="justify" vertical="center"/>
    </xf>
    <xf numFmtId="0" fontId="29" fillId="0" borderId="71" xfId="0" applyFont="1" applyBorder="1" applyAlignment="1">
      <alignment vertical="center" wrapText="1"/>
    </xf>
    <xf numFmtId="0" fontId="32" fillId="10" borderId="29"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15" xfId="0" applyFont="1" applyFill="1" applyBorder="1" applyAlignment="1">
      <alignment horizontal="center" vertical="center"/>
    </xf>
    <xf numFmtId="0" fontId="39" fillId="0" borderId="0" xfId="0" applyFont="1" applyAlignment="1">
      <alignment horizontal="center" vertical="center"/>
    </xf>
    <xf numFmtId="9" fontId="39" fillId="0" borderId="0" xfId="0" applyNumberFormat="1" applyFont="1" applyAlignment="1">
      <alignment horizontal="center" vertical="center"/>
    </xf>
    <xf numFmtId="0" fontId="29" fillId="0" borderId="6" xfId="0" applyFont="1" applyBorder="1" applyAlignment="1">
      <alignment horizontal="center" vertical="center" wrapText="1"/>
    </xf>
    <xf numFmtId="4" fontId="27" fillId="0" borderId="3" xfId="22" applyNumberFormat="1" applyFont="1" applyBorder="1" applyAlignment="1">
      <alignment horizontal="center" vertical="center" wrapText="1"/>
    </xf>
    <xf numFmtId="4" fontId="27" fillId="10" borderId="5" xfId="28" applyNumberFormat="1" applyFont="1" applyFill="1" applyBorder="1" applyAlignment="1" applyProtection="1">
      <alignment horizontal="center" vertical="center" wrapText="1"/>
    </xf>
    <xf numFmtId="4" fontId="27" fillId="0" borderId="3" xfId="10" applyNumberFormat="1" applyFont="1" applyFill="1" applyBorder="1" applyAlignment="1" applyProtection="1">
      <alignment horizontal="center" vertical="center" wrapText="1"/>
    </xf>
    <xf numFmtId="4" fontId="26" fillId="10" borderId="5" xfId="30" applyNumberFormat="1" applyFont="1" applyFill="1" applyBorder="1" applyAlignment="1" applyProtection="1">
      <alignment horizontal="center" vertical="center" wrapText="1"/>
    </xf>
    <xf numFmtId="4" fontId="27" fillId="0" borderId="4" xfId="22" applyNumberFormat="1" applyFont="1" applyBorder="1" applyAlignment="1">
      <alignment horizontal="left" vertical="center" wrapText="1"/>
    </xf>
    <xf numFmtId="4" fontId="27" fillId="10" borderId="5" xfId="22" applyNumberFormat="1" applyFont="1" applyFill="1" applyBorder="1" applyAlignment="1">
      <alignment horizontal="left" vertical="center" wrapText="1"/>
    </xf>
    <xf numFmtId="0" fontId="27" fillId="9" borderId="67" xfId="22" applyFont="1" applyFill="1" applyBorder="1" applyAlignment="1">
      <alignment horizontal="center" vertical="center" wrapText="1"/>
    </xf>
    <xf numFmtId="4" fontId="29" fillId="0" borderId="6" xfId="0" applyNumberFormat="1" applyFont="1" applyBorder="1" applyAlignment="1">
      <alignment horizontal="center" vertical="center"/>
    </xf>
    <xf numFmtId="9" fontId="29" fillId="0" borderId="6" xfId="28" applyFont="1" applyBorder="1" applyAlignment="1">
      <alignment horizontal="center" vertical="center"/>
    </xf>
    <xf numFmtId="9" fontId="29" fillId="0" borderId="0" xfId="28" applyFont="1" applyAlignment="1">
      <alignment horizontal="center" vertical="center"/>
    </xf>
    <xf numFmtId="9" fontId="27" fillId="10" borderId="6" xfId="28" applyFont="1" applyFill="1" applyBorder="1" applyAlignment="1" applyProtection="1">
      <alignment horizontal="center" vertical="center" wrapText="1"/>
      <protection locked="0"/>
    </xf>
    <xf numFmtId="0" fontId="44" fillId="26" borderId="0" xfId="0" applyFont="1" applyFill="1" applyAlignment="1">
      <alignment horizontal="center" vertical="center" wrapText="1"/>
    </xf>
    <xf numFmtId="0" fontId="45" fillId="27" borderId="0" xfId="0" applyFont="1" applyFill="1" applyAlignment="1">
      <alignment horizontal="center" vertical="center" wrapText="1"/>
    </xf>
    <xf numFmtId="168" fontId="45" fillId="0" borderId="0" xfId="0" applyNumberFormat="1" applyFont="1" applyAlignment="1">
      <alignment vertical="center" wrapText="1"/>
    </xf>
    <xf numFmtId="10" fontId="45" fillId="0" borderId="0" xfId="0" applyNumberFormat="1" applyFont="1" applyAlignment="1">
      <alignment vertical="center" wrapText="1"/>
    </xf>
    <xf numFmtId="10" fontId="38" fillId="0" borderId="0" xfId="0" applyNumberFormat="1" applyFont="1" applyAlignment="1">
      <alignment vertical="center"/>
    </xf>
    <xf numFmtId="168" fontId="38" fillId="0" borderId="0" xfId="0" applyNumberFormat="1" applyFont="1" applyAlignment="1">
      <alignment vertical="center"/>
    </xf>
    <xf numFmtId="10" fontId="44" fillId="26" borderId="0" xfId="0" applyNumberFormat="1" applyFont="1" applyFill="1" applyAlignment="1">
      <alignment horizontal="center" vertical="center" wrapText="1"/>
    </xf>
    <xf numFmtId="179" fontId="39" fillId="0" borderId="0" xfId="0" applyNumberFormat="1"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26" fillId="9" borderId="1" xfId="0" applyFont="1" applyFill="1" applyBorder="1" applyAlignment="1">
      <alignment vertical="center"/>
    </xf>
    <xf numFmtId="0" fontId="26" fillId="9" borderId="0" xfId="0" applyFont="1" applyFill="1" applyAlignment="1">
      <alignment vertical="center"/>
    </xf>
    <xf numFmtId="0" fontId="26" fillId="9" borderId="2" xfId="0" applyFont="1" applyFill="1" applyBorder="1" applyAlignment="1">
      <alignment vertical="center"/>
    </xf>
    <xf numFmtId="177" fontId="26" fillId="0" borderId="0" xfId="0" applyNumberFormat="1" applyFont="1" applyAlignment="1">
      <alignment vertical="center"/>
    </xf>
    <xf numFmtId="177" fontId="26" fillId="0" borderId="0" xfId="14" applyNumberFormat="1" applyFont="1" applyBorder="1" applyAlignment="1">
      <alignment vertical="center"/>
    </xf>
    <xf numFmtId="175" fontId="26" fillId="0" borderId="14" xfId="10" applyNumberFormat="1" applyFont="1" applyBorder="1" applyAlignment="1">
      <alignment vertical="center"/>
    </xf>
    <xf numFmtId="175" fontId="26" fillId="0" borderId="4" xfId="10" applyNumberFormat="1" applyFont="1" applyBorder="1" applyAlignment="1">
      <alignment vertical="center"/>
    </xf>
    <xf numFmtId="175" fontId="26" fillId="0" borderId="15" xfId="10" applyNumberFormat="1" applyFont="1" applyBorder="1" applyAlignment="1">
      <alignment vertical="center"/>
    </xf>
    <xf numFmtId="175" fontId="26" fillId="0" borderId="20" xfId="10" applyNumberFormat="1" applyFont="1" applyBorder="1" applyAlignment="1">
      <alignment vertical="center"/>
    </xf>
    <xf numFmtId="175" fontId="26" fillId="0" borderId="21" xfId="10" applyNumberFormat="1" applyFont="1" applyBorder="1" applyAlignment="1">
      <alignment vertical="center"/>
    </xf>
    <xf numFmtId="175" fontId="26" fillId="0" borderId="21" xfId="10" applyNumberFormat="1" applyFont="1" applyFill="1" applyBorder="1" applyAlignment="1">
      <alignment vertical="center"/>
    </xf>
    <xf numFmtId="175" fontId="26" fillId="0" borderId="22" xfId="10" applyNumberFormat="1" applyFont="1" applyBorder="1" applyAlignment="1">
      <alignment vertical="center"/>
    </xf>
    <xf numFmtId="175" fontId="26" fillId="0" borderId="13" xfId="10" applyNumberFormat="1" applyFont="1" applyBorder="1" applyAlignment="1">
      <alignment vertical="center"/>
    </xf>
    <xf numFmtId="175" fontId="26" fillId="0" borderId="6" xfId="10" applyNumberFormat="1" applyFont="1" applyBorder="1" applyAlignment="1">
      <alignment vertical="center"/>
    </xf>
    <xf numFmtId="9" fontId="26" fillId="0" borderId="12" xfId="28" applyFont="1" applyBorder="1" applyAlignment="1">
      <alignment vertical="center"/>
    </xf>
    <xf numFmtId="175" fontId="26" fillId="0" borderId="6" xfId="10" applyNumberFormat="1" applyFont="1" applyFill="1" applyBorder="1" applyAlignment="1">
      <alignment vertical="center"/>
    </xf>
    <xf numFmtId="9" fontId="26" fillId="0" borderId="16" xfId="28" applyFont="1" applyBorder="1" applyAlignment="1">
      <alignment vertical="center"/>
    </xf>
    <xf numFmtId="175" fontId="26" fillId="0" borderId="12" xfId="10" applyNumberFormat="1" applyFont="1" applyBorder="1" applyAlignment="1">
      <alignment vertical="center"/>
    </xf>
    <xf numFmtId="175" fontId="26" fillId="0" borderId="16" xfId="10" applyNumberFormat="1" applyFont="1" applyBorder="1" applyAlignment="1">
      <alignment vertical="center"/>
    </xf>
    <xf numFmtId="175" fontId="26" fillId="0" borderId="23" xfId="10" applyNumberFormat="1" applyFont="1" applyBorder="1" applyAlignment="1">
      <alignment vertical="center"/>
    </xf>
    <xf numFmtId="175" fontId="26" fillId="0" borderId="5" xfId="10" applyNumberFormat="1" applyFont="1" applyBorder="1" applyAlignment="1">
      <alignment vertical="center"/>
    </xf>
    <xf numFmtId="175" fontId="26" fillId="0" borderId="27" xfId="10" applyNumberFormat="1" applyFont="1" applyBorder="1" applyAlignment="1">
      <alignment vertical="center"/>
    </xf>
    <xf numFmtId="9" fontId="26" fillId="0" borderId="28" xfId="28" applyFont="1" applyBorder="1" applyAlignment="1">
      <alignment vertical="center"/>
    </xf>
    <xf numFmtId="0" fontId="26" fillId="0" borderId="0" xfId="0" applyFont="1"/>
    <xf numFmtId="165" fontId="27" fillId="0" borderId="0" xfId="15" applyFont="1" applyAlignment="1">
      <alignment vertical="center"/>
    </xf>
    <xf numFmtId="0" fontId="27" fillId="0" borderId="0" xfId="0" applyFont="1" applyAlignment="1">
      <alignment vertical="center"/>
    </xf>
    <xf numFmtId="0" fontId="26" fillId="0" borderId="0" xfId="0" applyFont="1" applyAlignment="1">
      <alignment horizontal="justify" vertical="center"/>
    </xf>
    <xf numFmtId="0" fontId="59" fillId="0" borderId="0" xfId="0" applyFont="1" applyAlignment="1">
      <alignment horizontal="justify" vertical="center" wrapText="1"/>
    </xf>
    <xf numFmtId="0" fontId="15" fillId="0" borderId="0" xfId="0" applyFont="1" applyAlignment="1">
      <alignment horizontal="justify" vertical="center" wrapText="1"/>
    </xf>
    <xf numFmtId="0" fontId="15" fillId="0" borderId="0" xfId="0" applyFont="1" applyAlignment="1">
      <alignment horizontal="justify" vertical="center"/>
    </xf>
    <xf numFmtId="0" fontId="15" fillId="0" borderId="0" xfId="0" applyFont="1" applyAlignment="1">
      <alignment vertical="center"/>
    </xf>
    <xf numFmtId="0" fontId="58" fillId="20" borderId="71" xfId="0" applyFont="1" applyFill="1" applyBorder="1" applyAlignment="1">
      <alignment horizontal="center" vertical="center" wrapText="1"/>
    </xf>
    <xf numFmtId="0" fontId="58" fillId="20" borderId="83" xfId="0" applyFont="1" applyFill="1" applyBorder="1" applyAlignment="1">
      <alignment horizontal="center" vertical="center" wrapText="1"/>
    </xf>
    <xf numFmtId="0" fontId="58" fillId="0" borderId="71" xfId="0" applyFont="1" applyBorder="1" applyAlignment="1">
      <alignment horizontal="center" vertical="center" wrapText="1"/>
    </xf>
    <xf numFmtId="9" fontId="59" fillId="0" borderId="0" xfId="0" applyNumberFormat="1" applyFont="1" applyAlignment="1">
      <alignment horizontal="center" vertical="center"/>
    </xf>
    <xf numFmtId="181" fontId="58" fillId="21" borderId="2" xfId="0" applyNumberFormat="1" applyFont="1" applyFill="1" applyBorder="1" applyAlignment="1">
      <alignment horizontal="center" vertical="center"/>
    </xf>
    <xf numFmtId="0" fontId="43" fillId="0" borderId="0" xfId="0" applyFont="1" applyAlignment="1">
      <alignment horizontal="justify" vertical="center" wrapText="1"/>
    </xf>
    <xf numFmtId="181" fontId="59" fillId="0" borderId="0" xfId="0" applyNumberFormat="1" applyFont="1" applyAlignment="1">
      <alignment horizontal="justify" vertical="center" wrapText="1"/>
    </xf>
    <xf numFmtId="0" fontId="58" fillId="22" borderId="71" xfId="0" applyFont="1" applyFill="1" applyBorder="1" applyAlignment="1">
      <alignment horizontal="center" vertical="center" wrapText="1"/>
    </xf>
    <xf numFmtId="181" fontId="59" fillId="22" borderId="0" xfId="0" applyNumberFormat="1" applyFont="1" applyFill="1" applyAlignment="1">
      <alignment horizontal="center" vertical="center"/>
    </xf>
    <xf numFmtId="181" fontId="58" fillId="22" borderId="2" xfId="0" applyNumberFormat="1" applyFont="1" applyFill="1" applyBorder="1" applyAlignment="1">
      <alignment horizontal="center" vertical="center"/>
    </xf>
    <xf numFmtId="181" fontId="43" fillId="0" borderId="0" xfId="0" applyNumberFormat="1" applyFont="1" applyAlignment="1">
      <alignment horizontal="justify" vertical="center" wrapText="1"/>
    </xf>
    <xf numFmtId="10" fontId="59" fillId="22" borderId="0" xfId="0" applyNumberFormat="1" applyFont="1" applyFill="1" applyAlignment="1">
      <alignment horizontal="center" vertical="center"/>
    </xf>
    <xf numFmtId="0" fontId="58" fillId="22" borderId="85" xfId="0" applyFont="1" applyFill="1" applyBorder="1" applyAlignment="1">
      <alignment horizontal="center" vertical="center" wrapText="1"/>
    </xf>
    <xf numFmtId="0" fontId="58" fillId="0" borderId="0" xfId="0" applyFont="1" applyAlignment="1">
      <alignment horizontal="center" vertical="center" wrapText="1"/>
    </xf>
    <xf numFmtId="181" fontId="58" fillId="0" borderId="0" xfId="0" applyNumberFormat="1" applyFont="1" applyAlignment="1">
      <alignment horizontal="center" vertical="center"/>
    </xf>
    <xf numFmtId="0" fontId="60" fillId="0" borderId="0" xfId="0" applyFont="1" applyAlignment="1">
      <alignment horizontal="justify" vertical="center" wrapText="1"/>
    </xf>
    <xf numFmtId="176" fontId="43" fillId="0" borderId="0" xfId="0" applyNumberFormat="1" applyFont="1" applyAlignment="1">
      <alignment vertical="center"/>
    </xf>
    <xf numFmtId="181" fontId="59" fillId="0" borderId="0" xfId="0" applyNumberFormat="1" applyFont="1" applyAlignment="1">
      <alignment horizontal="center" vertical="center"/>
    </xf>
    <xf numFmtId="0" fontId="59" fillId="0" borderId="0" xfId="0" applyFont="1" applyAlignment="1">
      <alignment horizontal="center" vertical="center"/>
    </xf>
    <xf numFmtId="0" fontId="59" fillId="23" borderId="0" xfId="0" applyFont="1" applyFill="1" applyAlignment="1">
      <alignment horizontal="center" vertical="center"/>
    </xf>
    <xf numFmtId="182" fontId="58" fillId="23" borderId="0" xfId="0" applyNumberFormat="1" applyFont="1" applyFill="1" applyAlignment="1">
      <alignment horizontal="center" vertical="center"/>
    </xf>
    <xf numFmtId="0" fontId="59" fillId="0" borderId="0" xfId="0" applyFont="1" applyAlignment="1">
      <alignment vertical="center"/>
    </xf>
    <xf numFmtId="0" fontId="58" fillId="24" borderId="0" xfId="0" applyFont="1" applyFill="1" applyAlignment="1">
      <alignment vertical="center"/>
    </xf>
    <xf numFmtId="183" fontId="59" fillId="24" borderId="0" xfId="0" applyNumberFormat="1" applyFont="1" applyFill="1" applyAlignment="1">
      <alignment horizontal="center" vertical="center"/>
    </xf>
    <xf numFmtId="181" fontId="59" fillId="24" borderId="0" xfId="0" applyNumberFormat="1" applyFont="1" applyFill="1" applyAlignment="1">
      <alignment horizontal="center" vertical="center"/>
    </xf>
    <xf numFmtId="0" fontId="61" fillId="0" borderId="0" xfId="0" applyFont="1" applyAlignment="1">
      <alignment horizontal="justify" vertical="center" wrapText="1"/>
    </xf>
    <xf numFmtId="0" fontId="61" fillId="0" borderId="0" xfId="0" applyFont="1" applyAlignment="1">
      <alignment vertical="center"/>
    </xf>
    <xf numFmtId="0" fontId="43" fillId="0" borderId="0" xfId="0" applyFont="1" applyAlignment="1">
      <alignment vertical="center"/>
    </xf>
    <xf numFmtId="2" fontId="26" fillId="0" borderId="0" xfId="0" applyNumberFormat="1" applyFont="1" applyAlignment="1">
      <alignment vertical="center"/>
    </xf>
    <xf numFmtId="2" fontId="26" fillId="0" borderId="0" xfId="0" applyNumberFormat="1" applyFont="1" applyAlignment="1">
      <alignment horizontal="center" vertical="center"/>
    </xf>
    <xf numFmtId="0" fontId="26" fillId="0" borderId="0" xfId="0" applyFont="1" applyAlignment="1">
      <alignment horizontal="justify" vertical="center" wrapText="1"/>
    </xf>
    <xf numFmtId="0" fontId="26" fillId="9" borderId="0" xfId="0" applyFont="1" applyFill="1" applyAlignment="1">
      <alignment horizontal="center" vertical="center"/>
    </xf>
    <xf numFmtId="175" fontId="26" fillId="0" borderId="14" xfId="10" applyNumberFormat="1" applyFont="1" applyBorder="1" applyAlignment="1">
      <alignment horizontal="center" vertical="center"/>
    </xf>
    <xf numFmtId="175" fontId="26" fillId="0" borderId="13" xfId="10" applyNumberFormat="1" applyFont="1" applyBorder="1" applyAlignment="1">
      <alignment horizontal="center" vertical="center"/>
    </xf>
    <xf numFmtId="175" fontId="26" fillId="0" borderId="23" xfId="10" applyNumberFormat="1" applyFont="1" applyBorder="1" applyAlignment="1">
      <alignment horizontal="center" vertical="center"/>
    </xf>
    <xf numFmtId="0" fontId="26" fillId="0" borderId="0" xfId="0" applyFont="1" applyAlignment="1">
      <alignment horizontal="center"/>
    </xf>
    <xf numFmtId="10" fontId="26" fillId="0" borderId="0" xfId="0" applyNumberFormat="1" applyFont="1" applyAlignment="1">
      <alignment horizontal="center" vertical="center"/>
    </xf>
    <xf numFmtId="9" fontId="26" fillId="0" borderId="0" xfId="0" applyNumberFormat="1" applyFont="1" applyAlignment="1">
      <alignment vertical="center"/>
    </xf>
    <xf numFmtId="0" fontId="27" fillId="20" borderId="71" xfId="0" applyFont="1" applyFill="1" applyBorder="1" applyAlignment="1">
      <alignment horizontal="center" vertical="center" wrapText="1"/>
    </xf>
    <xf numFmtId="0" fontId="27" fillId="20" borderId="83" xfId="0" applyFont="1" applyFill="1" applyBorder="1" applyAlignment="1">
      <alignment horizontal="center" vertical="center" wrapText="1"/>
    </xf>
    <xf numFmtId="0" fontId="27" fillId="0" borderId="71" xfId="0" applyFont="1" applyBorder="1" applyAlignment="1">
      <alignment horizontal="center" vertical="center" wrapText="1"/>
    </xf>
    <xf numFmtId="9" fontId="26" fillId="0" borderId="0" xfId="0" applyNumberFormat="1" applyFont="1" applyAlignment="1">
      <alignment horizontal="center" vertical="center"/>
    </xf>
    <xf numFmtId="181" fontId="27" fillId="21" borderId="2" xfId="0" applyNumberFormat="1" applyFont="1" applyFill="1" applyBorder="1" applyAlignment="1">
      <alignment horizontal="center" vertical="center"/>
    </xf>
    <xf numFmtId="181" fontId="26" fillId="0" borderId="0" xfId="0" applyNumberFormat="1" applyFont="1" applyAlignment="1">
      <alignment horizontal="justify" vertical="center" wrapText="1"/>
    </xf>
    <xf numFmtId="0" fontId="27" fillId="22" borderId="71" xfId="0" applyFont="1" applyFill="1" applyBorder="1" applyAlignment="1">
      <alignment horizontal="center" vertical="center" wrapText="1"/>
    </xf>
    <xf numFmtId="181" fontId="26" fillId="22" borderId="0" xfId="0" applyNumberFormat="1" applyFont="1" applyFill="1" applyAlignment="1">
      <alignment horizontal="center" vertical="center"/>
    </xf>
    <xf numFmtId="181" fontId="27" fillId="22" borderId="2" xfId="0" applyNumberFormat="1" applyFont="1" applyFill="1" applyBorder="1" applyAlignment="1">
      <alignment horizontal="center" vertical="center"/>
    </xf>
    <xf numFmtId="0" fontId="27" fillId="22" borderId="85" xfId="0" applyFont="1" applyFill="1" applyBorder="1" applyAlignment="1">
      <alignment horizontal="center" vertical="center" wrapText="1"/>
    </xf>
    <xf numFmtId="181" fontId="27" fillId="0" borderId="0" xfId="0" applyNumberFormat="1" applyFont="1" applyAlignment="1">
      <alignment horizontal="center" vertical="center"/>
    </xf>
    <xf numFmtId="181" fontId="26" fillId="0" borderId="0" xfId="0" applyNumberFormat="1" applyFont="1" applyAlignment="1">
      <alignment horizontal="center" vertical="center"/>
    </xf>
    <xf numFmtId="0" fontId="26" fillId="23" borderId="0" xfId="0" applyFont="1" applyFill="1" applyAlignment="1">
      <alignment horizontal="center" vertical="center"/>
    </xf>
    <xf numFmtId="182" fontId="27" fillId="23" borderId="0" xfId="0" applyNumberFormat="1" applyFont="1" applyFill="1" applyAlignment="1">
      <alignment horizontal="center" vertical="center"/>
    </xf>
    <xf numFmtId="0" fontId="27" fillId="24" borderId="0" xfId="0" applyFont="1" applyFill="1" applyAlignment="1">
      <alignment vertical="center"/>
    </xf>
    <xf numFmtId="183" fontId="26" fillId="24" borderId="0" xfId="0" applyNumberFormat="1" applyFont="1" applyFill="1" applyAlignment="1">
      <alignment horizontal="center" vertical="center"/>
    </xf>
    <xf numFmtId="181" fontId="26" fillId="24" borderId="0" xfId="0" applyNumberFormat="1" applyFont="1" applyFill="1" applyAlignment="1">
      <alignment horizontal="center" vertical="center"/>
    </xf>
    <xf numFmtId="0" fontId="29" fillId="0" borderId="6" xfId="28" applyNumberFormat="1" applyFont="1" applyBorder="1" applyAlignment="1">
      <alignment horizontal="justify" vertical="center" wrapText="1"/>
    </xf>
    <xf numFmtId="9" fontId="29" fillId="0" borderId="6" xfId="28" applyFont="1" applyBorder="1" applyAlignment="1">
      <alignment horizontal="justify" vertical="center" wrapText="1"/>
    </xf>
    <xf numFmtId="10" fontId="63" fillId="0" borderId="0" xfId="0" applyNumberFormat="1" applyFont="1" applyAlignment="1">
      <alignment vertical="center"/>
    </xf>
    <xf numFmtId="10" fontId="63" fillId="0" borderId="6" xfId="28" applyNumberFormat="1" applyFont="1" applyBorder="1" applyAlignment="1">
      <alignment vertical="center"/>
    </xf>
    <xf numFmtId="10" fontId="63" fillId="0" borderId="6" xfId="10" applyNumberFormat="1" applyFont="1" applyBorder="1" applyAlignment="1">
      <alignment vertical="center"/>
    </xf>
    <xf numFmtId="10" fontId="63" fillId="0" borderId="5" xfId="28" applyNumberFormat="1" applyFont="1" applyBorder="1" applyAlignment="1">
      <alignment vertical="center"/>
    </xf>
    <xf numFmtId="0" fontId="38" fillId="31" borderId="0" xfId="0" applyFont="1" applyFill="1" applyAlignment="1">
      <alignment horizontal="center" vertical="center" wrapText="1"/>
    </xf>
    <xf numFmtId="10" fontId="38" fillId="0" borderId="0" xfId="28" applyNumberFormat="1" applyFont="1" applyAlignment="1">
      <alignment vertical="center"/>
    </xf>
    <xf numFmtId="0" fontId="47" fillId="28" borderId="6" xfId="22" applyFont="1" applyFill="1" applyBorder="1" applyAlignment="1">
      <alignment vertical="center"/>
    </xf>
    <xf numFmtId="0" fontId="47" fillId="28" borderId="6" xfId="22" applyFont="1" applyFill="1" applyBorder="1" applyAlignment="1">
      <alignment vertical="center" wrapText="1"/>
    </xf>
    <xf numFmtId="0" fontId="47" fillId="32" borderId="6" xfId="22" applyFont="1" applyFill="1" applyBorder="1" applyAlignment="1">
      <alignment vertical="center"/>
    </xf>
    <xf numFmtId="0" fontId="47" fillId="29" borderId="6" xfId="22" applyFont="1" applyFill="1" applyBorder="1" applyAlignment="1">
      <alignment vertical="center"/>
    </xf>
    <xf numFmtId="0" fontId="47" fillId="28" borderId="12" xfId="22" applyFont="1" applyFill="1" applyBorder="1" applyAlignment="1">
      <alignment vertical="center"/>
    </xf>
    <xf numFmtId="0" fontId="48" fillId="30" borderId="24" xfId="22" applyFont="1" applyFill="1" applyBorder="1" applyAlignment="1">
      <alignment horizontal="center" vertical="center"/>
    </xf>
    <xf numFmtId="180" fontId="48" fillId="30" borderId="70" xfId="22" applyNumberFormat="1" applyFont="1" applyFill="1" applyBorder="1" applyAlignment="1">
      <alignment horizontal="center" vertical="center"/>
    </xf>
    <xf numFmtId="0" fontId="48" fillId="30" borderId="70" xfId="22" applyFont="1" applyFill="1" applyBorder="1" applyAlignment="1">
      <alignment horizontal="center" vertical="center" wrapText="1"/>
    </xf>
    <xf numFmtId="0" fontId="48" fillId="30" borderId="25" xfId="22" applyFont="1" applyFill="1" applyBorder="1" applyAlignment="1">
      <alignment horizontal="center" vertical="center"/>
    </xf>
    <xf numFmtId="0" fontId="49" fillId="30" borderId="25" xfId="22" applyFont="1" applyFill="1" applyBorder="1" applyAlignment="1">
      <alignment horizontal="center" vertical="center" wrapText="1"/>
    </xf>
    <xf numFmtId="0" fontId="49" fillId="33" borderId="25" xfId="22" applyFont="1" applyFill="1" applyBorder="1" applyAlignment="1">
      <alignment horizontal="center" vertical="center" wrapText="1"/>
    </xf>
    <xf numFmtId="0" fontId="49" fillId="30" borderId="25" xfId="22" applyFont="1" applyFill="1" applyBorder="1" applyAlignment="1">
      <alignment horizontal="right" vertical="center" wrapText="1"/>
    </xf>
    <xf numFmtId="0" fontId="49" fillId="30" borderId="26" xfId="22" applyFont="1" applyFill="1" applyBorder="1" applyAlignment="1">
      <alignment horizontal="center" vertical="center" wrapText="1"/>
    </xf>
    <xf numFmtId="0" fontId="49" fillId="30" borderId="99" xfId="22" applyFont="1" applyFill="1" applyBorder="1" applyAlignment="1">
      <alignment horizontal="center" vertical="center" wrapText="1"/>
    </xf>
    <xf numFmtId="0" fontId="47" fillId="0" borderId="0" xfId="22" applyFont="1" applyAlignment="1">
      <alignment vertical="center"/>
    </xf>
    <xf numFmtId="0" fontId="47" fillId="0" borderId="0" xfId="22" applyFont="1" applyAlignment="1">
      <alignment horizontal="center" vertical="center"/>
    </xf>
    <xf numFmtId="180" fontId="47" fillId="0" borderId="0" xfId="22" applyNumberFormat="1" applyFont="1" applyAlignment="1">
      <alignment horizontal="center" vertical="center"/>
    </xf>
    <xf numFmtId="0" fontId="64" fillId="0" borderId="0" xfId="22" applyFont="1" applyAlignment="1">
      <alignment vertical="top"/>
    </xf>
    <xf numFmtId="14" fontId="64" fillId="0" borderId="0" xfId="22" applyNumberFormat="1" applyFont="1" applyAlignment="1">
      <alignment horizontal="right" vertical="top"/>
    </xf>
    <xf numFmtId="3" fontId="64" fillId="0" borderId="0" xfId="22" applyNumberFormat="1" applyFont="1" applyAlignment="1">
      <alignment horizontal="right" vertical="top"/>
    </xf>
    <xf numFmtId="0" fontId="64" fillId="0" borderId="13" xfId="22" applyFont="1" applyBorder="1" applyAlignment="1">
      <alignment horizontal="center" vertical="center"/>
    </xf>
    <xf numFmtId="3" fontId="64" fillId="0" borderId="6" xfId="22" applyNumberFormat="1" applyFont="1" applyBorder="1" applyAlignment="1">
      <alignment horizontal="center" vertical="top"/>
    </xf>
    <xf numFmtId="15" fontId="65" fillId="0" borderId="6" xfId="22" applyNumberFormat="1" applyFont="1" applyBorder="1" applyAlignment="1">
      <alignment horizontal="center" vertical="center" wrapText="1"/>
    </xf>
    <xf numFmtId="0" fontId="64" fillId="0" borderId="6" xfId="22" applyFont="1" applyBorder="1" applyAlignment="1">
      <alignment vertical="top"/>
    </xf>
    <xf numFmtId="3" fontId="64" fillId="0" borderId="6" xfId="22" applyNumberFormat="1" applyFont="1" applyBorder="1" applyAlignment="1">
      <alignment horizontal="right" vertical="top"/>
    </xf>
    <xf numFmtId="3" fontId="64" fillId="0" borderId="12" xfId="22" applyNumberFormat="1" applyFont="1" applyBorder="1" applyAlignment="1">
      <alignment horizontal="right" vertical="top"/>
    </xf>
    <xf numFmtId="3" fontId="64" fillId="0" borderId="16" xfId="22" applyNumberFormat="1" applyFont="1" applyBorder="1" applyAlignment="1">
      <alignment horizontal="right" vertical="top"/>
    </xf>
    <xf numFmtId="3" fontId="66" fillId="0" borderId="52" xfId="22" applyNumberFormat="1" applyFont="1" applyBorder="1" applyAlignment="1">
      <alignment horizontal="right" vertical="top"/>
    </xf>
    <xf numFmtId="0" fontId="64" fillId="0" borderId="0" xfId="22" applyFont="1" applyAlignment="1">
      <alignment horizontal="center" vertical="center"/>
    </xf>
    <xf numFmtId="3" fontId="64" fillId="0" borderId="0" xfId="22" applyNumberFormat="1" applyFont="1" applyAlignment="1">
      <alignment horizontal="center" vertical="center"/>
    </xf>
    <xf numFmtId="3" fontId="64" fillId="0" borderId="0" xfId="22" applyNumberFormat="1" applyFont="1" applyAlignment="1">
      <alignment vertical="top"/>
    </xf>
    <xf numFmtId="9" fontId="64" fillId="0" borderId="0" xfId="38" applyFont="1" applyFill="1" applyAlignment="1">
      <alignment vertical="top"/>
    </xf>
    <xf numFmtId="3" fontId="64" fillId="0" borderId="0" xfId="22" applyNumberFormat="1" applyFont="1" applyAlignment="1">
      <alignment horizontal="center" vertical="top"/>
    </xf>
    <xf numFmtId="0" fontId="2" fillId="0" borderId="0" xfId="22" applyAlignment="1">
      <alignment vertical="top"/>
    </xf>
    <xf numFmtId="3" fontId="2" fillId="0" borderId="0" xfId="22" applyNumberFormat="1" applyAlignment="1">
      <alignment vertical="top"/>
    </xf>
    <xf numFmtId="0" fontId="2" fillId="0" borderId="0" xfId="22" applyAlignment="1">
      <alignment horizontal="center" vertical="center"/>
    </xf>
    <xf numFmtId="3" fontId="47" fillId="0" borderId="0" xfId="22" applyNumberFormat="1" applyFont="1" applyAlignment="1">
      <alignment vertical="top"/>
    </xf>
    <xf numFmtId="0" fontId="50" fillId="13" borderId="0" xfId="22" applyFont="1" applyFill="1" applyAlignment="1">
      <alignment vertical="top"/>
    </xf>
    <xf numFmtId="0" fontId="50" fillId="0" borderId="0" xfId="22" applyFont="1" applyAlignment="1">
      <alignment vertical="top"/>
    </xf>
    <xf numFmtId="3" fontId="47" fillId="13" borderId="0" xfId="22" applyNumberFormat="1" applyFont="1" applyFill="1" applyAlignment="1">
      <alignment vertical="top"/>
    </xf>
    <xf numFmtId="0" fontId="50" fillId="13" borderId="0" xfId="22" applyFont="1" applyFill="1" applyAlignment="1">
      <alignment horizontal="center" vertical="center"/>
    </xf>
    <xf numFmtId="180" fontId="50" fillId="13" borderId="0" xfId="22" applyNumberFormat="1" applyFont="1" applyFill="1" applyAlignment="1">
      <alignment horizontal="center" vertical="center"/>
    </xf>
    <xf numFmtId="0" fontId="50" fillId="13" borderId="0" xfId="22" applyFont="1" applyFill="1" applyAlignment="1">
      <alignment horizontal="center" vertical="center" wrapText="1"/>
    </xf>
    <xf numFmtId="3" fontId="51" fillId="13" borderId="16" xfId="22" applyNumberFormat="1" applyFont="1" applyFill="1" applyBorder="1" applyAlignment="1">
      <alignment horizontal="right" vertical="top"/>
    </xf>
    <xf numFmtId="3" fontId="47" fillId="13" borderId="0" xfId="22" applyNumberFormat="1" applyFont="1" applyFill="1" applyAlignment="1">
      <alignment horizontal="center" vertical="center"/>
    </xf>
    <xf numFmtId="3" fontId="50" fillId="0" borderId="0" xfId="22" applyNumberFormat="1" applyFont="1" applyAlignment="1">
      <alignment vertical="top"/>
    </xf>
    <xf numFmtId="0" fontId="37" fillId="0" borderId="0" xfId="22" applyFont="1" applyAlignment="1">
      <alignment horizontal="center" vertical="center"/>
    </xf>
    <xf numFmtId="0" fontId="2" fillId="0" borderId="0" xfId="22" applyAlignment="1">
      <alignment horizontal="center" vertical="top"/>
    </xf>
    <xf numFmtId="0" fontId="50" fillId="0" borderId="0" xfId="22" applyFont="1" applyAlignment="1">
      <alignment horizontal="center" vertical="top"/>
    </xf>
    <xf numFmtId="0" fontId="54" fillId="13" borderId="0" xfId="22" applyFont="1" applyFill="1" applyAlignment="1">
      <alignment vertical="top"/>
    </xf>
    <xf numFmtId="0" fontId="47" fillId="0" borderId="0" xfId="22" applyFont="1" applyAlignment="1">
      <alignment vertical="top"/>
    </xf>
    <xf numFmtId="3" fontId="54" fillId="13" borderId="0" xfId="22" applyNumberFormat="1" applyFont="1" applyFill="1" applyAlignment="1">
      <alignment horizontal="right" vertical="top"/>
    </xf>
    <xf numFmtId="0" fontId="54" fillId="13" borderId="13" xfId="22" applyFont="1" applyFill="1" applyBorder="1" applyAlignment="1">
      <alignment horizontal="center" vertical="center"/>
    </xf>
    <xf numFmtId="3" fontId="54" fillId="13" borderId="6" xfId="22" applyNumberFormat="1" applyFont="1" applyFill="1" applyBorder="1" applyAlignment="1">
      <alignment horizontal="center" vertical="top"/>
    </xf>
    <xf numFmtId="15" fontId="68" fillId="13" borderId="6" xfId="22" applyNumberFormat="1" applyFont="1" applyFill="1" applyBorder="1" applyAlignment="1">
      <alignment horizontal="center" vertical="center" wrapText="1"/>
    </xf>
    <xf numFmtId="0" fontId="54" fillId="13" borderId="6" xfId="22" applyFont="1" applyFill="1" applyBorder="1" applyAlignment="1">
      <alignment vertical="top"/>
    </xf>
    <xf numFmtId="3" fontId="54" fillId="13" borderId="6" xfId="22" applyNumberFormat="1" applyFont="1" applyFill="1" applyBorder="1" applyAlignment="1">
      <alignment horizontal="right" vertical="top"/>
    </xf>
    <xf numFmtId="3" fontId="54" fillId="13" borderId="12" xfId="22" applyNumberFormat="1" applyFont="1" applyFill="1" applyBorder="1" applyAlignment="1">
      <alignment horizontal="right" vertical="top"/>
    </xf>
    <xf numFmtId="0" fontId="54" fillId="13" borderId="0" xfId="22" applyFont="1" applyFill="1" applyAlignment="1">
      <alignment horizontal="center" vertical="center"/>
    </xf>
    <xf numFmtId="0" fontId="54" fillId="0" borderId="0" xfId="22" applyFont="1" applyAlignment="1">
      <alignment vertical="top"/>
    </xf>
    <xf numFmtId="0" fontId="54" fillId="0" borderId="0" xfId="22" applyFont="1" applyAlignment="1">
      <alignment horizontal="center" vertical="top"/>
    </xf>
    <xf numFmtId="0" fontId="52" fillId="0" borderId="0" xfId="22" applyFont="1" applyAlignment="1">
      <alignment vertical="top"/>
    </xf>
    <xf numFmtId="0" fontId="37" fillId="34" borderId="0" xfId="22" applyFont="1" applyFill="1" applyAlignment="1">
      <alignment vertical="top"/>
    </xf>
    <xf numFmtId="3" fontId="47" fillId="34" borderId="0" xfId="22" applyNumberFormat="1" applyFont="1" applyFill="1" applyAlignment="1">
      <alignment vertical="top"/>
    </xf>
    <xf numFmtId="167" fontId="2" fillId="0" borderId="0" xfId="22" applyNumberFormat="1" applyAlignment="1">
      <alignment horizontal="center" vertical="top"/>
    </xf>
    <xf numFmtId="0" fontId="37" fillId="0" borderId="0" xfId="22" applyFont="1" applyAlignment="1">
      <alignment vertical="top"/>
    </xf>
    <xf numFmtId="3" fontId="69" fillId="0" borderId="0" xfId="22" applyNumberFormat="1" applyFont="1" applyAlignment="1">
      <alignment vertical="top"/>
    </xf>
    <xf numFmtId="3" fontId="2" fillId="0" borderId="0" xfId="22" applyNumberFormat="1" applyAlignment="1">
      <alignment horizontal="center" vertical="top"/>
    </xf>
    <xf numFmtId="3" fontId="47" fillId="35" borderId="0" xfId="22" applyNumberFormat="1" applyFont="1" applyFill="1" applyAlignment="1">
      <alignment vertical="top"/>
    </xf>
    <xf numFmtId="0" fontId="37" fillId="0" borderId="0" xfId="22" applyFont="1" applyAlignment="1">
      <alignment horizontal="center" vertical="top"/>
    </xf>
    <xf numFmtId="0" fontId="71" fillId="0" borderId="0" xfId="22" applyFont="1" applyAlignment="1">
      <alignment vertical="top"/>
    </xf>
    <xf numFmtId="3" fontId="72" fillId="0" borderId="0" xfId="22" applyNumberFormat="1" applyFont="1" applyAlignment="1">
      <alignment vertical="top"/>
    </xf>
    <xf numFmtId="10" fontId="0" fillId="0" borderId="0" xfId="38" applyNumberFormat="1" applyFont="1" applyAlignment="1">
      <alignment horizontal="center" vertical="top"/>
    </xf>
    <xf numFmtId="10" fontId="0" fillId="0" borderId="0" xfId="38" applyNumberFormat="1" applyFont="1" applyAlignment="1">
      <alignment vertical="top"/>
    </xf>
    <xf numFmtId="0" fontId="70" fillId="34" borderId="0" xfId="22" applyFont="1" applyFill="1" applyAlignment="1">
      <alignment vertical="top"/>
    </xf>
    <xf numFmtId="3" fontId="73" fillId="34" borderId="0" xfId="22" applyNumberFormat="1" applyFont="1" applyFill="1" applyAlignment="1">
      <alignment vertical="top"/>
    </xf>
    <xf numFmtId="0" fontId="74" fillId="0" borderId="100" xfId="22" applyFont="1" applyBorder="1" applyAlignment="1">
      <alignment vertical="center" wrapText="1"/>
    </xf>
    <xf numFmtId="0" fontId="74" fillId="0" borderId="100" xfId="22" applyFont="1" applyBorder="1" applyAlignment="1">
      <alignment horizontal="center" vertical="center" wrapText="1"/>
    </xf>
    <xf numFmtId="3" fontId="74" fillId="0" borderId="100" xfId="22" applyNumberFormat="1" applyFont="1" applyBorder="1" applyAlignment="1">
      <alignment vertical="center" wrapText="1"/>
    </xf>
    <xf numFmtId="10" fontId="74" fillId="0" borderId="100" xfId="22" applyNumberFormat="1" applyFont="1" applyBorder="1" applyAlignment="1">
      <alignment vertical="center" wrapText="1"/>
    </xf>
    <xf numFmtId="3" fontId="75" fillId="0" borderId="100" xfId="22" applyNumberFormat="1" applyFont="1" applyBorder="1" applyAlignment="1">
      <alignment vertical="center" wrapText="1"/>
    </xf>
    <xf numFmtId="10" fontId="75" fillId="0" borderId="100" xfId="22" applyNumberFormat="1" applyFont="1" applyBorder="1" applyAlignment="1">
      <alignment vertical="center" wrapText="1"/>
    </xf>
    <xf numFmtId="10" fontId="2" fillId="0" borderId="0" xfId="22" applyNumberFormat="1" applyAlignment="1">
      <alignment horizontal="center" vertical="top"/>
    </xf>
    <xf numFmtId="3" fontId="75" fillId="0" borderId="0" xfId="22" applyNumberFormat="1" applyFont="1" applyAlignment="1">
      <alignment vertical="center" wrapText="1"/>
    </xf>
    <xf numFmtId="10" fontId="75" fillId="0" borderId="0" xfId="22" applyNumberFormat="1" applyFont="1" applyAlignment="1">
      <alignment vertical="center" wrapText="1"/>
    </xf>
    <xf numFmtId="0" fontId="29" fillId="0" borderId="0" xfId="0" applyFont="1" applyAlignment="1">
      <alignment horizontal="justify" vertical="center" wrapText="1"/>
    </xf>
    <xf numFmtId="165" fontId="26" fillId="0" borderId="0" xfId="15" applyFont="1" applyAlignment="1">
      <alignment vertical="center" wrapText="1"/>
    </xf>
    <xf numFmtId="0" fontId="32" fillId="0" borderId="11" xfId="0" applyFont="1" applyBorder="1" applyAlignment="1">
      <alignment horizontal="center" vertical="center"/>
    </xf>
    <xf numFmtId="0" fontId="32" fillId="0" borderId="8" xfId="0" applyFont="1" applyBorder="1" applyAlignment="1">
      <alignment horizontal="center" vertical="center"/>
    </xf>
    <xf numFmtId="0" fontId="29" fillId="0" borderId="0" xfId="0" applyFont="1" applyAlignment="1">
      <alignment wrapText="1"/>
    </xf>
    <xf numFmtId="0" fontId="29" fillId="0" borderId="6" xfId="0" applyFont="1" applyBorder="1" applyAlignment="1">
      <alignment vertical="center"/>
    </xf>
    <xf numFmtId="15" fontId="29" fillId="0" borderId="14" xfId="0" applyNumberFormat="1" applyFont="1" applyBorder="1" applyAlignment="1">
      <alignment horizontal="center" vertical="center" wrapText="1"/>
    </xf>
    <xf numFmtId="0" fontId="29" fillId="0" borderId="0" xfId="0" applyFont="1" applyAlignment="1">
      <alignment horizontal="center" vertical="center" wrapText="1"/>
    </xf>
    <xf numFmtId="0" fontId="29" fillId="0" borderId="13" xfId="0" applyFont="1" applyBorder="1" applyAlignment="1">
      <alignment horizontal="center" vertical="center" wrapText="1"/>
    </xf>
    <xf numFmtId="0" fontId="29" fillId="0" borderId="13" xfId="0" applyFont="1" applyBorder="1" applyAlignment="1">
      <alignment horizontal="center" vertical="center"/>
    </xf>
    <xf numFmtId="0" fontId="29" fillId="0" borderId="13" xfId="0" applyFont="1" applyBorder="1" applyAlignment="1">
      <alignment horizontal="center"/>
    </xf>
    <xf numFmtId="0" fontId="29" fillId="0" borderId="6" xfId="0" applyFont="1" applyBorder="1" applyAlignment="1">
      <alignment horizontal="center"/>
    </xf>
    <xf numFmtId="0" fontId="29" fillId="0" borderId="0" xfId="0" applyFont="1" applyAlignment="1">
      <alignment horizontal="center"/>
    </xf>
    <xf numFmtId="0" fontId="29" fillId="0" borderId="12" xfId="0" applyFont="1" applyBorder="1" applyAlignment="1">
      <alignment horizontal="justify" vertical="center" wrapText="1"/>
    </xf>
    <xf numFmtId="0" fontId="32" fillId="0" borderId="9" xfId="0" applyFont="1" applyBorder="1" applyAlignment="1">
      <alignment horizontal="center" vertical="center"/>
    </xf>
    <xf numFmtId="0" fontId="32" fillId="10" borderId="6" xfId="0" applyFont="1" applyFill="1" applyBorder="1" applyAlignment="1">
      <alignment vertical="center" wrapText="1"/>
    </xf>
    <xf numFmtId="171" fontId="29" fillId="0" borderId="6" xfId="11" applyFont="1" applyBorder="1" applyAlignment="1">
      <alignment vertical="center" wrapText="1"/>
    </xf>
    <xf numFmtId="4" fontId="36" fillId="0" borderId="6" xfId="0" applyNumberFormat="1" applyFont="1" applyBorder="1" applyAlignment="1">
      <alignment vertical="center"/>
    </xf>
    <xf numFmtId="0" fontId="41" fillId="0" borderId="0" xfId="0" applyFont="1" applyAlignment="1">
      <alignment horizontal="center" vertical="center" wrapText="1"/>
    </xf>
    <xf numFmtId="0" fontId="29" fillId="0" borderId="0" xfId="0" applyFont="1" applyAlignment="1">
      <alignment vertical="center" wrapText="1"/>
    </xf>
    <xf numFmtId="179" fontId="29" fillId="0" borderId="0" xfId="0" applyNumberFormat="1" applyFont="1" applyAlignment="1">
      <alignment vertical="center"/>
    </xf>
    <xf numFmtId="4" fontId="36" fillId="12" borderId="6" xfId="0" applyNumberFormat="1" applyFont="1" applyFill="1" applyBorder="1" applyAlignment="1">
      <alignment horizontal="center" vertical="center"/>
    </xf>
    <xf numFmtId="0" fontId="62" fillId="0" borderId="6" xfId="0" applyFont="1" applyBorder="1" applyAlignment="1">
      <alignment vertical="center"/>
    </xf>
    <xf numFmtId="0" fontId="27" fillId="32" borderId="15" xfId="0" applyFont="1" applyFill="1" applyBorder="1" applyAlignment="1">
      <alignment horizontal="center" vertical="center" wrapText="1"/>
    </xf>
    <xf numFmtId="0" fontId="36" fillId="12" borderId="4" xfId="0" applyFont="1" applyFill="1" applyBorder="1" applyAlignment="1">
      <alignment horizontal="center" vertical="center"/>
    </xf>
    <xf numFmtId="178" fontId="35" fillId="11" borderId="4" xfId="15" applyNumberFormat="1" applyFont="1" applyFill="1" applyBorder="1" applyAlignment="1">
      <alignment horizontal="center" vertical="center"/>
    </xf>
    <xf numFmtId="178" fontId="35" fillId="0" borderId="4" xfId="15" applyNumberFormat="1" applyFont="1" applyFill="1" applyBorder="1" applyAlignment="1">
      <alignment horizontal="center" vertical="center"/>
    </xf>
    <xf numFmtId="0" fontId="27" fillId="32" borderId="5" xfId="0" applyFont="1" applyFill="1" applyBorder="1" applyAlignment="1">
      <alignment horizontal="center" vertical="center" wrapText="1"/>
    </xf>
    <xf numFmtId="0" fontId="37" fillId="32" borderId="19" xfId="0" applyFont="1" applyFill="1" applyBorder="1" applyAlignment="1">
      <alignment horizontal="center" vertical="center" wrapText="1"/>
    </xf>
    <xf numFmtId="49" fontId="27" fillId="32" borderId="5" xfId="0" applyNumberFormat="1" applyFont="1" applyFill="1" applyBorder="1" applyAlignment="1">
      <alignment horizontal="center" vertical="center" wrapText="1"/>
    </xf>
    <xf numFmtId="0" fontId="37" fillId="32" borderId="5" xfId="0" applyFont="1" applyFill="1" applyBorder="1" applyAlignment="1">
      <alignment horizontal="center" vertical="center" wrapText="1"/>
    </xf>
    <xf numFmtId="49" fontId="37" fillId="32" borderId="5" xfId="0" applyNumberFormat="1" applyFont="1" applyFill="1" applyBorder="1" applyAlignment="1">
      <alignment horizontal="center" vertical="center" wrapText="1"/>
    </xf>
    <xf numFmtId="0" fontId="37" fillId="32" borderId="28" xfId="0" applyFont="1" applyFill="1" applyBorder="1" applyAlignment="1">
      <alignment horizontal="center" vertical="center" wrapText="1"/>
    </xf>
    <xf numFmtId="180" fontId="41" fillId="0" borderId="0" xfId="0" applyNumberFormat="1" applyFont="1" applyAlignment="1">
      <alignment horizontal="center" vertical="center"/>
    </xf>
    <xf numFmtId="0" fontId="76" fillId="0" borderId="0" xfId="0" applyFont="1" applyAlignment="1">
      <alignment vertical="center"/>
    </xf>
    <xf numFmtId="178" fontId="76" fillId="0" borderId="0" xfId="0" applyNumberFormat="1" applyFont="1" applyAlignment="1">
      <alignment vertical="center"/>
    </xf>
    <xf numFmtId="0" fontId="76" fillId="0" borderId="0" xfId="0" applyFont="1" applyAlignment="1">
      <alignment vertical="center" wrapText="1"/>
    </xf>
    <xf numFmtId="0" fontId="40" fillId="0" borderId="0" xfId="0" applyFont="1" applyAlignment="1">
      <alignment vertical="center"/>
    </xf>
    <xf numFmtId="0" fontId="40" fillId="0" borderId="0" xfId="0" applyFont="1" applyAlignment="1">
      <alignment vertical="center" wrapText="1"/>
    </xf>
    <xf numFmtId="0" fontId="39" fillId="19" borderId="0" xfId="0" applyFont="1" applyFill="1" applyAlignment="1">
      <alignment vertical="center" wrapText="1"/>
    </xf>
    <xf numFmtId="179" fontId="39" fillId="19" borderId="0" xfId="0" applyNumberFormat="1" applyFont="1" applyFill="1" applyAlignment="1">
      <alignment vertical="center" wrapText="1"/>
    </xf>
    <xf numFmtId="0" fontId="39" fillId="0" borderId="0" xfId="0" applyFont="1" applyAlignment="1">
      <alignment vertical="center" wrapText="1"/>
    </xf>
    <xf numFmtId="3" fontId="67" fillId="0" borderId="0" xfId="22" applyNumberFormat="1" applyFont="1" applyAlignment="1">
      <alignment horizontal="right" vertical="top"/>
    </xf>
    <xf numFmtId="9" fontId="27" fillId="0" borderId="71" xfId="22" applyNumberFormat="1" applyFont="1" applyBorder="1" applyAlignment="1">
      <alignment horizontal="center" vertical="center" wrapText="1"/>
    </xf>
    <xf numFmtId="9" fontId="26" fillId="10" borderId="29" xfId="28" applyFont="1" applyFill="1" applyBorder="1" applyAlignment="1" applyProtection="1">
      <alignment horizontal="center" vertical="center" wrapText="1"/>
      <protection locked="0"/>
    </xf>
    <xf numFmtId="15" fontId="29" fillId="0" borderId="13" xfId="0" applyNumberFormat="1" applyFont="1" applyBorder="1" applyAlignment="1">
      <alignment horizontal="center" vertical="center" wrapText="1"/>
    </xf>
    <xf numFmtId="3" fontId="77" fillId="0" borderId="0" xfId="22" applyNumberFormat="1" applyFont="1" applyAlignment="1">
      <alignment horizontal="right" vertical="top"/>
    </xf>
    <xf numFmtId="3" fontId="51" fillId="0" borderId="16" xfId="22" applyNumberFormat="1" applyFont="1" applyBorder="1" applyAlignment="1">
      <alignment horizontal="right" vertical="top"/>
    </xf>
    <xf numFmtId="169" fontId="66" fillId="0" borderId="0" xfId="39" applyFont="1" applyFill="1" applyAlignment="1">
      <alignment vertical="top"/>
    </xf>
    <xf numFmtId="0" fontId="64" fillId="36" borderId="0" xfId="22" applyFont="1" applyFill="1" applyAlignment="1">
      <alignment vertical="top"/>
    </xf>
    <xf numFmtId="9" fontId="64" fillId="0" borderId="0" xfId="22" applyNumberFormat="1" applyFont="1" applyAlignment="1">
      <alignment vertical="top"/>
    </xf>
    <xf numFmtId="3" fontId="66" fillId="0" borderId="0" xfId="22" applyNumberFormat="1" applyFont="1" applyAlignment="1">
      <alignment horizontal="center" vertical="center"/>
    </xf>
    <xf numFmtId="0" fontId="66" fillId="0" borderId="0" xfId="22" applyFont="1" applyAlignment="1">
      <alignment vertical="top"/>
    </xf>
    <xf numFmtId="14" fontId="66" fillId="0" borderId="0" xfId="22" applyNumberFormat="1" applyFont="1" applyAlignment="1">
      <alignment horizontal="right" vertical="top"/>
    </xf>
    <xf numFmtId="0" fontId="66" fillId="0" borderId="13" xfId="22" applyFont="1" applyBorder="1" applyAlignment="1">
      <alignment horizontal="center" vertical="center"/>
    </xf>
    <xf numFmtId="3" fontId="66" fillId="0" borderId="6" xfId="22" applyNumberFormat="1" applyFont="1" applyBorder="1" applyAlignment="1">
      <alignment horizontal="center" vertical="top"/>
    </xf>
    <xf numFmtId="15" fontId="78" fillId="0" borderId="6" xfId="22" applyNumberFormat="1" applyFont="1" applyBorder="1" applyAlignment="1">
      <alignment horizontal="center" vertical="center" wrapText="1"/>
    </xf>
    <xf numFmtId="0" fontId="66" fillId="0" borderId="6" xfId="22" applyFont="1" applyBorder="1" applyAlignment="1">
      <alignment vertical="top"/>
    </xf>
    <xf numFmtId="3" fontId="66" fillId="0" borderId="6" xfId="22" applyNumberFormat="1" applyFont="1" applyBorder="1" applyAlignment="1">
      <alignment horizontal="right" vertical="top"/>
    </xf>
    <xf numFmtId="3" fontId="23" fillId="0" borderId="0" xfId="22" applyNumberFormat="1" applyFont="1" applyAlignment="1">
      <alignment horizontal="right" vertical="top"/>
    </xf>
    <xf numFmtId="3" fontId="66" fillId="0" borderId="12" xfId="22" applyNumberFormat="1" applyFont="1" applyBorder="1" applyAlignment="1">
      <alignment horizontal="right" vertical="top"/>
    </xf>
    <xf numFmtId="0" fontId="66" fillId="0" borderId="0" xfId="22" applyFont="1" applyAlignment="1">
      <alignment horizontal="center" vertical="center"/>
    </xf>
    <xf numFmtId="3" fontId="66" fillId="0" borderId="0" xfId="22" applyNumberFormat="1" applyFont="1" applyAlignment="1">
      <alignment vertical="top"/>
    </xf>
    <xf numFmtId="3" fontId="66" fillId="0" borderId="0" xfId="22" applyNumberFormat="1" applyFont="1" applyAlignment="1">
      <alignment horizontal="center" vertical="top"/>
    </xf>
    <xf numFmtId="14" fontId="52" fillId="0" borderId="0" xfId="22" applyNumberFormat="1" applyFont="1" applyAlignment="1">
      <alignment horizontal="right" vertical="top"/>
    </xf>
    <xf numFmtId="0" fontId="52" fillId="0" borderId="13" xfId="22" applyFont="1" applyBorder="1" applyAlignment="1">
      <alignment horizontal="center" vertical="center"/>
    </xf>
    <xf numFmtId="3" fontId="52" fillId="0" borderId="6" xfId="22" applyNumberFormat="1" applyFont="1" applyBorder="1" applyAlignment="1">
      <alignment horizontal="center" vertical="top"/>
    </xf>
    <xf numFmtId="15" fontId="53" fillId="0" borderId="6" xfId="22" applyNumberFormat="1" applyFont="1" applyBorder="1" applyAlignment="1">
      <alignment horizontal="center" vertical="center" wrapText="1"/>
    </xf>
    <xf numFmtId="0" fontId="52" fillId="0" borderId="6" xfId="22" applyFont="1" applyBorder="1" applyAlignment="1">
      <alignment vertical="top"/>
    </xf>
    <xf numFmtId="3" fontId="52" fillId="0" borderId="6" xfId="22" applyNumberFormat="1" applyFont="1" applyBorder="1" applyAlignment="1">
      <alignment horizontal="right" vertical="top"/>
    </xf>
    <xf numFmtId="3" fontId="79" fillId="0" borderId="0" xfId="22" applyNumberFormat="1" applyFont="1" applyAlignment="1">
      <alignment horizontal="right" vertical="top"/>
    </xf>
    <xf numFmtId="3" fontId="52" fillId="0" borderId="12" xfId="22" applyNumberFormat="1" applyFont="1" applyBorder="1" applyAlignment="1">
      <alignment horizontal="right" vertical="top"/>
    </xf>
    <xf numFmtId="0" fontId="52" fillId="0" borderId="0" xfId="22" applyFont="1" applyAlignment="1">
      <alignment horizontal="center" vertical="center"/>
    </xf>
    <xf numFmtId="3" fontId="52" fillId="0" borderId="0" xfId="22" applyNumberFormat="1" applyFont="1" applyAlignment="1">
      <alignment horizontal="center" vertical="center"/>
    </xf>
    <xf numFmtId="3" fontId="52" fillId="0" borderId="0" xfId="22" applyNumberFormat="1" applyFont="1" applyAlignment="1">
      <alignment vertical="top"/>
    </xf>
    <xf numFmtId="3" fontId="52" fillId="0" borderId="0" xfId="22" applyNumberFormat="1" applyFont="1" applyAlignment="1">
      <alignment horizontal="center" vertical="top"/>
    </xf>
    <xf numFmtId="0" fontId="77" fillId="0" borderId="0" xfId="22" applyFont="1" applyAlignment="1">
      <alignment vertical="top"/>
    </xf>
    <xf numFmtId="14" fontId="77" fillId="0" borderId="0" xfId="22" applyNumberFormat="1" applyFont="1" applyAlignment="1">
      <alignment horizontal="right" vertical="top"/>
    </xf>
    <xf numFmtId="3" fontId="64" fillId="37" borderId="0" xfId="22" applyNumberFormat="1" applyFont="1" applyFill="1" applyAlignment="1">
      <alignment horizontal="center" vertical="top"/>
    </xf>
    <xf numFmtId="3" fontId="51" fillId="0" borderId="6" xfId="22" applyNumberFormat="1" applyFont="1" applyBorder="1" applyAlignment="1">
      <alignment horizontal="right" vertical="top"/>
    </xf>
    <xf numFmtId="3" fontId="47" fillId="37" borderId="0" xfId="22" applyNumberFormat="1" applyFont="1" applyFill="1" applyAlignment="1">
      <alignment vertical="top"/>
    </xf>
    <xf numFmtId="9" fontId="37" fillId="0" borderId="0" xfId="38" applyFont="1" applyAlignment="1">
      <alignment horizontal="center" vertical="center"/>
    </xf>
    <xf numFmtId="10" fontId="37" fillId="0" borderId="0" xfId="38" applyNumberFormat="1" applyFont="1" applyAlignment="1">
      <alignment horizontal="center" vertical="center"/>
    </xf>
    <xf numFmtId="169" fontId="37" fillId="34" borderId="0" xfId="22" applyNumberFormat="1" applyFont="1" applyFill="1" applyAlignment="1">
      <alignment vertical="top"/>
    </xf>
    <xf numFmtId="0" fontId="54" fillId="36" borderId="0" xfId="22" applyFont="1" applyFill="1" applyAlignment="1">
      <alignment vertical="top"/>
    </xf>
    <xf numFmtId="14" fontId="54" fillId="36" borderId="0" xfId="22" applyNumberFormat="1" applyFont="1" applyFill="1" applyAlignment="1">
      <alignment horizontal="right" vertical="top"/>
    </xf>
    <xf numFmtId="3" fontId="54" fillId="36" borderId="0" xfId="22" applyNumberFormat="1" applyFont="1" applyFill="1" applyAlignment="1">
      <alignment horizontal="right" vertical="top"/>
    </xf>
    <xf numFmtId="0" fontId="54" fillId="36" borderId="13" xfId="22" applyFont="1" applyFill="1" applyBorder="1" applyAlignment="1">
      <alignment horizontal="center" vertical="center"/>
    </xf>
    <xf numFmtId="3" fontId="54" fillId="36" borderId="6" xfId="22" applyNumberFormat="1" applyFont="1" applyFill="1" applyBorder="1" applyAlignment="1">
      <alignment horizontal="center" vertical="top"/>
    </xf>
    <xf numFmtId="15" fontId="68" fillId="36" borderId="6" xfId="22" applyNumberFormat="1" applyFont="1" applyFill="1" applyBorder="1" applyAlignment="1">
      <alignment horizontal="center" vertical="center" wrapText="1"/>
    </xf>
    <xf numFmtId="0" fontId="54" fillId="36" borderId="6" xfId="22" applyFont="1" applyFill="1" applyBorder="1" applyAlignment="1">
      <alignment vertical="top"/>
    </xf>
    <xf numFmtId="3" fontId="54" fillId="36" borderId="6" xfId="22" applyNumberFormat="1" applyFont="1" applyFill="1" applyBorder="1" applyAlignment="1">
      <alignment horizontal="right" vertical="top"/>
    </xf>
    <xf numFmtId="3" fontId="54" fillId="36" borderId="12" xfId="22" applyNumberFormat="1" applyFont="1" applyFill="1" applyBorder="1" applyAlignment="1">
      <alignment horizontal="right" vertical="top"/>
    </xf>
    <xf numFmtId="0" fontId="54" fillId="36" borderId="0" xfId="22" applyFont="1" applyFill="1" applyAlignment="1">
      <alignment horizontal="center" vertical="center"/>
    </xf>
    <xf numFmtId="3" fontId="54" fillId="36" borderId="0" xfId="22" applyNumberFormat="1" applyFont="1" applyFill="1" applyAlignment="1">
      <alignment horizontal="center" vertical="center"/>
    </xf>
    <xf numFmtId="3" fontId="54" fillId="36" borderId="0" xfId="22" applyNumberFormat="1" applyFont="1" applyFill="1" applyAlignment="1">
      <alignment vertical="top"/>
    </xf>
    <xf numFmtId="9" fontId="54" fillId="36" borderId="0" xfId="38" applyFont="1" applyFill="1" applyAlignment="1">
      <alignment vertical="top"/>
    </xf>
    <xf numFmtId="0" fontId="54" fillId="36" borderId="0" xfId="22" applyFont="1" applyFill="1" applyAlignment="1">
      <alignment horizontal="center" vertical="top"/>
    </xf>
    <xf numFmtId="10" fontId="54" fillId="36" borderId="0" xfId="38" applyNumberFormat="1" applyFont="1" applyFill="1" applyAlignment="1">
      <alignment horizontal="center" vertical="top"/>
    </xf>
    <xf numFmtId="14" fontId="54" fillId="0" borderId="0" xfId="22" applyNumberFormat="1" applyFont="1" applyAlignment="1">
      <alignment horizontal="right" vertical="top"/>
    </xf>
    <xf numFmtId="3" fontId="54" fillId="13" borderId="0" xfId="22" applyNumberFormat="1" applyFont="1" applyFill="1" applyAlignment="1">
      <alignment horizontal="center" vertical="center"/>
    </xf>
    <xf numFmtId="3" fontId="54" fillId="0" borderId="0" xfId="22" applyNumberFormat="1" applyFont="1" applyAlignment="1">
      <alignment vertical="top"/>
    </xf>
    <xf numFmtId="0" fontId="72" fillId="36" borderId="0" xfId="22" applyFont="1" applyFill="1" applyAlignment="1">
      <alignment vertical="top"/>
    </xf>
    <xf numFmtId="14" fontId="72" fillId="36" borderId="0" xfId="22" applyNumberFormat="1" applyFont="1" applyFill="1" applyAlignment="1">
      <alignment horizontal="right" vertical="top"/>
    </xf>
    <xf numFmtId="3" fontId="72" fillId="36" borderId="0" xfId="22" applyNumberFormat="1" applyFont="1" applyFill="1" applyAlignment="1">
      <alignment horizontal="right" vertical="top"/>
    </xf>
    <xf numFmtId="0" fontId="72" fillId="36" borderId="13" xfId="22" applyFont="1" applyFill="1" applyBorder="1" applyAlignment="1">
      <alignment horizontal="center" vertical="center"/>
    </xf>
    <xf numFmtId="3" fontId="72" fillId="36" borderId="6" xfId="22" applyNumberFormat="1" applyFont="1" applyFill="1" applyBorder="1" applyAlignment="1">
      <alignment horizontal="center" vertical="top"/>
    </xf>
    <xf numFmtId="15" fontId="80" fillId="36" borderId="6" xfId="22" applyNumberFormat="1" applyFont="1" applyFill="1" applyBorder="1" applyAlignment="1">
      <alignment horizontal="center" vertical="center" wrapText="1"/>
    </xf>
    <xf numFmtId="0" fontId="72" fillId="36" borderId="6" xfId="22" applyFont="1" applyFill="1" applyBorder="1" applyAlignment="1">
      <alignment vertical="top"/>
    </xf>
    <xf numFmtId="3" fontId="72" fillId="36" borderId="6" xfId="22" applyNumberFormat="1" applyFont="1" applyFill="1" applyBorder="1" applyAlignment="1">
      <alignment horizontal="right" vertical="top"/>
    </xf>
    <xf numFmtId="3" fontId="72" fillId="36" borderId="12" xfId="22" applyNumberFormat="1" applyFont="1" applyFill="1" applyBorder="1" applyAlignment="1">
      <alignment horizontal="right" vertical="top"/>
    </xf>
    <xf numFmtId="3" fontId="72" fillId="36" borderId="0" xfId="22" applyNumberFormat="1" applyFont="1" applyFill="1" applyAlignment="1">
      <alignment horizontal="center" vertical="center"/>
    </xf>
    <xf numFmtId="0" fontId="72" fillId="36" borderId="0" xfId="22" applyFont="1" applyFill="1" applyAlignment="1">
      <alignment horizontal="center" vertical="center"/>
    </xf>
    <xf numFmtId="0" fontId="69" fillId="36" borderId="0" xfId="22" applyFont="1" applyFill="1" applyAlignment="1">
      <alignment vertical="top"/>
    </xf>
    <xf numFmtId="3" fontId="72" fillId="36" borderId="0" xfId="22" applyNumberFormat="1" applyFont="1" applyFill="1" applyAlignment="1">
      <alignment vertical="top"/>
    </xf>
    <xf numFmtId="0" fontId="72" fillId="36" borderId="0" xfId="22" applyFont="1" applyFill="1" applyAlignment="1">
      <alignment horizontal="center" vertical="top"/>
    </xf>
    <xf numFmtId="0" fontId="72" fillId="13" borderId="0" xfId="22" applyFont="1" applyFill="1" applyAlignment="1">
      <alignment vertical="top"/>
    </xf>
    <xf numFmtId="0" fontId="72" fillId="0" borderId="0" xfId="22" applyFont="1" applyAlignment="1">
      <alignment vertical="top"/>
    </xf>
    <xf numFmtId="14" fontId="72" fillId="0" borderId="0" xfId="22" applyNumberFormat="1" applyFont="1" applyAlignment="1">
      <alignment horizontal="right" vertical="top"/>
    </xf>
    <xf numFmtId="3" fontId="72" fillId="13" borderId="0" xfId="22" applyNumberFormat="1" applyFont="1" applyFill="1" applyAlignment="1">
      <alignment horizontal="right" vertical="top"/>
    </xf>
    <xf numFmtId="0" fontId="72" fillId="13" borderId="13" xfId="22" applyFont="1" applyFill="1" applyBorder="1" applyAlignment="1">
      <alignment horizontal="center" vertical="center"/>
    </xf>
    <xf numFmtId="3" fontId="72" fillId="13" borderId="6" xfId="22" applyNumberFormat="1" applyFont="1" applyFill="1" applyBorder="1" applyAlignment="1">
      <alignment horizontal="center" vertical="top"/>
    </xf>
    <xf numFmtId="15" fontId="80" fillId="13" borderId="6" xfId="22" applyNumberFormat="1" applyFont="1" applyFill="1" applyBorder="1" applyAlignment="1">
      <alignment horizontal="center" vertical="center" wrapText="1"/>
    </xf>
    <xf numFmtId="0" fontId="72" fillId="13" borderId="6" xfId="22" applyFont="1" applyFill="1" applyBorder="1" applyAlignment="1">
      <alignment vertical="top"/>
    </xf>
    <xf numFmtId="3" fontId="72" fillId="13" borderId="6" xfId="22" applyNumberFormat="1" applyFont="1" applyFill="1" applyBorder="1" applyAlignment="1">
      <alignment horizontal="right" vertical="top"/>
    </xf>
    <xf numFmtId="3" fontId="72" fillId="13" borderId="12" xfId="22" applyNumberFormat="1" applyFont="1" applyFill="1" applyBorder="1" applyAlignment="1">
      <alignment horizontal="right" vertical="top"/>
    </xf>
    <xf numFmtId="0" fontId="72" fillId="13" borderId="0" xfId="22" applyFont="1" applyFill="1" applyAlignment="1">
      <alignment horizontal="center" vertical="center"/>
    </xf>
    <xf numFmtId="3" fontId="72" fillId="13" borderId="0" xfId="22" applyNumberFormat="1" applyFont="1" applyFill="1" applyAlignment="1">
      <alignment horizontal="center" vertical="center"/>
    </xf>
    <xf numFmtId="0" fontId="69" fillId="0" borderId="0" xfId="22" applyFont="1" applyAlignment="1">
      <alignment vertical="top"/>
    </xf>
    <xf numFmtId="0" fontId="72" fillId="0" borderId="0" xfId="22" applyFont="1" applyAlignment="1">
      <alignment horizontal="center" vertical="top"/>
    </xf>
    <xf numFmtId="3" fontId="37" fillId="0" borderId="0" xfId="22" applyNumberFormat="1" applyFont="1" applyAlignment="1">
      <alignment vertical="top"/>
    </xf>
    <xf numFmtId="0" fontId="81" fillId="38" borderId="99" xfId="22" applyFont="1" applyFill="1" applyBorder="1" applyAlignment="1">
      <alignment horizontal="center" vertical="center"/>
    </xf>
    <xf numFmtId="0" fontId="81" fillId="38" borderId="34" xfId="22" applyFont="1" applyFill="1" applyBorder="1" applyAlignment="1">
      <alignment horizontal="center" vertical="center"/>
    </xf>
    <xf numFmtId="0" fontId="81" fillId="38" borderId="57" xfId="22" applyFont="1" applyFill="1" applyBorder="1" applyAlignment="1">
      <alignment horizontal="justify" vertical="center"/>
    </xf>
    <xf numFmtId="0" fontId="81" fillId="38" borderId="48" xfId="22" applyFont="1" applyFill="1" applyBorder="1" applyAlignment="1">
      <alignment horizontal="justify" vertical="center"/>
    </xf>
    <xf numFmtId="0" fontId="81" fillId="0" borderId="57" xfId="22" applyFont="1" applyBorder="1" applyAlignment="1">
      <alignment horizontal="justify" vertical="center"/>
    </xf>
    <xf numFmtId="167" fontId="81" fillId="0" borderId="48" xfId="22" applyNumberFormat="1" applyFont="1" applyBorder="1" applyAlignment="1">
      <alignment horizontal="right" vertical="center"/>
    </xf>
    <xf numFmtId="0" fontId="24" fillId="39" borderId="57" xfId="22" applyFont="1" applyFill="1" applyBorder="1" applyAlignment="1">
      <alignment horizontal="justify" vertical="center"/>
    </xf>
    <xf numFmtId="0" fontId="24" fillId="39" borderId="48" xfId="22" applyFont="1" applyFill="1" applyBorder="1" applyAlignment="1">
      <alignment horizontal="center" vertical="center"/>
    </xf>
    <xf numFmtId="167" fontId="24" fillId="39" borderId="48" xfId="22" applyNumberFormat="1" applyFont="1" applyFill="1" applyBorder="1" applyAlignment="1">
      <alignment horizontal="right" vertical="center"/>
    </xf>
    <xf numFmtId="167" fontId="24" fillId="0" borderId="48" xfId="22" applyNumberFormat="1" applyFont="1" applyBorder="1" applyAlignment="1">
      <alignment horizontal="right" vertical="center"/>
    </xf>
    <xf numFmtId="0" fontId="24" fillId="0" borderId="57" xfId="22" applyFont="1" applyBorder="1" applyAlignment="1">
      <alignment horizontal="justify" vertical="center"/>
    </xf>
    <xf numFmtId="0" fontId="24" fillId="40" borderId="57" xfId="22" applyFont="1" applyFill="1" applyBorder="1" applyAlignment="1">
      <alignment horizontal="justify" vertical="center"/>
    </xf>
    <xf numFmtId="167" fontId="24" fillId="40" borderId="48" xfId="22" applyNumberFormat="1" applyFont="1" applyFill="1" applyBorder="1" applyAlignment="1">
      <alignment horizontal="right" vertical="center"/>
    </xf>
    <xf numFmtId="167" fontId="81" fillId="38" borderId="48" xfId="22" applyNumberFormat="1" applyFont="1" applyFill="1" applyBorder="1" applyAlignment="1">
      <alignment horizontal="right" vertical="center"/>
    </xf>
    <xf numFmtId="0" fontId="81" fillId="39" borderId="57" xfId="22" applyFont="1" applyFill="1" applyBorder="1" applyAlignment="1">
      <alignment horizontal="justify" vertical="center"/>
    </xf>
    <xf numFmtId="0" fontId="82" fillId="0" borderId="57" xfId="22" applyFont="1" applyBorder="1" applyAlignment="1">
      <alignment horizontal="justify" vertical="center"/>
    </xf>
    <xf numFmtId="167" fontId="83" fillId="0" borderId="48" xfId="22" applyNumberFormat="1" applyFont="1" applyBorder="1" applyAlignment="1">
      <alignment horizontal="right" vertical="center"/>
    </xf>
    <xf numFmtId="0" fontId="84" fillId="0" borderId="57" xfId="22" applyFont="1" applyBorder="1" applyAlignment="1">
      <alignment horizontal="justify" vertical="center"/>
    </xf>
    <xf numFmtId="167" fontId="84" fillId="0" borderId="48" xfId="22" applyNumberFormat="1" applyFont="1" applyBorder="1" applyAlignment="1">
      <alignment horizontal="right" vertical="center"/>
    </xf>
    <xf numFmtId="175" fontId="26" fillId="0" borderId="0" xfId="0" applyNumberFormat="1" applyFont="1" applyAlignment="1">
      <alignment vertical="center"/>
    </xf>
    <xf numFmtId="175" fontId="26" fillId="0" borderId="0" xfId="0" applyNumberFormat="1" applyFont="1"/>
    <xf numFmtId="0" fontId="29" fillId="0" borderId="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0" fillId="0" borderId="0" xfId="0" applyAlignment="1">
      <alignment wrapText="1"/>
    </xf>
    <xf numFmtId="0" fontId="29" fillId="0" borderId="71" xfId="0" applyFont="1" applyBorder="1" applyAlignment="1">
      <alignment horizontal="center" vertical="center"/>
    </xf>
    <xf numFmtId="9" fontId="29" fillId="0" borderId="71" xfId="28" applyFont="1" applyBorder="1" applyAlignment="1">
      <alignment horizontal="center" vertical="center"/>
    </xf>
    <xf numFmtId="9" fontId="29" fillId="0" borderId="71" xfId="28" applyFont="1" applyBorder="1" applyAlignment="1">
      <alignment horizontal="justify" vertical="center"/>
    </xf>
    <xf numFmtId="0" fontId="0" fillId="0" borderId="71" xfId="0" applyBorder="1"/>
    <xf numFmtId="0" fontId="29" fillId="0" borderId="12" xfId="0" applyFont="1" applyBorder="1" applyAlignment="1">
      <alignment horizontal="center" vertical="center"/>
    </xf>
    <xf numFmtId="0" fontId="29" fillId="0" borderId="39" xfId="0" applyFont="1" applyBorder="1" applyAlignment="1">
      <alignment horizontal="justify" vertical="center"/>
    </xf>
    <xf numFmtId="0" fontId="29" fillId="0" borderId="3" xfId="0" applyFont="1" applyBorder="1" applyAlignment="1">
      <alignment horizontal="center" vertical="center"/>
    </xf>
    <xf numFmtId="9" fontId="29" fillId="0" borderId="3" xfId="28" applyFont="1" applyBorder="1" applyAlignment="1">
      <alignment horizontal="center" vertical="center"/>
    </xf>
    <xf numFmtId="9" fontId="29" fillId="0" borderId="3" xfId="28" applyFont="1" applyBorder="1" applyAlignment="1">
      <alignment horizontal="justify" vertical="center"/>
    </xf>
    <xf numFmtId="14" fontId="29" fillId="0" borderId="13" xfId="0" applyNumberFormat="1" applyFont="1" applyBorder="1" applyAlignment="1">
      <alignment horizontal="center" vertical="center" wrapText="1"/>
    </xf>
    <xf numFmtId="9" fontId="29" fillId="0" borderId="39" xfId="28" applyFont="1" applyBorder="1" applyAlignment="1">
      <alignment horizontal="justify" vertical="center" wrapText="1"/>
    </xf>
    <xf numFmtId="9" fontId="29" fillId="0" borderId="76" xfId="28" applyFont="1" applyBorder="1" applyAlignment="1">
      <alignment horizontal="justify" vertical="center"/>
    </xf>
    <xf numFmtId="0" fontId="42" fillId="0" borderId="6" xfId="34" applyBorder="1" applyAlignment="1">
      <alignment horizontal="center" vertical="center" wrapText="1"/>
    </xf>
    <xf numFmtId="0" fontId="42" fillId="0" borderId="6" xfId="34" applyBorder="1" applyAlignment="1">
      <alignment horizontal="center" vertical="center"/>
    </xf>
    <xf numFmtId="0" fontId="29" fillId="0" borderId="75" xfId="0" applyFont="1" applyBorder="1" applyAlignment="1">
      <alignment horizontal="left" vertical="center"/>
    </xf>
    <xf numFmtId="0" fontId="29" fillId="0" borderId="8" xfId="0" applyFont="1" applyBorder="1" applyAlignment="1">
      <alignment horizontal="left" vertical="center"/>
    </xf>
    <xf numFmtId="0" fontId="62" fillId="39" borderId="0" xfId="0" applyFont="1" applyFill="1" applyAlignment="1">
      <alignment wrapText="1"/>
    </xf>
    <xf numFmtId="0" fontId="62" fillId="39" borderId="71" xfId="0" applyFont="1" applyFill="1" applyBorder="1" applyAlignment="1">
      <alignment wrapText="1"/>
    </xf>
    <xf numFmtId="0" fontId="62" fillId="39" borderId="75" xfId="0" applyFont="1" applyFill="1" applyBorder="1" applyAlignment="1">
      <alignment wrapText="1"/>
    </xf>
    <xf numFmtId="175" fontId="27" fillId="0" borderId="21" xfId="10" applyNumberFormat="1" applyFont="1" applyFill="1" applyBorder="1" applyAlignment="1">
      <alignment vertical="center"/>
    </xf>
    <xf numFmtId="175" fontId="27" fillId="0" borderId="6" xfId="10" applyNumberFormat="1" applyFont="1" applyFill="1" applyBorder="1" applyAlignment="1">
      <alignment vertical="center"/>
    </xf>
    <xf numFmtId="175" fontId="26" fillId="0" borderId="5" xfId="10" applyNumberFormat="1" applyFont="1" applyFill="1" applyBorder="1" applyAlignment="1">
      <alignment vertical="center"/>
    </xf>
    <xf numFmtId="0" fontId="27" fillId="13" borderId="6" xfId="0" applyFont="1" applyFill="1" applyBorder="1" applyAlignment="1">
      <alignment horizontal="center" vertical="center" wrapText="1"/>
    </xf>
    <xf numFmtId="0" fontId="36" fillId="0" borderId="6" xfId="0" applyFont="1" applyBorder="1" applyAlignment="1">
      <alignment horizontal="center" vertical="center"/>
    </xf>
    <xf numFmtId="179" fontId="36" fillId="0" borderId="6" xfId="14" applyNumberFormat="1" applyFont="1" applyBorder="1" applyAlignment="1">
      <alignment horizontal="center" vertical="center"/>
    </xf>
    <xf numFmtId="4" fontId="36"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6" xfId="0" applyFont="1" applyBorder="1" applyAlignment="1">
      <alignment horizontal="center" vertical="center" wrapText="1"/>
    </xf>
    <xf numFmtId="0" fontId="29" fillId="32" borderId="0" xfId="0" applyFont="1" applyFill="1" applyAlignment="1">
      <alignment horizontal="center" vertical="center"/>
    </xf>
    <xf numFmtId="0" fontId="29" fillId="32" borderId="45" xfId="0" applyFont="1" applyFill="1" applyBorder="1" applyAlignment="1">
      <alignment horizontal="center" vertical="center"/>
    </xf>
    <xf numFmtId="0" fontId="36" fillId="0" borderId="4" xfId="0" applyFont="1" applyBorder="1" applyAlignment="1">
      <alignment horizontal="center" vertical="center"/>
    </xf>
    <xf numFmtId="179" fontId="36" fillId="0" borderId="4" xfId="14" applyNumberFormat="1" applyFont="1" applyBorder="1" applyAlignment="1">
      <alignment horizontal="center" vertical="center"/>
    </xf>
    <xf numFmtId="0" fontId="62" fillId="0" borderId="4" xfId="0" applyFont="1" applyBorder="1" applyAlignment="1">
      <alignment horizontal="center" vertical="center"/>
    </xf>
    <xf numFmtId="0" fontId="35" fillId="0" borderId="4" xfId="0" applyFont="1" applyBorder="1" applyAlignment="1">
      <alignment horizontal="center" vertical="center"/>
    </xf>
    <xf numFmtId="0" fontId="62" fillId="0" borderId="6" xfId="0" applyFont="1" applyBorder="1" applyAlignment="1">
      <alignment horizontal="center"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4" fillId="17" borderId="12" xfId="0" applyFont="1" applyFill="1" applyBorder="1" applyAlignment="1">
      <alignment horizontal="center" vertical="center"/>
    </xf>
    <xf numFmtId="0" fontId="34" fillId="17" borderId="39" xfId="0" applyFont="1" applyFill="1" applyBorder="1" applyAlignment="1">
      <alignment horizontal="center" vertical="center"/>
    </xf>
    <xf numFmtId="0" fontId="32" fillId="15" borderId="12" xfId="0" applyFont="1" applyFill="1" applyBorder="1" applyAlignment="1">
      <alignment horizontal="left" vertical="center" wrapText="1"/>
    </xf>
    <xf numFmtId="0" fontId="32" fillId="15" borderId="39" xfId="0" applyFont="1" applyFill="1" applyBorder="1" applyAlignment="1">
      <alignment horizontal="left" vertical="center" wrapText="1"/>
    </xf>
    <xf numFmtId="0" fontId="32" fillId="19" borderId="12" xfId="0" applyFont="1" applyFill="1" applyBorder="1" applyAlignment="1">
      <alignment horizontal="center" vertical="center"/>
    </xf>
    <xf numFmtId="0" fontId="32" fillId="19" borderId="39" xfId="0" applyFont="1" applyFill="1" applyBorder="1" applyAlignment="1">
      <alignment horizontal="center" vertical="center"/>
    </xf>
    <xf numFmtId="9" fontId="26" fillId="0" borderId="29" xfId="30" applyFont="1" applyFill="1" applyBorder="1" applyAlignment="1" applyProtection="1">
      <alignment horizontal="justify" vertical="center" wrapText="1"/>
    </xf>
    <xf numFmtId="9" fontId="26" fillId="0" borderId="7" xfId="30" applyFont="1" applyFill="1" applyBorder="1" applyAlignment="1" applyProtection="1">
      <alignment horizontal="justify" vertical="center" wrapText="1"/>
    </xf>
    <xf numFmtId="9" fontId="26" fillId="0" borderId="8" xfId="30" applyFont="1" applyFill="1" applyBorder="1" applyAlignment="1" applyProtection="1">
      <alignment horizontal="justify" vertical="center" wrapText="1"/>
    </xf>
    <xf numFmtId="9" fontId="26" fillId="0" borderId="44" xfId="30" applyFont="1" applyFill="1" applyBorder="1" applyAlignment="1" applyProtection="1">
      <alignment horizontal="justify" vertical="center" wrapText="1"/>
    </xf>
    <xf numFmtId="9" fontId="26" fillId="0" borderId="45" xfId="30" applyFont="1" applyFill="1" applyBorder="1" applyAlignment="1" applyProtection="1">
      <alignment horizontal="justify" vertical="center" wrapText="1"/>
    </xf>
    <xf numFmtId="9" fontId="26" fillId="0" borderId="46" xfId="30" applyFont="1" applyFill="1" applyBorder="1" applyAlignment="1" applyProtection="1">
      <alignment horizontal="justify" vertical="center" wrapText="1"/>
    </xf>
    <xf numFmtId="9" fontId="60" fillId="0" borderId="0" xfId="0" applyNumberFormat="1" applyFont="1" applyAlignment="1">
      <alignment horizontal="justify" vertical="center" wrapText="1"/>
    </xf>
    <xf numFmtId="0" fontId="60" fillId="0" borderId="0" xfId="0" applyFont="1" applyAlignment="1">
      <alignment horizontal="justify" vertical="center" wrapText="1"/>
    </xf>
    <xf numFmtId="176" fontId="59" fillId="0" borderId="0" xfId="0" applyNumberFormat="1" applyFont="1" applyAlignment="1">
      <alignment horizontal="center" vertical="center" wrapText="1"/>
    </xf>
    <xf numFmtId="176" fontId="43" fillId="0" borderId="0" xfId="0" applyNumberFormat="1" applyFont="1" applyAlignment="1">
      <alignment vertical="center"/>
    </xf>
    <xf numFmtId="9" fontId="60" fillId="0" borderId="84" xfId="0" applyNumberFormat="1" applyFont="1" applyBorder="1" applyAlignment="1">
      <alignment horizontal="justify" vertical="center" wrapText="1"/>
    </xf>
    <xf numFmtId="9" fontId="60" fillId="0" borderId="82" xfId="0" applyNumberFormat="1" applyFont="1" applyBorder="1" applyAlignment="1">
      <alignment horizontal="justify" vertical="center" wrapText="1"/>
    </xf>
    <xf numFmtId="9" fontId="59" fillId="0" borderId="75" xfId="0" applyNumberFormat="1" applyFont="1" applyBorder="1" applyAlignment="1">
      <alignment horizontal="center" vertical="center" wrapText="1"/>
    </xf>
    <xf numFmtId="9" fontId="43" fillId="0" borderId="76" xfId="0" applyNumberFormat="1" applyFont="1" applyBorder="1" applyAlignment="1">
      <alignment vertical="center"/>
    </xf>
    <xf numFmtId="0" fontId="58" fillId="20" borderId="77" xfId="0" applyFont="1" applyFill="1" applyBorder="1" applyAlignment="1">
      <alignment horizontal="justify" vertical="center" wrapText="1"/>
    </xf>
    <xf numFmtId="0" fontId="43" fillId="0" borderId="82" xfId="0" applyFont="1" applyBorder="1" applyAlignment="1">
      <alignment horizontal="justify" vertical="center" wrapText="1"/>
    </xf>
    <xf numFmtId="0" fontId="58" fillId="20" borderId="78" xfId="0" applyFont="1" applyFill="1" applyBorder="1" applyAlignment="1">
      <alignment horizontal="center" vertical="center" wrapText="1"/>
    </xf>
    <xf numFmtId="0" fontId="43" fillId="0" borderId="76" xfId="0" applyFont="1" applyBorder="1" applyAlignment="1">
      <alignment vertical="center"/>
    </xf>
    <xf numFmtId="0" fontId="58" fillId="20" borderId="79" xfId="0" applyFont="1" applyFill="1" applyBorder="1" applyAlignment="1">
      <alignment horizontal="center" vertical="center" wrapText="1"/>
    </xf>
    <xf numFmtId="0" fontId="43" fillId="0" borderId="80" xfId="0" applyFont="1" applyBorder="1" applyAlignment="1">
      <alignment vertical="center"/>
    </xf>
    <xf numFmtId="0" fontId="43" fillId="0" borderId="81" xfId="0" applyFont="1" applyBorder="1" applyAlignment="1">
      <alignment vertical="center"/>
    </xf>
    <xf numFmtId="9" fontId="26" fillId="0" borderId="6" xfId="30" applyFont="1" applyFill="1" applyBorder="1" applyAlignment="1" applyProtection="1">
      <alignment horizontal="justify" vertical="center" wrapText="1"/>
    </xf>
    <xf numFmtId="9" fontId="26" fillId="0" borderId="1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28" xfId="30" applyFont="1" applyFill="1" applyBorder="1" applyAlignment="1" applyProtection="1">
      <alignment horizontal="justify"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56" fillId="0" borderId="55" xfId="0" applyFont="1" applyBorder="1" applyAlignment="1">
      <alignment horizontal="center" vertical="center"/>
    </xf>
    <xf numFmtId="0" fontId="56" fillId="0" borderId="56" xfId="0" applyFont="1" applyBorder="1" applyAlignment="1">
      <alignment horizontal="center" vertical="center"/>
    </xf>
    <xf numFmtId="0" fontId="56" fillId="0" borderId="57" xfId="0" applyFont="1" applyBorder="1" applyAlignment="1">
      <alignment horizontal="center" vertical="center"/>
    </xf>
    <xf numFmtId="0" fontId="27" fillId="13" borderId="35" xfId="22" applyFont="1" applyFill="1" applyBorder="1" applyAlignment="1">
      <alignment horizontal="center" vertical="center" wrapText="1"/>
    </xf>
    <xf numFmtId="0" fontId="27" fillId="13" borderId="36" xfId="22" applyFont="1" applyFill="1" applyBorder="1" applyAlignment="1">
      <alignment horizontal="center" vertical="center" wrapText="1"/>
    </xf>
    <xf numFmtId="0" fontId="27" fillId="13" borderId="37" xfId="22" applyFont="1" applyFill="1" applyBorder="1" applyAlignment="1">
      <alignment horizontal="center" vertical="center" wrapText="1"/>
    </xf>
    <xf numFmtId="0" fontId="27" fillId="13" borderId="1" xfId="22" applyFont="1" applyFill="1" applyBorder="1" applyAlignment="1">
      <alignment horizontal="center" vertical="center" wrapText="1"/>
    </xf>
    <xf numFmtId="0" fontId="27" fillId="13" borderId="0" xfId="22" applyFont="1" applyFill="1" applyAlignment="1">
      <alignment horizontal="center" vertical="center" wrapText="1"/>
    </xf>
    <xf numFmtId="0" fontId="27" fillId="13" borderId="2" xfId="22" applyFont="1" applyFill="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15" fontId="27" fillId="0" borderId="35" xfId="0" applyNumberFormat="1" applyFont="1" applyBorder="1" applyAlignment="1">
      <alignment horizontal="center" vertical="center"/>
    </xf>
    <xf numFmtId="15" fontId="27" fillId="0" borderId="37" xfId="0" applyNumberFormat="1" applyFont="1" applyBorder="1" applyAlignment="1">
      <alignment horizontal="center" vertical="center"/>
    </xf>
    <xf numFmtId="15" fontId="27" fillId="0" borderId="1" xfId="0" applyNumberFormat="1" applyFont="1" applyBorder="1" applyAlignment="1">
      <alignment horizontal="center" vertical="center"/>
    </xf>
    <xf numFmtId="15" fontId="27" fillId="0" borderId="2" xfId="0" applyNumberFormat="1" applyFont="1" applyBorder="1" applyAlignment="1">
      <alignment horizontal="center" vertical="center"/>
    </xf>
    <xf numFmtId="15" fontId="27" fillId="0" borderId="47" xfId="0" applyNumberFormat="1" applyFont="1" applyBorder="1" applyAlignment="1">
      <alignment horizontal="center" vertical="center"/>
    </xf>
    <xf numFmtId="15" fontId="27" fillId="0" borderId="48" xfId="0" applyNumberFormat="1" applyFont="1" applyBorder="1" applyAlignment="1">
      <alignment horizontal="center" vertical="center"/>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33" fillId="0" borderId="32" xfId="22" applyFont="1" applyBorder="1" applyAlignment="1">
      <alignment horizontal="center" vertical="center" wrapText="1"/>
    </xf>
    <xf numFmtId="0" fontId="33" fillId="0" borderId="33" xfId="22" applyFont="1" applyBorder="1" applyAlignment="1">
      <alignment horizontal="center" vertical="center" wrapText="1"/>
    </xf>
    <xf numFmtId="0" fontId="33" fillId="0" borderId="34" xfId="22"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7" fillId="9" borderId="45" xfId="22" applyFont="1" applyFill="1" applyBorder="1" applyAlignment="1">
      <alignment horizontal="left"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6" fillId="13" borderId="6"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0" borderId="58" xfId="22" applyFont="1" applyBorder="1" applyAlignment="1">
      <alignment horizontal="justify" vertical="center" wrapText="1"/>
    </xf>
    <xf numFmtId="0" fontId="27" fillId="0" borderId="18" xfId="22" applyFont="1" applyBorder="1" applyAlignment="1">
      <alignment horizontal="justify"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9" fontId="26" fillId="0" borderId="29" xfId="30" applyFont="1" applyFill="1" applyBorder="1" applyAlignment="1" applyProtection="1">
      <alignment horizontal="left" vertical="center" wrapText="1"/>
    </xf>
    <xf numFmtId="9" fontId="26" fillId="0" borderId="7" xfId="30" applyFont="1" applyFill="1" applyBorder="1" applyAlignment="1" applyProtection="1">
      <alignment horizontal="left" vertical="center" wrapText="1"/>
    </xf>
    <xf numFmtId="9" fontId="26" fillId="0" borderId="8" xfId="30" applyFont="1" applyFill="1" applyBorder="1" applyAlignment="1" applyProtection="1">
      <alignment horizontal="left" vertical="center" wrapText="1"/>
    </xf>
    <xf numFmtId="9" fontId="26" fillId="0" borderId="44" xfId="30" applyFont="1" applyFill="1" applyBorder="1" applyAlignment="1" applyProtection="1">
      <alignment horizontal="left" vertical="center" wrapText="1"/>
    </xf>
    <xf numFmtId="9" fontId="26" fillId="0" borderId="45" xfId="30" applyFont="1" applyFill="1" applyBorder="1" applyAlignment="1" applyProtection="1">
      <alignment horizontal="left" vertical="center" wrapText="1"/>
    </xf>
    <xf numFmtId="9" fontId="26" fillId="0" borderId="46" xfId="30" applyFont="1" applyFill="1" applyBorder="1" applyAlignment="1" applyProtection="1">
      <alignment horizontal="left" vertical="center" wrapText="1"/>
    </xf>
    <xf numFmtId="0" fontId="26" fillId="25" borderId="29" xfId="0" applyFont="1" applyFill="1" applyBorder="1" applyAlignment="1">
      <alignment horizontal="justify" vertical="center" wrapText="1"/>
    </xf>
    <xf numFmtId="0" fontId="26" fillId="25" borderId="7" xfId="0" applyFont="1" applyFill="1" applyBorder="1" applyAlignment="1">
      <alignment horizontal="justify" vertical="center" wrapText="1"/>
    </xf>
    <xf numFmtId="0" fontId="26" fillId="25" borderId="8" xfId="0" applyFont="1" applyFill="1" applyBorder="1" applyAlignment="1">
      <alignment horizontal="justify" vertical="center" wrapText="1"/>
    </xf>
    <xf numFmtId="0" fontId="26" fillId="25" borderId="91" xfId="0" applyFont="1" applyFill="1" applyBorder="1" applyAlignment="1">
      <alignment horizontal="justify" vertical="center" wrapText="1"/>
    </xf>
    <xf numFmtId="0" fontId="26" fillId="25" borderId="92" xfId="0" applyFont="1" applyFill="1" applyBorder="1" applyAlignment="1">
      <alignment horizontal="justify" vertical="center" wrapText="1"/>
    </xf>
    <xf numFmtId="0" fontId="26" fillId="25" borderId="94" xfId="0" applyFont="1" applyFill="1" applyBorder="1" applyAlignment="1">
      <alignment horizontal="justify" vertical="center" wrapText="1"/>
    </xf>
    <xf numFmtId="2" fontId="26" fillId="0" borderId="13" xfId="22" applyNumberFormat="1" applyFont="1" applyBorder="1" applyAlignment="1">
      <alignment horizontal="justify" vertical="center" wrapText="1"/>
    </xf>
    <xf numFmtId="10" fontId="26" fillId="0" borderId="6" xfId="22" applyNumberFormat="1" applyFont="1" applyBorder="1" applyAlignment="1">
      <alignment horizontal="center" vertical="center" wrapText="1"/>
    </xf>
    <xf numFmtId="9" fontId="26" fillId="0" borderId="29" xfId="22" applyNumberFormat="1" applyFont="1" applyBorder="1" applyAlignment="1">
      <alignment horizontal="justify" vertical="center" wrapText="1"/>
    </xf>
    <xf numFmtId="9" fontId="26" fillId="0" borderId="7" xfId="22" applyNumberFormat="1" applyFont="1" applyBorder="1" applyAlignment="1">
      <alignment horizontal="justify" vertical="center" wrapText="1"/>
    </xf>
    <xf numFmtId="9" fontId="26" fillId="0" borderId="8" xfId="22" applyNumberFormat="1" applyFont="1" applyBorder="1" applyAlignment="1">
      <alignment horizontal="justify" vertical="center" wrapText="1"/>
    </xf>
    <xf numFmtId="9" fontId="26" fillId="0" borderId="15" xfId="22" applyNumberFormat="1" applyFont="1" applyBorder="1" applyAlignment="1">
      <alignment horizontal="justify" vertical="center" wrapText="1"/>
    </xf>
    <xf numFmtId="9" fontId="26" fillId="0" borderId="10" xfId="22" applyNumberFormat="1" applyFont="1" applyBorder="1" applyAlignment="1">
      <alignment horizontal="justify" vertical="center" wrapText="1"/>
    </xf>
    <xf numFmtId="9" fontId="26" fillId="0" borderId="11" xfId="22" applyNumberFormat="1" applyFont="1" applyBorder="1" applyAlignment="1">
      <alignment horizontal="justify" vertical="center" wrapText="1"/>
    </xf>
    <xf numFmtId="9" fontId="57" fillId="0" borderId="71" xfId="35" applyNumberFormat="1" applyFont="1" applyBorder="1" applyAlignment="1">
      <alignment horizontal="justify" vertical="center" wrapText="1"/>
    </xf>
    <xf numFmtId="9" fontId="26" fillId="0" borderId="71" xfId="22" applyNumberFormat="1" applyFont="1" applyBorder="1" applyAlignment="1">
      <alignment horizontal="justify" vertical="center" wrapText="1"/>
    </xf>
    <xf numFmtId="9" fontId="62"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9" fontId="57" fillId="0" borderId="71" xfId="35" applyNumberFormat="1" applyFont="1" applyFill="1" applyBorder="1" applyAlignment="1">
      <alignment horizontal="justify" vertical="center" wrapText="1"/>
    </xf>
    <xf numFmtId="9" fontId="57" fillId="0" borderId="97" xfId="35" applyNumberFormat="1" applyFont="1" applyFill="1" applyBorder="1" applyAlignment="1">
      <alignment horizontal="justify" vertical="center" wrapText="1"/>
    </xf>
    <xf numFmtId="9" fontId="57" fillId="0" borderId="98" xfId="35" applyNumberFormat="1" applyFont="1" applyFill="1" applyBorder="1" applyAlignment="1">
      <alignment horizontal="justify" vertical="center" wrapText="1"/>
    </xf>
    <xf numFmtId="9" fontId="57" fillId="0" borderId="15" xfId="35" applyNumberFormat="1" applyFont="1" applyFill="1" applyBorder="1" applyAlignment="1">
      <alignment horizontal="justify" vertical="center" wrapText="1"/>
    </xf>
    <xf numFmtId="9" fontId="57" fillId="0" borderId="10" xfId="35" applyNumberFormat="1" applyFont="1" applyFill="1" applyBorder="1" applyAlignment="1">
      <alignment horizontal="justify" vertical="center" wrapText="1"/>
    </xf>
    <xf numFmtId="9" fontId="57" fillId="0" borderId="87" xfId="35" applyNumberFormat="1" applyFont="1" applyFill="1" applyBorder="1" applyAlignment="1">
      <alignment horizontal="justify" vertical="center" wrapText="1"/>
    </xf>
    <xf numFmtId="9" fontId="26" fillId="0" borderId="29" xfId="22" applyNumberFormat="1" applyFont="1" applyBorder="1" applyAlignment="1">
      <alignment horizontal="left" vertical="center" wrapText="1"/>
    </xf>
    <xf numFmtId="0" fontId="26" fillId="0" borderId="23" xfId="0" applyFont="1" applyBorder="1" applyAlignment="1">
      <alignment horizontal="justify" vertical="center" wrapText="1"/>
    </xf>
    <xf numFmtId="10" fontId="26" fillId="0" borderId="5" xfId="22" applyNumberFormat="1" applyFont="1" applyBorder="1" applyAlignment="1">
      <alignment horizontal="center" vertical="center" wrapText="1"/>
    </xf>
    <xf numFmtId="9" fontId="26" fillId="0" borderId="59" xfId="22" applyNumberFormat="1" applyFont="1" applyBorder="1" applyAlignment="1">
      <alignment horizontal="justify" vertical="center" wrapText="1"/>
    </xf>
    <xf numFmtId="9" fontId="26" fillId="0" borderId="60" xfId="22" applyNumberFormat="1" applyFont="1" applyBorder="1" applyAlignment="1">
      <alignment horizontal="justify" vertical="center" wrapText="1"/>
    </xf>
    <xf numFmtId="0" fontId="27" fillId="20" borderId="79" xfId="0" applyFont="1" applyFill="1" applyBorder="1" applyAlignment="1">
      <alignment horizontal="center" vertical="center" wrapText="1"/>
    </xf>
    <xf numFmtId="0" fontId="26" fillId="0" borderId="80" xfId="0" applyFont="1" applyBorder="1" applyAlignment="1">
      <alignment vertical="center"/>
    </xf>
    <xf numFmtId="0" fontId="26" fillId="0" borderId="81" xfId="0" applyFont="1" applyBorder="1" applyAlignment="1">
      <alignment vertical="center"/>
    </xf>
    <xf numFmtId="9" fontId="26" fillId="0" borderId="84" xfId="0" applyNumberFormat="1" applyFont="1" applyBorder="1" applyAlignment="1">
      <alignment horizontal="justify" vertical="center" wrapText="1"/>
    </xf>
    <xf numFmtId="9" fontId="26" fillId="0" borderId="82" xfId="0" applyNumberFormat="1" applyFont="1" applyBorder="1" applyAlignment="1">
      <alignment horizontal="justify" vertical="center" wrapText="1"/>
    </xf>
    <xf numFmtId="9" fontId="26" fillId="0" borderId="84" xfId="0" applyNumberFormat="1" applyFont="1" applyBorder="1" applyAlignment="1">
      <alignment horizontal="center" vertical="center" wrapText="1"/>
    </xf>
    <xf numFmtId="9" fontId="26" fillId="0" borderId="82" xfId="0" applyNumberFormat="1" applyFont="1" applyBorder="1" applyAlignment="1">
      <alignment horizontal="center" vertical="center" wrapText="1"/>
    </xf>
    <xf numFmtId="176" fontId="26" fillId="0" borderId="0" xfId="0" applyNumberFormat="1" applyFont="1" applyAlignment="1">
      <alignment horizontal="center" vertical="center" wrapText="1"/>
    </xf>
    <xf numFmtId="9" fontId="26" fillId="0" borderId="0" xfId="0" applyNumberFormat="1" applyFont="1" applyAlignment="1">
      <alignment horizontal="justify" vertical="center" wrapText="1"/>
    </xf>
    <xf numFmtId="0" fontId="26" fillId="0" borderId="73" xfId="0" applyFont="1" applyBorder="1" applyAlignment="1">
      <alignment horizontal="justify" vertical="center" wrapText="1"/>
    </xf>
    <xf numFmtId="0" fontId="26" fillId="0" borderId="74" xfId="0" applyFont="1" applyBorder="1" applyAlignment="1">
      <alignment horizontal="justify" vertical="center" wrapText="1"/>
    </xf>
    <xf numFmtId="0" fontId="27" fillId="20" borderId="77" xfId="0" applyFont="1" applyFill="1" applyBorder="1" applyAlignment="1">
      <alignment horizontal="justify" vertical="center" wrapText="1"/>
    </xf>
    <xf numFmtId="0" fontId="26" fillId="0" borderId="82" xfId="0" applyFont="1" applyBorder="1" applyAlignment="1">
      <alignment horizontal="justify" vertical="center" wrapText="1"/>
    </xf>
    <xf numFmtId="0" fontId="27" fillId="20" borderId="78" xfId="0" applyFont="1" applyFill="1" applyBorder="1" applyAlignment="1">
      <alignment horizontal="center" vertical="center" wrapText="1"/>
    </xf>
    <xf numFmtId="0" fontId="26" fillId="0" borderId="76" xfId="0" applyFont="1" applyBorder="1" applyAlignment="1">
      <alignment horizontal="center" vertical="center"/>
    </xf>
    <xf numFmtId="2" fontId="26" fillId="0" borderId="72" xfId="22" applyNumberFormat="1" applyFont="1" applyBorder="1" applyAlignment="1">
      <alignment horizontal="justify" vertical="center" wrapText="1"/>
    </xf>
    <xf numFmtId="0" fontId="26" fillId="0" borderId="72" xfId="0" applyFont="1" applyBorder="1" applyAlignment="1">
      <alignment horizontal="justify" vertical="center" wrapText="1"/>
    </xf>
    <xf numFmtId="9" fontId="26" fillId="0" borderId="86" xfId="22" applyNumberFormat="1" applyFont="1" applyBorder="1" applyAlignment="1">
      <alignment horizontal="justify" vertical="center" wrapText="1"/>
    </xf>
    <xf numFmtId="9" fontId="26" fillId="0" borderId="87" xfId="22" applyNumberFormat="1" applyFont="1" applyBorder="1" applyAlignment="1">
      <alignment horizontal="justify"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59" xfId="22" applyFont="1" applyFill="1" applyBorder="1" applyAlignment="1">
      <alignment horizontal="center" vertical="center" wrapText="1"/>
    </xf>
    <xf numFmtId="9" fontId="85" fillId="0" borderId="71" xfId="35" applyNumberFormat="1" applyFont="1" applyBorder="1" applyAlignment="1">
      <alignment horizontal="justify" vertical="center" wrapText="1"/>
    </xf>
    <xf numFmtId="9" fontId="27" fillId="0" borderId="71" xfId="22" applyNumberFormat="1" applyFont="1" applyBorder="1" applyAlignment="1">
      <alignment horizontal="justify" vertical="center" wrapText="1"/>
    </xf>
    <xf numFmtId="9" fontId="26" fillId="9" borderId="71" xfId="22" applyNumberFormat="1" applyFont="1" applyFill="1" applyBorder="1" applyAlignment="1">
      <alignment horizontal="left" vertical="center" wrapText="1"/>
    </xf>
    <xf numFmtId="9" fontId="26" fillId="0" borderId="86" xfId="22" applyNumberFormat="1" applyFont="1" applyBorder="1" applyAlignment="1">
      <alignment horizontal="left" vertical="center" wrapText="1"/>
    </xf>
    <xf numFmtId="9" fontId="26" fillId="0" borderId="87" xfId="22" applyNumberFormat="1" applyFont="1" applyBorder="1" applyAlignment="1">
      <alignment horizontal="left" vertical="center" wrapText="1"/>
    </xf>
    <xf numFmtId="0" fontId="43" fillId="25" borderId="29" xfId="0" applyFont="1" applyFill="1" applyBorder="1" applyAlignment="1">
      <alignment horizontal="justify" vertical="top" wrapText="1"/>
    </xf>
    <xf numFmtId="0" fontId="43" fillId="25" borderId="7" xfId="0" applyFont="1" applyFill="1" applyBorder="1" applyAlignment="1">
      <alignment horizontal="justify" vertical="top" wrapText="1"/>
    </xf>
    <xf numFmtId="0" fontId="43" fillId="25" borderId="86" xfId="0" applyFont="1" applyFill="1" applyBorder="1" applyAlignment="1">
      <alignment horizontal="justify" vertical="top" wrapText="1"/>
    </xf>
    <xf numFmtId="0" fontId="43" fillId="25" borderId="91" xfId="0" applyFont="1" applyFill="1" applyBorder="1" applyAlignment="1">
      <alignment horizontal="justify" vertical="top" wrapText="1"/>
    </xf>
    <xf numFmtId="0" fontId="43" fillId="25" borderId="92" xfId="0" applyFont="1" applyFill="1" applyBorder="1" applyAlignment="1">
      <alignment horizontal="justify" vertical="top" wrapText="1"/>
    </xf>
    <xf numFmtId="0" fontId="43" fillId="25" borderId="93" xfId="0" applyFont="1" applyFill="1" applyBorder="1" applyAlignment="1">
      <alignment horizontal="justify" vertical="top" wrapText="1"/>
    </xf>
    <xf numFmtId="0" fontId="43" fillId="25" borderId="29" xfId="0" applyFont="1" applyFill="1" applyBorder="1" applyAlignment="1">
      <alignment horizontal="justify" vertical="center" wrapText="1"/>
    </xf>
    <xf numFmtId="0" fontId="43" fillId="25" borderId="7" xfId="0" applyFont="1" applyFill="1" applyBorder="1" applyAlignment="1">
      <alignment horizontal="justify" vertical="center" wrapText="1"/>
    </xf>
    <xf numFmtId="0" fontId="43" fillId="25" borderId="8" xfId="0" applyFont="1" applyFill="1" applyBorder="1" applyAlignment="1">
      <alignment horizontal="justify" vertical="center" wrapText="1"/>
    </xf>
    <xf numFmtId="0" fontId="43" fillId="25" borderId="91" xfId="0" applyFont="1" applyFill="1" applyBorder="1" applyAlignment="1">
      <alignment horizontal="justify" vertical="center" wrapText="1"/>
    </xf>
    <xf numFmtId="0" fontId="43" fillId="25" borderId="92" xfId="0" applyFont="1" applyFill="1" applyBorder="1" applyAlignment="1">
      <alignment horizontal="justify" vertical="center" wrapText="1"/>
    </xf>
    <xf numFmtId="0" fontId="43" fillId="25" borderId="94" xfId="0" applyFont="1" applyFill="1" applyBorder="1" applyAlignment="1">
      <alignment horizontal="justify" vertical="center" wrapText="1"/>
    </xf>
    <xf numFmtId="0" fontId="43" fillId="0" borderId="29" xfId="0" applyFont="1" applyBorder="1" applyAlignment="1">
      <alignment horizontal="left"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91" xfId="0" applyFont="1" applyBorder="1" applyAlignment="1">
      <alignment horizontal="left" vertical="center" wrapText="1"/>
    </xf>
    <xf numFmtId="0" fontId="43" fillId="0" borderId="92" xfId="0" applyFont="1" applyBorder="1" applyAlignment="1">
      <alignment horizontal="left" vertical="center" wrapText="1"/>
    </xf>
    <xf numFmtId="0" fontId="43" fillId="0" borderId="94" xfId="0" applyFont="1" applyBorder="1" applyAlignment="1">
      <alignment horizontal="left" vertical="center" wrapText="1"/>
    </xf>
    <xf numFmtId="0" fontId="43" fillId="25" borderId="95" xfId="0" applyFont="1" applyFill="1" applyBorder="1" applyAlignment="1">
      <alignment horizontal="justify" vertical="center" wrapText="1"/>
    </xf>
    <xf numFmtId="0" fontId="43" fillId="25" borderId="96" xfId="0" applyFont="1" applyFill="1" applyBorder="1" applyAlignment="1">
      <alignment horizontal="justify"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9" fontId="42" fillId="0" borderId="29" xfId="34" applyNumberFormat="1" applyBorder="1" applyAlignment="1">
      <alignment horizontal="justify" vertical="center" wrapText="1"/>
    </xf>
    <xf numFmtId="9" fontId="42" fillId="0" borderId="7" xfId="34" applyNumberFormat="1" applyBorder="1" applyAlignment="1">
      <alignment horizontal="justify" vertical="center" wrapText="1"/>
    </xf>
    <xf numFmtId="9" fontId="42" fillId="0" borderId="59" xfId="34" applyNumberFormat="1" applyBorder="1" applyAlignment="1">
      <alignment horizontal="justify" vertical="center" wrapText="1"/>
    </xf>
    <xf numFmtId="9" fontId="42" fillId="0" borderId="15" xfId="34" applyNumberFormat="1" applyBorder="1" applyAlignment="1">
      <alignment horizontal="justify" vertical="center" wrapText="1"/>
    </xf>
    <xf numFmtId="9" fontId="42" fillId="0" borderId="10" xfId="34" applyNumberFormat="1" applyBorder="1" applyAlignment="1">
      <alignment horizontal="justify" vertical="center" wrapText="1"/>
    </xf>
    <xf numFmtId="9" fontId="42" fillId="0" borderId="60" xfId="34" applyNumberFormat="1" applyBorder="1" applyAlignment="1">
      <alignment horizontal="justify" vertical="center" wrapText="1"/>
    </xf>
    <xf numFmtId="0" fontId="26" fillId="0" borderId="75" xfId="0" applyFont="1" applyBorder="1" applyAlignment="1">
      <alignment horizontal="justify" vertical="center" wrapText="1"/>
    </xf>
    <xf numFmtId="0" fontId="26" fillId="0" borderId="76" xfId="0" applyFont="1" applyBorder="1" applyAlignment="1">
      <alignment horizontal="justify" vertical="center" wrapText="1"/>
    </xf>
    <xf numFmtId="0" fontId="26" fillId="25" borderId="86" xfId="0" applyFont="1" applyFill="1" applyBorder="1" applyAlignment="1">
      <alignment horizontal="justify" vertical="center" wrapText="1"/>
    </xf>
    <xf numFmtId="0" fontId="26" fillId="25" borderId="89" xfId="0" applyFont="1" applyFill="1" applyBorder="1" applyAlignment="1">
      <alignment horizontal="justify" vertical="center" wrapText="1"/>
    </xf>
    <xf numFmtId="0" fontId="26" fillId="25" borderId="90" xfId="0" applyFont="1" applyFill="1" applyBorder="1" applyAlignment="1">
      <alignment horizontal="justify" vertical="center" wrapText="1"/>
    </xf>
    <xf numFmtId="0" fontId="26" fillId="25" borderId="88" xfId="0" applyFont="1" applyFill="1" applyBorder="1" applyAlignment="1">
      <alignment horizontal="justify" vertical="center" wrapText="1"/>
    </xf>
    <xf numFmtId="9" fontId="15" fillId="0" borderId="30" xfId="35" applyNumberFormat="1" applyFont="1" applyFill="1" applyBorder="1" applyAlignment="1">
      <alignment horizontal="justify" vertical="center" wrapText="1"/>
    </xf>
    <xf numFmtId="9" fontId="15" fillId="0" borderId="0" xfId="35" applyNumberFormat="1" applyFont="1" applyFill="1" applyBorder="1" applyAlignment="1">
      <alignment horizontal="justify" vertical="center" wrapText="1"/>
    </xf>
    <xf numFmtId="9" fontId="15" fillId="0" borderId="2" xfId="35" applyNumberFormat="1" applyFont="1" applyFill="1" applyBorder="1" applyAlignment="1">
      <alignment horizontal="justify" vertical="center" wrapText="1"/>
    </xf>
    <xf numFmtId="9" fontId="15" fillId="0" borderId="15" xfId="35" applyNumberFormat="1" applyFont="1" applyFill="1" applyBorder="1" applyAlignment="1">
      <alignment horizontal="justify" vertical="center" wrapText="1"/>
    </xf>
    <xf numFmtId="9" fontId="15" fillId="0" borderId="10" xfId="35" applyNumberFormat="1" applyFont="1" applyFill="1" applyBorder="1" applyAlignment="1">
      <alignment horizontal="justify" vertical="center" wrapText="1"/>
    </xf>
    <xf numFmtId="9" fontId="15" fillId="0" borderId="60" xfId="35" applyNumberFormat="1" applyFont="1" applyFill="1" applyBorder="1" applyAlignment="1">
      <alignment horizontal="justify" vertical="center" wrapText="1"/>
    </xf>
    <xf numFmtId="9" fontId="42" fillId="0" borderId="29" xfId="34" applyNumberFormat="1" applyBorder="1" applyAlignment="1">
      <alignment horizontal="left" vertical="center" wrapText="1"/>
    </xf>
    <xf numFmtId="9" fontId="26" fillId="0" borderId="97" xfId="22" applyNumberFormat="1" applyFont="1" applyBorder="1" applyAlignment="1">
      <alignment horizontal="left" vertical="center" wrapText="1"/>
    </xf>
    <xf numFmtId="0" fontId="43" fillId="0" borderId="86" xfId="0" applyFont="1" applyBorder="1" applyAlignment="1">
      <alignment horizontal="left" vertical="center" wrapText="1"/>
    </xf>
    <xf numFmtId="0" fontId="43" fillId="0" borderId="93" xfId="0" applyFont="1" applyBorder="1" applyAlignment="1">
      <alignment horizontal="left" vertical="center" wrapText="1"/>
    </xf>
    <xf numFmtId="9" fontId="26" fillId="0" borderId="29" xfId="22" applyNumberFormat="1" applyFont="1" applyBorder="1" applyAlignment="1">
      <alignment vertical="center" wrapText="1"/>
    </xf>
    <xf numFmtId="9" fontId="26" fillId="0" borderId="7" xfId="22" applyNumberFormat="1" applyFont="1" applyBorder="1" applyAlignment="1">
      <alignment vertical="center" wrapText="1"/>
    </xf>
    <xf numFmtId="9" fontId="26" fillId="0" borderId="8" xfId="22" applyNumberFormat="1" applyFont="1" applyBorder="1" applyAlignment="1">
      <alignment vertical="center" wrapText="1"/>
    </xf>
    <xf numFmtId="9" fontId="26" fillId="0" borderId="15" xfId="22" applyNumberFormat="1" applyFont="1" applyBorder="1" applyAlignment="1">
      <alignment vertical="center" wrapText="1"/>
    </xf>
    <xf numFmtId="9" fontId="26" fillId="0" borderId="10" xfId="22" applyNumberFormat="1" applyFont="1" applyBorder="1" applyAlignment="1">
      <alignment vertical="center" wrapText="1"/>
    </xf>
    <xf numFmtId="9" fontId="26" fillId="0" borderId="11" xfId="22" applyNumberFormat="1" applyFont="1" applyBorder="1" applyAlignment="1">
      <alignment vertical="center" wrapText="1"/>
    </xf>
    <xf numFmtId="9" fontId="57" fillId="0" borderId="71" xfId="34" applyNumberFormat="1" applyFont="1" applyBorder="1" applyAlignment="1">
      <alignment horizontal="justify" vertical="center" wrapText="1"/>
    </xf>
    <xf numFmtId="9" fontId="57" fillId="0" borderId="75" xfId="34" applyNumberFormat="1" applyFont="1" applyBorder="1" applyAlignment="1">
      <alignment horizontal="justify" vertical="center" wrapText="1"/>
    </xf>
    <xf numFmtId="9" fontId="26" fillId="0" borderId="29" xfId="22" applyNumberFormat="1" applyFont="1" applyBorder="1" applyAlignment="1">
      <alignment horizontal="left" vertical="top" wrapText="1"/>
    </xf>
    <xf numFmtId="9" fontId="26" fillId="0" borderId="7" xfId="22" applyNumberFormat="1" applyFont="1" applyBorder="1" applyAlignment="1">
      <alignment horizontal="left" vertical="top" wrapText="1"/>
    </xf>
    <xf numFmtId="9" fontId="26" fillId="0" borderId="15" xfId="22" applyNumberFormat="1" applyFont="1" applyBorder="1" applyAlignment="1">
      <alignment horizontal="left" vertical="top" wrapText="1"/>
    </xf>
    <xf numFmtId="9" fontId="26" fillId="0" borderId="10" xfId="22" applyNumberFormat="1" applyFont="1" applyBorder="1" applyAlignment="1">
      <alignment horizontal="left" vertical="top" wrapText="1"/>
    </xf>
    <xf numFmtId="9" fontId="42" fillId="0" borderId="76" xfId="34" applyNumberFormat="1" applyFill="1" applyBorder="1" applyAlignment="1">
      <alignment horizontal="justify" vertical="center" wrapText="1"/>
    </xf>
    <xf numFmtId="9" fontId="42" fillId="0" borderId="71" xfId="34" applyNumberFormat="1" applyFill="1" applyBorder="1" applyAlignment="1">
      <alignment horizontal="justify" vertical="center" wrapText="1"/>
    </xf>
    <xf numFmtId="0" fontId="27" fillId="12" borderId="29" xfId="22" applyFont="1" applyFill="1" applyBorder="1" applyAlignment="1">
      <alignment horizontal="center" vertical="center" wrapText="1"/>
    </xf>
    <xf numFmtId="0" fontId="27" fillId="12" borderId="7" xfId="22" applyFont="1" applyFill="1" applyBorder="1" applyAlignment="1">
      <alignment horizontal="center" vertical="center" wrapText="1"/>
    </xf>
    <xf numFmtId="0" fontId="27" fillId="12" borderId="30" xfId="22" applyFont="1" applyFill="1" applyBorder="1" applyAlignment="1">
      <alignment horizontal="center" vertical="center" wrapText="1"/>
    </xf>
    <xf numFmtId="0" fontId="27" fillId="12" borderId="0" xfId="22" applyFont="1" applyFill="1" applyAlignment="1">
      <alignment horizontal="center" vertical="center" wrapText="1"/>
    </xf>
    <xf numFmtId="0" fontId="27" fillId="12" borderId="15" xfId="22" applyFont="1" applyFill="1" applyBorder="1" applyAlignment="1">
      <alignment horizontal="center" vertical="center" wrapText="1"/>
    </xf>
    <xf numFmtId="0" fontId="27" fillId="12" borderId="10" xfId="22" applyFont="1" applyFill="1" applyBorder="1" applyAlignment="1">
      <alignment horizontal="center" vertical="center" wrapText="1"/>
    </xf>
    <xf numFmtId="0" fontId="27" fillId="9" borderId="71" xfId="22" applyFont="1" applyFill="1" applyBorder="1" applyAlignment="1">
      <alignment horizontal="left" vertical="center" wrapText="1"/>
    </xf>
    <xf numFmtId="0" fontId="27" fillId="9" borderId="12" xfId="22" applyFont="1" applyFill="1" applyBorder="1" applyAlignment="1">
      <alignment horizontal="left" vertical="center" wrapText="1"/>
    </xf>
    <xf numFmtId="0" fontId="27" fillId="9" borderId="38" xfId="22" applyFont="1" applyFill="1" applyBorder="1" applyAlignment="1">
      <alignment horizontal="left" vertical="center" wrapText="1"/>
    </xf>
    <xf numFmtId="0" fontId="27" fillId="9" borderId="39" xfId="22" applyFont="1" applyFill="1" applyBorder="1" applyAlignment="1">
      <alignment horizontal="left" vertical="center" wrapText="1"/>
    </xf>
    <xf numFmtId="0" fontId="32" fillId="12" borderId="3" xfId="22" applyFont="1" applyFill="1" applyBorder="1" applyAlignment="1">
      <alignment horizontal="center" vertical="center" wrapText="1"/>
    </xf>
    <xf numFmtId="0" fontId="32" fillId="12" borderId="17" xfId="22" applyFont="1" applyFill="1" applyBorder="1" applyAlignment="1">
      <alignment horizontal="center" vertical="center" wrapText="1"/>
    </xf>
    <xf numFmtId="0" fontId="32" fillId="12" borderId="4" xfId="22" applyFont="1" applyFill="1" applyBorder="1" applyAlignment="1">
      <alignment horizontal="center" vertical="center" wrapText="1"/>
    </xf>
    <xf numFmtId="0" fontId="27" fillId="12" borderId="8" xfId="22" applyFont="1" applyFill="1" applyBorder="1" applyAlignment="1">
      <alignment horizontal="center" vertical="center" wrapText="1"/>
    </xf>
    <xf numFmtId="0" fontId="27" fillId="12" borderId="9" xfId="22" applyFont="1" applyFill="1" applyBorder="1" applyAlignment="1">
      <alignment horizontal="center" vertical="center" wrapText="1"/>
    </xf>
    <xf numFmtId="0" fontId="27" fillId="12" borderId="11" xfId="22"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0" borderId="6" xfId="0" applyFont="1" applyFill="1" applyBorder="1" applyAlignment="1">
      <alignment horizontal="center" vertical="center" wrapText="1"/>
    </xf>
    <xf numFmtId="14" fontId="31" fillId="0" borderId="6" xfId="0" applyNumberFormat="1" applyFont="1" applyBorder="1" applyAlignment="1">
      <alignment horizontal="center" vertical="center"/>
    </xf>
    <xf numFmtId="0" fontId="31" fillId="0" borderId="6" xfId="0" applyFont="1" applyBorder="1" applyAlignment="1">
      <alignment horizontal="center" vertical="center"/>
    </xf>
    <xf numFmtId="0" fontId="32"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32" fillId="10" borderId="12" xfId="0" applyFont="1" applyFill="1" applyBorder="1" applyAlignment="1">
      <alignment vertical="center" wrapText="1"/>
    </xf>
    <xf numFmtId="0" fontId="32" fillId="10" borderId="38" xfId="0" applyFont="1" applyFill="1" applyBorder="1" applyAlignment="1">
      <alignment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27" fillId="0" borderId="6" xfId="0" applyFont="1" applyBorder="1" applyAlignment="1">
      <alignment vertical="center" wrapText="1"/>
    </xf>
    <xf numFmtId="0" fontId="35" fillId="13" borderId="4" xfId="0" applyFont="1" applyFill="1" applyBorder="1" applyAlignment="1">
      <alignment horizontal="center" vertical="center"/>
    </xf>
    <xf numFmtId="0" fontId="35"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15" fontId="27" fillId="0" borderId="6" xfId="0" applyNumberFormat="1" applyFont="1" applyBorder="1" applyAlignment="1">
      <alignment horizontal="left" vertical="center"/>
    </xf>
    <xf numFmtId="0" fontId="27" fillId="0" borderId="6" xfId="0" applyFont="1" applyBorder="1" applyAlignment="1">
      <alignment horizontal="left"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32" borderId="15" xfId="0" applyFont="1" applyFill="1" applyBorder="1" applyAlignment="1">
      <alignment horizontal="center" vertical="center" wrapText="1"/>
    </xf>
    <xf numFmtId="0" fontId="27" fillId="32"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60" xfId="0" applyFont="1" applyFill="1" applyBorder="1" applyAlignment="1">
      <alignment horizontal="center" vertical="center" wrapText="1"/>
    </xf>
    <xf numFmtId="0" fontId="30" fillId="32" borderId="32" xfId="0" applyFont="1" applyFill="1" applyBorder="1" applyAlignment="1">
      <alignment horizontal="center" vertical="center"/>
    </xf>
    <xf numFmtId="0" fontId="30" fillId="32" borderId="33" xfId="0" applyFont="1" applyFill="1" applyBorder="1" applyAlignment="1">
      <alignment horizontal="center" vertical="center"/>
    </xf>
    <xf numFmtId="0" fontId="30" fillId="32" borderId="34" xfId="0" applyFont="1" applyFill="1" applyBorder="1" applyAlignment="1">
      <alignment horizontal="center" vertical="center"/>
    </xf>
    <xf numFmtId="0" fontId="27" fillId="32" borderId="17" xfId="0" applyFont="1" applyFill="1" applyBorder="1" applyAlignment="1">
      <alignment horizontal="center" vertical="center" wrapText="1"/>
    </xf>
    <xf numFmtId="0" fontId="27" fillId="32" borderId="19" xfId="0" applyFont="1" applyFill="1" applyBorder="1" applyAlignment="1">
      <alignment horizontal="center" vertical="center" wrapText="1"/>
    </xf>
    <xf numFmtId="0" fontId="27" fillId="32" borderId="101" xfId="0" applyFont="1" applyFill="1" applyBorder="1" applyAlignment="1">
      <alignment horizontal="center" vertical="center" wrapText="1"/>
    </xf>
    <xf numFmtId="0" fontId="27" fillId="32" borderId="18" xfId="0" applyFont="1" applyFill="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2"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52" xfId="0" applyFont="1" applyBorder="1" applyAlignment="1">
      <alignment horizontal="justify" vertical="center" wrapText="1"/>
    </xf>
    <xf numFmtId="0" fontId="29" fillId="0" borderId="12" xfId="0" applyFont="1" applyBorder="1" applyAlignment="1">
      <alignment horizontal="justify" vertical="center"/>
    </xf>
    <xf numFmtId="0" fontId="29" fillId="0" borderId="38" xfId="0" applyFont="1" applyBorder="1" applyAlignment="1">
      <alignment horizontal="justify" vertical="center"/>
    </xf>
    <xf numFmtId="0" fontId="29" fillId="0" borderId="52" xfId="0" applyFont="1" applyBorder="1" applyAlignment="1">
      <alignment horizontal="justify" vertical="center"/>
    </xf>
    <xf numFmtId="0" fontId="29" fillId="0" borderId="15" xfId="0" applyFont="1" applyBorder="1" applyAlignment="1">
      <alignment horizontal="justify" vertical="center" wrapText="1"/>
    </xf>
    <xf numFmtId="0" fontId="29" fillId="0" borderId="10" xfId="0" applyFont="1" applyBorder="1" applyAlignment="1">
      <alignment horizontal="justify" vertical="center" wrapText="1"/>
    </xf>
    <xf numFmtId="0" fontId="29" fillId="0" borderId="60" xfId="0" applyFont="1" applyBorder="1" applyAlignment="1">
      <alignment horizontal="justify" vertical="center" wrapText="1"/>
    </xf>
    <xf numFmtId="0" fontId="29" fillId="0" borderId="12" xfId="0" applyFont="1" applyBorder="1" applyAlignment="1">
      <alignment horizontal="justify" vertical="top" wrapText="1"/>
    </xf>
    <xf numFmtId="0" fontId="29" fillId="0" borderId="38" xfId="0" applyFont="1" applyBorder="1" applyAlignment="1">
      <alignment horizontal="justify" vertical="top" wrapText="1"/>
    </xf>
    <xf numFmtId="0" fontId="29" fillId="0" borderId="52" xfId="0" applyFont="1" applyBorder="1" applyAlignment="1">
      <alignment horizontal="justify" vertical="top"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39" fillId="19" borderId="0" xfId="0" applyFont="1" applyFill="1" applyAlignment="1">
      <alignment vertical="center" wrapText="1"/>
    </xf>
    <xf numFmtId="0" fontId="39" fillId="19" borderId="0" xfId="0" applyFont="1" applyFill="1" applyAlignment="1">
      <alignment horizontal="center" vertical="center" wrapText="1"/>
    </xf>
    <xf numFmtId="0" fontId="38" fillId="0" borderId="0" xfId="0" applyFont="1" applyAlignment="1">
      <alignment horizontal="center" vertical="center" wrapText="1"/>
    </xf>
    <xf numFmtId="0" fontId="39" fillId="29" borderId="0" xfId="0" applyFont="1" applyFill="1" applyAlignment="1">
      <alignment horizontal="center" vertical="center" wrapText="1"/>
    </xf>
    <xf numFmtId="0" fontId="81" fillId="38" borderId="32" xfId="22" applyFont="1" applyFill="1" applyBorder="1" applyAlignment="1">
      <alignment horizontal="right" vertical="center"/>
    </xf>
    <xf numFmtId="0" fontId="81" fillId="38" borderId="34" xfId="22" applyFont="1" applyFill="1" applyBorder="1" applyAlignment="1">
      <alignment horizontal="right" vertical="center"/>
    </xf>
    <xf numFmtId="9" fontId="26" fillId="0" borderId="29" xfId="30" applyFont="1" applyFill="1" applyBorder="1" applyAlignment="1" applyProtection="1">
      <alignment horizontal="left" vertical="top" wrapText="1"/>
    </xf>
    <xf numFmtId="9" fontId="26" fillId="0" borderId="7" xfId="30" applyFont="1" applyFill="1" applyBorder="1" applyAlignment="1" applyProtection="1">
      <alignment horizontal="left" vertical="top" wrapText="1"/>
    </xf>
    <xf numFmtId="9" fontId="26" fillId="0" borderId="8" xfId="30" applyFont="1" applyFill="1" applyBorder="1" applyAlignment="1" applyProtection="1">
      <alignment horizontal="left" vertical="top" wrapText="1"/>
    </xf>
    <xf numFmtId="9" fontId="26" fillId="0" borderId="44" xfId="30" applyFont="1" applyFill="1" applyBorder="1" applyAlignment="1" applyProtection="1">
      <alignment horizontal="left" vertical="top" wrapText="1"/>
    </xf>
    <xf numFmtId="9" fontId="26" fillId="0" borderId="45" xfId="30" applyFont="1" applyFill="1" applyBorder="1" applyAlignment="1" applyProtection="1">
      <alignment horizontal="left" vertical="top" wrapText="1"/>
    </xf>
    <xf numFmtId="9" fontId="26" fillId="0" borderId="46" xfId="30" applyFont="1" applyFill="1" applyBorder="1" applyAlignment="1" applyProtection="1">
      <alignment horizontal="left" vertical="top" wrapText="1"/>
    </xf>
    <xf numFmtId="9" fontId="42" fillId="0" borderId="29" xfId="35" applyNumberFormat="1" applyFill="1" applyBorder="1" applyAlignment="1">
      <alignment horizontal="justify" vertical="center" wrapText="1"/>
    </xf>
    <xf numFmtId="9" fontId="42" fillId="0" borderId="7" xfId="35" applyNumberFormat="1" applyFill="1" applyBorder="1" applyAlignment="1">
      <alignment horizontal="justify" vertical="center" wrapText="1"/>
    </xf>
    <xf numFmtId="9" fontId="42" fillId="0" borderId="59" xfId="35" applyNumberFormat="1" applyFill="1" applyBorder="1" applyAlignment="1">
      <alignment horizontal="justify" vertical="center" wrapText="1"/>
    </xf>
    <xf numFmtId="9" fontId="42" fillId="0" borderId="15" xfId="35" applyNumberFormat="1" applyFill="1" applyBorder="1" applyAlignment="1">
      <alignment horizontal="justify" vertical="center" wrapText="1"/>
    </xf>
    <xf numFmtId="9" fontId="42" fillId="0" borderId="10" xfId="35" applyNumberFormat="1" applyFill="1" applyBorder="1" applyAlignment="1">
      <alignment horizontal="justify" vertical="center" wrapText="1"/>
    </xf>
    <xf numFmtId="9" fontId="42" fillId="0" borderId="60" xfId="35" applyNumberFormat="1" applyFill="1" applyBorder="1" applyAlignment="1">
      <alignment horizontal="justify" vertical="center" wrapText="1"/>
    </xf>
    <xf numFmtId="9" fontId="26" fillId="0" borderId="76" xfId="22" applyNumberFormat="1" applyFont="1" applyFill="1" applyBorder="1" applyAlignment="1">
      <alignment horizontal="justify" vertical="center" wrapText="1"/>
    </xf>
    <xf numFmtId="9" fontId="26" fillId="0" borderId="71" xfId="22" applyNumberFormat="1" applyFont="1" applyFill="1" applyBorder="1" applyAlignment="1">
      <alignment horizontal="justify" vertical="center" wrapText="1"/>
    </xf>
    <xf numFmtId="9" fontId="26" fillId="0" borderId="29" xfId="22" applyNumberFormat="1" applyFont="1" applyFill="1" applyBorder="1" applyAlignment="1">
      <alignment horizontal="left" vertical="top" wrapText="1"/>
    </xf>
    <xf numFmtId="9" fontId="26" fillId="0" borderId="7" xfId="22" applyNumberFormat="1" applyFont="1" applyFill="1" applyBorder="1" applyAlignment="1">
      <alignment horizontal="left" vertical="top" wrapText="1"/>
    </xf>
    <xf numFmtId="9" fontId="26" fillId="0" borderId="15" xfId="22" applyNumberFormat="1" applyFont="1" applyFill="1" applyBorder="1" applyAlignment="1">
      <alignment horizontal="left" vertical="top" wrapText="1"/>
    </xf>
    <xf numFmtId="9" fontId="26" fillId="0" borderId="10" xfId="22" applyNumberFormat="1" applyFont="1" applyFill="1" applyBorder="1" applyAlignment="1">
      <alignment horizontal="left" vertical="top" wrapText="1"/>
    </xf>
    <xf numFmtId="0" fontId="62" fillId="0" borderId="39" xfId="28" applyNumberFormat="1" applyFont="1" applyFill="1" applyBorder="1" applyAlignment="1">
      <alignment horizontal="justify" vertical="top" wrapText="1"/>
    </xf>
  </cellXfs>
  <cellStyles count="40">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5" builtinId="8"/>
    <cellStyle name="Hyperlink" xfId="34"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Moneda 4" xfId="39" xr:uid="{504D4692-E933-4A64-902B-EF0128376EF5}"/>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4" xfId="36" xr:uid="{05953018-922C-456B-A3B9-91D93D463FD2}"/>
    <cellStyle name="Normal 5" xfId="37" xr:uid="{BDA941F7-D104-4C40-A989-F6F133755AF7}"/>
    <cellStyle name="Normal 6 2" xfId="27" xr:uid="{00000000-0005-0000-0000-00001B000000}"/>
    <cellStyle name="Porcentaje" xfId="28" builtinId="5"/>
    <cellStyle name="Porcentaje 2" xfId="29" xr:uid="{00000000-0005-0000-0000-00001D000000}"/>
    <cellStyle name="Porcentaje 3" xfId="38" xr:uid="{1CF178C2-6E0B-4A2B-9A02-3AB8CF0DF71F}"/>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66FF66"/>
      <color rgb="FFE67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ocumenttasks/documenttask1.xml><?xml version="1.0" encoding="utf-8"?>
<Tasks xmlns="http://schemas.microsoft.com/office/tasks/2019/documenttasks">
  <Task id="{BE8BA75F-4F87-4424-BAD7-F7B3D5C89EA7}">
    <Anchor>
      <Comment id="{52512995-20B8-431B-8B61-457F61350873}"/>
    </Anchor>
    <History>
      <Event time="2024-08-27T16:04:05.12" id="{56E0A6A8-32CA-4D23-93AF-001537BB2BFA}">
        <Attribution userId="S::jdcortes@sdmujer.gov.co::19286d0c-2b39-4349-b92d-6ea2665a8b77" userName="Juan David Cortes Gonzalez" userProvider="AD"/>
        <Anchor>
          <Comment id="{52512995-20B8-431B-8B61-457F61350873}"/>
        </Anchor>
        <Create/>
      </Event>
      <Event time="2024-08-27T16:04:05.12" id="{5032DEE6-37C9-44F9-BE2D-C68C0E17978A}">
        <Attribution userId="S::jdcortes@sdmujer.gov.co::19286d0c-2b39-4349-b92d-6ea2665a8b77" userName="Juan David Cortes Gonzalez" userProvider="AD"/>
        <Anchor>
          <Comment id="{52512995-20B8-431B-8B61-457F61350873}"/>
        </Anchor>
        <Assign userId="S::mggomez@sdmujer.gov.co::3a029fb8-7425-4182-81da-a9b2db3a160c" userName="Miguel Giovanny Gómez López" userProvider="AD"/>
      </Event>
      <Event time="2024-08-27T16:04:05.12" id="{C31E9A50-9CB9-47EA-987F-A7C5533D76BA}">
        <Attribution userId="S::jdcortes@sdmujer.gov.co::19286d0c-2b39-4349-b92d-6ea2665a8b77" userName="Juan David Cortes Gonzalez" userProvider="AD"/>
        <Anchor>
          <Comment id="{52512995-20B8-431B-8B61-457F61350873}"/>
        </Anchor>
        <SetTitle title="@Miguel Giovanny Gómez López por favor podrías ayudarme a diligenciar de manera urgente este indicador, con la descripción cualitativa del avance, evidencia del avance del periodo. la descripción cualitativa del avance acumulado, si hay retrasos y …"/>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39DDBC8-6507-49D1-AE96-8E3241AF3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9FF9008-55F3-4B00-B393-018E32B04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ED6B6EC3-8536-433E-B680-334D9C72F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47</xdr:col>
          <xdr:colOff>0</xdr:colOff>
          <xdr:row>13</xdr:row>
          <xdr:rowOff>0</xdr:rowOff>
        </xdr:from>
        <xdr:to>
          <xdr:col>48</xdr:col>
          <xdr:colOff>0</xdr:colOff>
          <xdr:row>14</xdr:row>
          <xdr:rowOff>0</xdr:rowOff>
        </xdr:to>
        <xdr:sp macro="" textlink="">
          <xdr:nvSpPr>
            <xdr:cNvPr id="75811" name="Control 35" hidden="1">
              <a:extLst>
                <a:ext uri="{63B3BB69-23CF-44E3-9099-C40C66FF867C}">
                  <a14:compatExt spid="_x0000_s75811"/>
                </a:ext>
                <a:ext uri="{FF2B5EF4-FFF2-40B4-BE49-F238E27FC236}">
                  <a16:creationId xmlns:a16="http://schemas.microsoft.com/office/drawing/2014/main" id="{00000000-0008-0000-05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xdr:row>
          <xdr:rowOff>0</xdr:rowOff>
        </xdr:from>
        <xdr:to>
          <xdr:col>48</xdr:col>
          <xdr:colOff>0</xdr:colOff>
          <xdr:row>3</xdr:row>
          <xdr:rowOff>0</xdr:rowOff>
        </xdr:to>
        <xdr:sp macro="" textlink="">
          <xdr:nvSpPr>
            <xdr:cNvPr id="75812" name="Control 36" hidden="1">
              <a:extLst>
                <a:ext uri="{63B3BB69-23CF-44E3-9099-C40C66FF867C}">
                  <a14:compatExt spid="_x0000_s75812"/>
                </a:ext>
                <a:ext uri="{FF2B5EF4-FFF2-40B4-BE49-F238E27FC236}">
                  <a16:creationId xmlns:a16="http://schemas.microsoft.com/office/drawing/2014/main" id="{00000000-0008-0000-05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iguel Giovanny Gómez López" id="{28D16543-58F3-4F89-A37A-97153D022074}" userId="mggomez@sdmujer.gov.co" providerId="PeoplePicker"/>
  <person displayName="Juan David Cortes Gonzalez" id="{444BA226-9424-45F4-A519-0FC5BB1E4ACB}" userId="S::jdcortes@sdmujer.gov.co::19286d0c-2b39-4349-b92d-6ea2665a8b7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Q13" dT="2024-08-27T16:04:05.43" personId="{444BA226-9424-45F4-A519-0FC5BB1E4ACB}" id="{52512995-20B8-431B-8B61-457F61350873}">
    <text xml:space="preserve">@Miguel Giovanny Gómez López  por favor podrías ayudarme a diligenciar de manera urgente este indicador, con la descripción cualitativa del avance, evidencia del avance del periodo. la descripción cualitativa del avance acumulado, si hay retrasos y soluciones para ello si no, se indica no aplica. </text>
    <mentions>
      <mention mentionpersonId="{28D16543-58F3-4F89-A37A-97153D022074}" mentionId="{677EC123-89D1-484B-B4CB-2BFE4929633A}" startIndex="0" length="2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f:/s/BogotCaminaSegura/EjqAGpGrq4FOjG9Opvdc9yoBUeNBDQZiQUOhsXHdCXtTeQ" TargetMode="External"/><Relationship Id="rId1" Type="http://schemas.openxmlformats.org/officeDocument/2006/relationships/hyperlink" Target="file:///C:/:f:/s/BogotCaminaSegura/ErEYkwm3ZTJHgHmDcbYV18ABhV2_Xm_hLA5SR1cNmQ7m6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secretariadistritald.sharepoint.com/:f:/s/BogotCaminaSegura/Ei8FadY2S3ZHiVF16FKi5_gBiDZzyB_FhIyllrOh7slEHA?e=YA5zI4" TargetMode="External"/><Relationship Id="rId7" Type="http://schemas.openxmlformats.org/officeDocument/2006/relationships/comments" Target="../comments2.xml"/><Relationship Id="rId2" Type="http://schemas.openxmlformats.org/officeDocument/2006/relationships/hyperlink" Target="https://secretariadistritald.sharepoint.com/:f:/s/BogotCaminaSegura/EiEChgJAE8VGiWmTKmg778QB1iFZhce5oFOaI0YdpoVGbQ?e=VKxOKq" TargetMode="External"/><Relationship Id="rId1" Type="http://schemas.openxmlformats.org/officeDocument/2006/relationships/hyperlink" Target="file:///C:/:w:/s/BogotCaminaSegura/EQigQQA7-5BArSTr3R6K9ZsBghwEozjCVdizdPgRIei2EA"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ecretariadistritald.sharepoint.com/:f:/s/BogotCaminaSegura/EjVCHd5gmINGrMZV-xZSTjAB4mPMXpycujQaky88IMYErg?e=2PgdfQ" TargetMode="External"/><Relationship Id="rId1" Type="http://schemas.openxmlformats.org/officeDocument/2006/relationships/hyperlink" Target="file:///C:/:w:/s/BogotCaminaSegura/EcFVCbU2lzBFoxGrIvBFfJ8BjE6wtqYX7lrZciB5HzjAWw"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secretariadistritald.sharepoint.com/:f:/s/BogotCaminaSegura/Eks9d141O9JFn2qOOqYKeFIBP9EHvgUL9uElh81GGN6SEw?e=DLNwKO" TargetMode="External"/><Relationship Id="rId7" Type="http://schemas.openxmlformats.org/officeDocument/2006/relationships/comments" Target="../comments4.xml"/><Relationship Id="rId2" Type="http://schemas.openxmlformats.org/officeDocument/2006/relationships/hyperlink" Target="https://secretariadistritald.sharepoint.com/:f:/s/BogotCaminaSegura/EnPh24LzhnVPru-P6HIe5_cBYBGzWZGe36xPwITdY5aquQ?e=eBjO0s" TargetMode="External"/><Relationship Id="rId1" Type="http://schemas.openxmlformats.org/officeDocument/2006/relationships/hyperlink" Target="file:///C:/:f:/s/BogotCaminaSegura/Eu4N-xyBKChHnAQz69FsUWEBCRswyizXUXS7hOc1BJ4Y4Q"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13" Type="http://schemas.microsoft.com/office/2019/04/relationships/documenttask" Target="../documenttasks/documenttask1.xml"/><Relationship Id="rId3" Type="http://schemas.openxmlformats.org/officeDocument/2006/relationships/hyperlink" Target="https://secretariadistritald.sharepoint.com/:f:/s/BogotCaminaSegura/Ev38ftGTgdxLu35fdUARA-oB_fCNpcpD65nfeA1cbHaYag?e=Hozc1q" TargetMode="External"/><Relationship Id="rId7" Type="http://schemas.openxmlformats.org/officeDocument/2006/relationships/drawing" Target="../drawings/drawing5.xml"/><Relationship Id="rId12" Type="http://schemas.microsoft.com/office/2017/10/relationships/threadedComment" Target="../threadedComments/threadedComment1.xml"/><Relationship Id="rId2" Type="http://schemas.openxmlformats.org/officeDocument/2006/relationships/hyperlink" Target="https://secretariadistritald.sharepoint.com/:f:/s/BogotCaminaSegura/Eu02ZcpRkcJIgNrKDLeMiOoBZgYeI4wl6cLfvoqe8OUnLg?e=JWWUtn" TargetMode="External"/><Relationship Id="rId1" Type="http://schemas.openxmlformats.org/officeDocument/2006/relationships/hyperlink" Target="file:///C:/:x:/g/personal/jdcortes_sdmujer_gov_co/EYT4c7k3PRZEm2yHcXFh164BhfqAnKUvVxscNrLtpm9C4A" TargetMode="External"/><Relationship Id="rId6" Type="http://schemas.openxmlformats.org/officeDocument/2006/relationships/printerSettings" Target="../printerSettings/printerSettings6.bin"/><Relationship Id="rId11" Type="http://schemas.openxmlformats.org/officeDocument/2006/relationships/comments" Target="../comments5.xml"/><Relationship Id="rId5" Type="http://schemas.openxmlformats.org/officeDocument/2006/relationships/hyperlink" Target="https://secretariadistritald.sharepoint.com/:f:/s/BogotCaminaSegura/Eq0MkTJV0eVOhQv0TGxr_JcB2fPoQdfoCYEuM2rD5lrWxw?e=eQE5ml" TargetMode="External"/><Relationship Id="rId10" Type="http://schemas.openxmlformats.org/officeDocument/2006/relationships/ctrlProp" Target="../ctrlProps/ctrlProp2.xml"/><Relationship Id="rId4" Type="http://schemas.openxmlformats.org/officeDocument/2006/relationships/hyperlink" Target="https://secretariadistritald.sharepoint.com/:f:/s/BogotCaminaSegura/EnzfTGprAHhDkAfoFEWNsfoB9mdAEJp9t2HEAHhQtjCX0Q?e=eBO0Y7" TargetMode="External"/><Relationship Id="rId9"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8" zoomScale="90" zoomScaleNormal="90" workbookViewId="0">
      <selection activeCell="D27" sqref="D27"/>
    </sheetView>
  </sheetViews>
  <sheetFormatPr baseColWidth="10" defaultColWidth="10.85546875" defaultRowHeight="14.25" x14ac:dyDescent="0.25"/>
  <cols>
    <col min="1" max="1" width="72" style="63" bestFit="1" customWidth="1"/>
    <col min="2" max="2" width="78.5703125" style="63" customWidth="1"/>
    <col min="3" max="3" width="10.85546875" style="63"/>
    <col min="4" max="4" width="31.140625" style="63" customWidth="1"/>
    <col min="5" max="5" width="70.140625" style="63" customWidth="1"/>
    <col min="6" max="6" width="17.42578125" style="63" customWidth="1"/>
    <col min="7" max="8" width="21.85546875" style="63" customWidth="1"/>
    <col min="9" max="9" width="19.42578125" style="63" customWidth="1"/>
    <col min="10" max="10" width="42" style="63" customWidth="1"/>
    <col min="11" max="256" width="10.85546875" style="63"/>
    <col min="257" max="257" width="72" style="63" bestFit="1" customWidth="1"/>
    <col min="258" max="258" width="78.5703125" style="63" customWidth="1"/>
    <col min="259" max="259" width="10.85546875" style="63"/>
    <col min="260" max="260" width="31.140625" style="63" customWidth="1"/>
    <col min="261" max="261" width="70.140625" style="63" customWidth="1"/>
    <col min="262" max="262" width="17.42578125" style="63" customWidth="1"/>
    <col min="263" max="264" width="21.85546875" style="63" customWidth="1"/>
    <col min="265" max="265" width="19.42578125" style="63" customWidth="1"/>
    <col min="266" max="266" width="42" style="63" customWidth="1"/>
    <col min="267" max="512" width="10.85546875" style="63"/>
    <col min="513" max="513" width="72" style="63" bestFit="1" customWidth="1"/>
    <col min="514" max="514" width="78.5703125" style="63" customWidth="1"/>
    <col min="515" max="515" width="10.85546875" style="63"/>
    <col min="516" max="516" width="31.140625" style="63" customWidth="1"/>
    <col min="517" max="517" width="70.140625" style="63" customWidth="1"/>
    <col min="518" max="518" width="17.42578125" style="63" customWidth="1"/>
    <col min="519" max="520" width="21.85546875" style="63" customWidth="1"/>
    <col min="521" max="521" width="19.42578125" style="63" customWidth="1"/>
    <col min="522" max="522" width="42" style="63" customWidth="1"/>
    <col min="523" max="768" width="10.85546875" style="63"/>
    <col min="769" max="769" width="72" style="63" bestFit="1" customWidth="1"/>
    <col min="770" max="770" width="78.5703125" style="63" customWidth="1"/>
    <col min="771" max="771" width="10.85546875" style="63"/>
    <col min="772" max="772" width="31.140625" style="63" customWidth="1"/>
    <col min="773" max="773" width="70.140625" style="63" customWidth="1"/>
    <col min="774" max="774" width="17.42578125" style="63" customWidth="1"/>
    <col min="775" max="776" width="21.85546875" style="63" customWidth="1"/>
    <col min="777" max="777" width="19.42578125" style="63" customWidth="1"/>
    <col min="778" max="778" width="42" style="63" customWidth="1"/>
    <col min="779" max="1024" width="10.85546875" style="63"/>
    <col min="1025" max="1025" width="72" style="63" bestFit="1" customWidth="1"/>
    <col min="1026" max="1026" width="78.5703125" style="63" customWidth="1"/>
    <col min="1027" max="1027" width="10.85546875" style="63"/>
    <col min="1028" max="1028" width="31.140625" style="63" customWidth="1"/>
    <col min="1029" max="1029" width="70.140625" style="63" customWidth="1"/>
    <col min="1030" max="1030" width="17.42578125" style="63" customWidth="1"/>
    <col min="1031" max="1032" width="21.85546875" style="63" customWidth="1"/>
    <col min="1033" max="1033" width="19.42578125" style="63" customWidth="1"/>
    <col min="1034" max="1034" width="42" style="63" customWidth="1"/>
    <col min="1035" max="1280" width="10.85546875" style="63"/>
    <col min="1281" max="1281" width="72" style="63" bestFit="1" customWidth="1"/>
    <col min="1282" max="1282" width="78.5703125" style="63" customWidth="1"/>
    <col min="1283" max="1283" width="10.85546875" style="63"/>
    <col min="1284" max="1284" width="31.140625" style="63" customWidth="1"/>
    <col min="1285" max="1285" width="70.140625" style="63" customWidth="1"/>
    <col min="1286" max="1286" width="17.42578125" style="63" customWidth="1"/>
    <col min="1287" max="1288" width="21.85546875" style="63" customWidth="1"/>
    <col min="1289" max="1289" width="19.42578125" style="63" customWidth="1"/>
    <col min="1290" max="1290" width="42" style="63" customWidth="1"/>
    <col min="1291" max="1536" width="10.85546875" style="63"/>
    <col min="1537" max="1537" width="72" style="63" bestFit="1" customWidth="1"/>
    <col min="1538" max="1538" width="78.5703125" style="63" customWidth="1"/>
    <col min="1539" max="1539" width="10.85546875" style="63"/>
    <col min="1540" max="1540" width="31.140625" style="63" customWidth="1"/>
    <col min="1541" max="1541" width="70.140625" style="63" customWidth="1"/>
    <col min="1542" max="1542" width="17.42578125" style="63" customWidth="1"/>
    <col min="1543" max="1544" width="21.85546875" style="63" customWidth="1"/>
    <col min="1545" max="1545" width="19.42578125" style="63" customWidth="1"/>
    <col min="1546" max="1546" width="42" style="63" customWidth="1"/>
    <col min="1547" max="1792" width="10.85546875" style="63"/>
    <col min="1793" max="1793" width="72" style="63" bestFit="1" customWidth="1"/>
    <col min="1794" max="1794" width="78.5703125" style="63" customWidth="1"/>
    <col min="1795" max="1795" width="10.85546875" style="63"/>
    <col min="1796" max="1796" width="31.140625" style="63" customWidth="1"/>
    <col min="1797" max="1797" width="70.140625" style="63" customWidth="1"/>
    <col min="1798" max="1798" width="17.42578125" style="63" customWidth="1"/>
    <col min="1799" max="1800" width="21.85546875" style="63" customWidth="1"/>
    <col min="1801" max="1801" width="19.42578125" style="63" customWidth="1"/>
    <col min="1802" max="1802" width="42" style="63" customWidth="1"/>
    <col min="1803" max="2048" width="10.85546875" style="63"/>
    <col min="2049" max="2049" width="72" style="63" bestFit="1" customWidth="1"/>
    <col min="2050" max="2050" width="78.5703125" style="63" customWidth="1"/>
    <col min="2051" max="2051" width="10.85546875" style="63"/>
    <col min="2052" max="2052" width="31.140625" style="63" customWidth="1"/>
    <col min="2053" max="2053" width="70.140625" style="63" customWidth="1"/>
    <col min="2054" max="2054" width="17.42578125" style="63" customWidth="1"/>
    <col min="2055" max="2056" width="21.85546875" style="63" customWidth="1"/>
    <col min="2057" max="2057" width="19.42578125" style="63" customWidth="1"/>
    <col min="2058" max="2058" width="42" style="63" customWidth="1"/>
    <col min="2059" max="2304" width="10.85546875" style="63"/>
    <col min="2305" max="2305" width="72" style="63" bestFit="1" customWidth="1"/>
    <col min="2306" max="2306" width="78.5703125" style="63" customWidth="1"/>
    <col min="2307" max="2307" width="10.85546875" style="63"/>
    <col min="2308" max="2308" width="31.140625" style="63" customWidth="1"/>
    <col min="2309" max="2309" width="70.140625" style="63" customWidth="1"/>
    <col min="2310" max="2310" width="17.42578125" style="63" customWidth="1"/>
    <col min="2311" max="2312" width="21.85546875" style="63" customWidth="1"/>
    <col min="2313" max="2313" width="19.42578125" style="63" customWidth="1"/>
    <col min="2314" max="2314" width="42" style="63" customWidth="1"/>
    <col min="2315" max="2560" width="10.85546875" style="63"/>
    <col min="2561" max="2561" width="72" style="63" bestFit="1" customWidth="1"/>
    <col min="2562" max="2562" width="78.5703125" style="63" customWidth="1"/>
    <col min="2563" max="2563" width="10.85546875" style="63"/>
    <col min="2564" max="2564" width="31.140625" style="63" customWidth="1"/>
    <col min="2565" max="2565" width="70.140625" style="63" customWidth="1"/>
    <col min="2566" max="2566" width="17.42578125" style="63" customWidth="1"/>
    <col min="2567" max="2568" width="21.85546875" style="63" customWidth="1"/>
    <col min="2569" max="2569" width="19.42578125" style="63" customWidth="1"/>
    <col min="2570" max="2570" width="42" style="63" customWidth="1"/>
    <col min="2571" max="2816" width="10.85546875" style="63"/>
    <col min="2817" max="2817" width="72" style="63" bestFit="1" customWidth="1"/>
    <col min="2818" max="2818" width="78.5703125" style="63" customWidth="1"/>
    <col min="2819" max="2819" width="10.85546875" style="63"/>
    <col min="2820" max="2820" width="31.140625" style="63" customWidth="1"/>
    <col min="2821" max="2821" width="70.140625" style="63" customWidth="1"/>
    <col min="2822" max="2822" width="17.42578125" style="63" customWidth="1"/>
    <col min="2823" max="2824" width="21.85546875" style="63" customWidth="1"/>
    <col min="2825" max="2825" width="19.42578125" style="63" customWidth="1"/>
    <col min="2826" max="2826" width="42" style="63" customWidth="1"/>
    <col min="2827" max="3072" width="10.85546875" style="63"/>
    <col min="3073" max="3073" width="72" style="63" bestFit="1" customWidth="1"/>
    <col min="3074" max="3074" width="78.5703125" style="63" customWidth="1"/>
    <col min="3075" max="3075" width="10.85546875" style="63"/>
    <col min="3076" max="3076" width="31.140625" style="63" customWidth="1"/>
    <col min="3077" max="3077" width="70.140625" style="63" customWidth="1"/>
    <col min="3078" max="3078" width="17.42578125" style="63" customWidth="1"/>
    <col min="3079" max="3080" width="21.85546875" style="63" customWidth="1"/>
    <col min="3081" max="3081" width="19.42578125" style="63" customWidth="1"/>
    <col min="3082" max="3082" width="42" style="63" customWidth="1"/>
    <col min="3083" max="3328" width="10.85546875" style="63"/>
    <col min="3329" max="3329" width="72" style="63" bestFit="1" customWidth="1"/>
    <col min="3330" max="3330" width="78.5703125" style="63" customWidth="1"/>
    <col min="3331" max="3331" width="10.85546875" style="63"/>
    <col min="3332" max="3332" width="31.140625" style="63" customWidth="1"/>
    <col min="3333" max="3333" width="70.140625" style="63" customWidth="1"/>
    <col min="3334" max="3334" width="17.42578125" style="63" customWidth="1"/>
    <col min="3335" max="3336" width="21.85546875" style="63" customWidth="1"/>
    <col min="3337" max="3337" width="19.42578125" style="63" customWidth="1"/>
    <col min="3338" max="3338" width="42" style="63" customWidth="1"/>
    <col min="3339" max="3584" width="10.85546875" style="63"/>
    <col min="3585" max="3585" width="72" style="63" bestFit="1" customWidth="1"/>
    <col min="3586" max="3586" width="78.5703125" style="63" customWidth="1"/>
    <col min="3587" max="3587" width="10.85546875" style="63"/>
    <col min="3588" max="3588" width="31.140625" style="63" customWidth="1"/>
    <col min="3589" max="3589" width="70.140625" style="63" customWidth="1"/>
    <col min="3590" max="3590" width="17.42578125" style="63" customWidth="1"/>
    <col min="3591" max="3592" width="21.85546875" style="63" customWidth="1"/>
    <col min="3593" max="3593" width="19.42578125" style="63" customWidth="1"/>
    <col min="3594" max="3594" width="42" style="63" customWidth="1"/>
    <col min="3595" max="3840" width="10.85546875" style="63"/>
    <col min="3841" max="3841" width="72" style="63" bestFit="1" customWidth="1"/>
    <col min="3842" max="3842" width="78.5703125" style="63" customWidth="1"/>
    <col min="3843" max="3843" width="10.85546875" style="63"/>
    <col min="3844" max="3844" width="31.140625" style="63" customWidth="1"/>
    <col min="3845" max="3845" width="70.140625" style="63" customWidth="1"/>
    <col min="3846" max="3846" width="17.42578125" style="63" customWidth="1"/>
    <col min="3847" max="3848" width="21.85546875" style="63" customWidth="1"/>
    <col min="3849" max="3849" width="19.42578125" style="63" customWidth="1"/>
    <col min="3850" max="3850" width="42" style="63" customWidth="1"/>
    <col min="3851" max="4096" width="10.85546875" style="63"/>
    <col min="4097" max="4097" width="72" style="63" bestFit="1" customWidth="1"/>
    <col min="4098" max="4098" width="78.5703125" style="63" customWidth="1"/>
    <col min="4099" max="4099" width="10.85546875" style="63"/>
    <col min="4100" max="4100" width="31.140625" style="63" customWidth="1"/>
    <col min="4101" max="4101" width="70.140625" style="63" customWidth="1"/>
    <col min="4102" max="4102" width="17.42578125" style="63" customWidth="1"/>
    <col min="4103" max="4104" width="21.85546875" style="63" customWidth="1"/>
    <col min="4105" max="4105" width="19.42578125" style="63" customWidth="1"/>
    <col min="4106" max="4106" width="42" style="63" customWidth="1"/>
    <col min="4107" max="4352" width="10.85546875" style="63"/>
    <col min="4353" max="4353" width="72" style="63" bestFit="1" customWidth="1"/>
    <col min="4354" max="4354" width="78.5703125" style="63" customWidth="1"/>
    <col min="4355" max="4355" width="10.85546875" style="63"/>
    <col min="4356" max="4356" width="31.140625" style="63" customWidth="1"/>
    <col min="4357" max="4357" width="70.140625" style="63" customWidth="1"/>
    <col min="4358" max="4358" width="17.42578125" style="63" customWidth="1"/>
    <col min="4359" max="4360" width="21.85546875" style="63" customWidth="1"/>
    <col min="4361" max="4361" width="19.42578125" style="63" customWidth="1"/>
    <col min="4362" max="4362" width="42" style="63" customWidth="1"/>
    <col min="4363" max="4608" width="10.85546875" style="63"/>
    <col min="4609" max="4609" width="72" style="63" bestFit="1" customWidth="1"/>
    <col min="4610" max="4610" width="78.5703125" style="63" customWidth="1"/>
    <col min="4611" max="4611" width="10.85546875" style="63"/>
    <col min="4612" max="4612" width="31.140625" style="63" customWidth="1"/>
    <col min="4613" max="4613" width="70.140625" style="63" customWidth="1"/>
    <col min="4614" max="4614" width="17.42578125" style="63" customWidth="1"/>
    <col min="4615" max="4616" width="21.85546875" style="63" customWidth="1"/>
    <col min="4617" max="4617" width="19.42578125" style="63" customWidth="1"/>
    <col min="4618" max="4618" width="42" style="63" customWidth="1"/>
    <col min="4619" max="4864" width="10.85546875" style="63"/>
    <col min="4865" max="4865" width="72" style="63" bestFit="1" customWidth="1"/>
    <col min="4866" max="4866" width="78.5703125" style="63" customWidth="1"/>
    <col min="4867" max="4867" width="10.85546875" style="63"/>
    <col min="4868" max="4868" width="31.140625" style="63" customWidth="1"/>
    <col min="4869" max="4869" width="70.140625" style="63" customWidth="1"/>
    <col min="4870" max="4870" width="17.42578125" style="63" customWidth="1"/>
    <col min="4871" max="4872" width="21.85546875" style="63" customWidth="1"/>
    <col min="4873" max="4873" width="19.42578125" style="63" customWidth="1"/>
    <col min="4874" max="4874" width="42" style="63" customWidth="1"/>
    <col min="4875" max="5120" width="10.85546875" style="63"/>
    <col min="5121" max="5121" width="72" style="63" bestFit="1" customWidth="1"/>
    <col min="5122" max="5122" width="78.5703125" style="63" customWidth="1"/>
    <col min="5123" max="5123" width="10.85546875" style="63"/>
    <col min="5124" max="5124" width="31.140625" style="63" customWidth="1"/>
    <col min="5125" max="5125" width="70.140625" style="63" customWidth="1"/>
    <col min="5126" max="5126" width="17.42578125" style="63" customWidth="1"/>
    <col min="5127" max="5128" width="21.85546875" style="63" customWidth="1"/>
    <col min="5129" max="5129" width="19.42578125" style="63" customWidth="1"/>
    <col min="5130" max="5130" width="42" style="63" customWidth="1"/>
    <col min="5131" max="5376" width="10.85546875" style="63"/>
    <col min="5377" max="5377" width="72" style="63" bestFit="1" customWidth="1"/>
    <col min="5378" max="5378" width="78.5703125" style="63" customWidth="1"/>
    <col min="5379" max="5379" width="10.85546875" style="63"/>
    <col min="5380" max="5380" width="31.140625" style="63" customWidth="1"/>
    <col min="5381" max="5381" width="70.140625" style="63" customWidth="1"/>
    <col min="5382" max="5382" width="17.42578125" style="63" customWidth="1"/>
    <col min="5383" max="5384" width="21.85546875" style="63" customWidth="1"/>
    <col min="5385" max="5385" width="19.42578125" style="63" customWidth="1"/>
    <col min="5386" max="5386" width="42" style="63" customWidth="1"/>
    <col min="5387" max="5632" width="10.85546875" style="63"/>
    <col min="5633" max="5633" width="72" style="63" bestFit="1" customWidth="1"/>
    <col min="5634" max="5634" width="78.5703125" style="63" customWidth="1"/>
    <col min="5635" max="5635" width="10.85546875" style="63"/>
    <col min="5636" max="5636" width="31.140625" style="63" customWidth="1"/>
    <col min="5637" max="5637" width="70.140625" style="63" customWidth="1"/>
    <col min="5638" max="5638" width="17.42578125" style="63" customWidth="1"/>
    <col min="5639" max="5640" width="21.85546875" style="63" customWidth="1"/>
    <col min="5641" max="5641" width="19.42578125" style="63" customWidth="1"/>
    <col min="5642" max="5642" width="42" style="63" customWidth="1"/>
    <col min="5643" max="5888" width="10.85546875" style="63"/>
    <col min="5889" max="5889" width="72" style="63" bestFit="1" customWidth="1"/>
    <col min="5890" max="5890" width="78.5703125" style="63" customWidth="1"/>
    <col min="5891" max="5891" width="10.85546875" style="63"/>
    <col min="5892" max="5892" width="31.140625" style="63" customWidth="1"/>
    <col min="5893" max="5893" width="70.140625" style="63" customWidth="1"/>
    <col min="5894" max="5894" width="17.42578125" style="63" customWidth="1"/>
    <col min="5895" max="5896" width="21.85546875" style="63" customWidth="1"/>
    <col min="5897" max="5897" width="19.42578125" style="63" customWidth="1"/>
    <col min="5898" max="5898" width="42" style="63" customWidth="1"/>
    <col min="5899" max="6144" width="10.85546875" style="63"/>
    <col min="6145" max="6145" width="72" style="63" bestFit="1" customWidth="1"/>
    <col min="6146" max="6146" width="78.5703125" style="63" customWidth="1"/>
    <col min="6147" max="6147" width="10.85546875" style="63"/>
    <col min="6148" max="6148" width="31.140625" style="63" customWidth="1"/>
    <col min="6149" max="6149" width="70.140625" style="63" customWidth="1"/>
    <col min="6150" max="6150" width="17.42578125" style="63" customWidth="1"/>
    <col min="6151" max="6152" width="21.85546875" style="63" customWidth="1"/>
    <col min="6153" max="6153" width="19.42578125" style="63" customWidth="1"/>
    <col min="6154" max="6154" width="42" style="63" customWidth="1"/>
    <col min="6155" max="6400" width="10.85546875" style="63"/>
    <col min="6401" max="6401" width="72" style="63" bestFit="1" customWidth="1"/>
    <col min="6402" max="6402" width="78.5703125" style="63" customWidth="1"/>
    <col min="6403" max="6403" width="10.85546875" style="63"/>
    <col min="6404" max="6404" width="31.140625" style="63" customWidth="1"/>
    <col min="6405" max="6405" width="70.140625" style="63" customWidth="1"/>
    <col min="6406" max="6406" width="17.42578125" style="63" customWidth="1"/>
    <col min="6407" max="6408" width="21.85546875" style="63" customWidth="1"/>
    <col min="6409" max="6409" width="19.42578125" style="63" customWidth="1"/>
    <col min="6410" max="6410" width="42" style="63" customWidth="1"/>
    <col min="6411" max="6656" width="10.85546875" style="63"/>
    <col min="6657" max="6657" width="72" style="63" bestFit="1" customWidth="1"/>
    <col min="6658" max="6658" width="78.5703125" style="63" customWidth="1"/>
    <col min="6659" max="6659" width="10.85546875" style="63"/>
    <col min="6660" max="6660" width="31.140625" style="63" customWidth="1"/>
    <col min="6661" max="6661" width="70.140625" style="63" customWidth="1"/>
    <col min="6662" max="6662" width="17.42578125" style="63" customWidth="1"/>
    <col min="6663" max="6664" width="21.85546875" style="63" customWidth="1"/>
    <col min="6665" max="6665" width="19.42578125" style="63" customWidth="1"/>
    <col min="6666" max="6666" width="42" style="63" customWidth="1"/>
    <col min="6667" max="6912" width="10.85546875" style="63"/>
    <col min="6913" max="6913" width="72" style="63" bestFit="1" customWidth="1"/>
    <col min="6914" max="6914" width="78.5703125" style="63" customWidth="1"/>
    <col min="6915" max="6915" width="10.85546875" style="63"/>
    <col min="6916" max="6916" width="31.140625" style="63" customWidth="1"/>
    <col min="6917" max="6917" width="70.140625" style="63" customWidth="1"/>
    <col min="6918" max="6918" width="17.42578125" style="63" customWidth="1"/>
    <col min="6919" max="6920" width="21.85546875" style="63" customWidth="1"/>
    <col min="6921" max="6921" width="19.42578125" style="63" customWidth="1"/>
    <col min="6922" max="6922" width="42" style="63" customWidth="1"/>
    <col min="6923" max="7168" width="10.85546875" style="63"/>
    <col min="7169" max="7169" width="72" style="63" bestFit="1" customWidth="1"/>
    <col min="7170" max="7170" width="78.5703125" style="63" customWidth="1"/>
    <col min="7171" max="7171" width="10.85546875" style="63"/>
    <col min="7172" max="7172" width="31.140625" style="63" customWidth="1"/>
    <col min="7173" max="7173" width="70.140625" style="63" customWidth="1"/>
    <col min="7174" max="7174" width="17.42578125" style="63" customWidth="1"/>
    <col min="7175" max="7176" width="21.85546875" style="63" customWidth="1"/>
    <col min="7177" max="7177" width="19.42578125" style="63" customWidth="1"/>
    <col min="7178" max="7178" width="42" style="63" customWidth="1"/>
    <col min="7179" max="7424" width="10.85546875" style="63"/>
    <col min="7425" max="7425" width="72" style="63" bestFit="1" customWidth="1"/>
    <col min="7426" max="7426" width="78.5703125" style="63" customWidth="1"/>
    <col min="7427" max="7427" width="10.85546875" style="63"/>
    <col min="7428" max="7428" width="31.140625" style="63" customWidth="1"/>
    <col min="7429" max="7429" width="70.140625" style="63" customWidth="1"/>
    <col min="7430" max="7430" width="17.42578125" style="63" customWidth="1"/>
    <col min="7431" max="7432" width="21.85546875" style="63" customWidth="1"/>
    <col min="7433" max="7433" width="19.42578125" style="63" customWidth="1"/>
    <col min="7434" max="7434" width="42" style="63" customWidth="1"/>
    <col min="7435" max="7680" width="10.85546875" style="63"/>
    <col min="7681" max="7681" width="72" style="63" bestFit="1" customWidth="1"/>
    <col min="7682" max="7682" width="78.5703125" style="63" customWidth="1"/>
    <col min="7683" max="7683" width="10.85546875" style="63"/>
    <col min="7684" max="7684" width="31.140625" style="63" customWidth="1"/>
    <col min="7685" max="7685" width="70.140625" style="63" customWidth="1"/>
    <col min="7686" max="7686" width="17.42578125" style="63" customWidth="1"/>
    <col min="7687" max="7688" width="21.85546875" style="63" customWidth="1"/>
    <col min="7689" max="7689" width="19.42578125" style="63" customWidth="1"/>
    <col min="7690" max="7690" width="42" style="63" customWidth="1"/>
    <col min="7691" max="7936" width="10.85546875" style="63"/>
    <col min="7937" max="7937" width="72" style="63" bestFit="1" customWidth="1"/>
    <col min="7938" max="7938" width="78.5703125" style="63" customWidth="1"/>
    <col min="7939" max="7939" width="10.85546875" style="63"/>
    <col min="7940" max="7940" width="31.140625" style="63" customWidth="1"/>
    <col min="7941" max="7941" width="70.140625" style="63" customWidth="1"/>
    <col min="7942" max="7942" width="17.42578125" style="63" customWidth="1"/>
    <col min="7943" max="7944" width="21.85546875" style="63" customWidth="1"/>
    <col min="7945" max="7945" width="19.42578125" style="63" customWidth="1"/>
    <col min="7946" max="7946" width="42" style="63" customWidth="1"/>
    <col min="7947" max="8192" width="10.85546875" style="63"/>
    <col min="8193" max="8193" width="72" style="63" bestFit="1" customWidth="1"/>
    <col min="8194" max="8194" width="78.5703125" style="63" customWidth="1"/>
    <col min="8195" max="8195" width="10.85546875" style="63"/>
    <col min="8196" max="8196" width="31.140625" style="63" customWidth="1"/>
    <col min="8197" max="8197" width="70.140625" style="63" customWidth="1"/>
    <col min="8198" max="8198" width="17.42578125" style="63" customWidth="1"/>
    <col min="8199" max="8200" width="21.85546875" style="63" customWidth="1"/>
    <col min="8201" max="8201" width="19.42578125" style="63" customWidth="1"/>
    <col min="8202" max="8202" width="42" style="63" customWidth="1"/>
    <col min="8203" max="8448" width="10.85546875" style="63"/>
    <col min="8449" max="8449" width="72" style="63" bestFit="1" customWidth="1"/>
    <col min="8450" max="8450" width="78.5703125" style="63" customWidth="1"/>
    <col min="8451" max="8451" width="10.85546875" style="63"/>
    <col min="8452" max="8452" width="31.140625" style="63" customWidth="1"/>
    <col min="8453" max="8453" width="70.140625" style="63" customWidth="1"/>
    <col min="8454" max="8454" width="17.42578125" style="63" customWidth="1"/>
    <col min="8455" max="8456" width="21.85546875" style="63" customWidth="1"/>
    <col min="8457" max="8457" width="19.42578125" style="63" customWidth="1"/>
    <col min="8458" max="8458" width="42" style="63" customWidth="1"/>
    <col min="8459" max="8704" width="10.85546875" style="63"/>
    <col min="8705" max="8705" width="72" style="63" bestFit="1" customWidth="1"/>
    <col min="8706" max="8706" width="78.5703125" style="63" customWidth="1"/>
    <col min="8707" max="8707" width="10.85546875" style="63"/>
    <col min="8708" max="8708" width="31.140625" style="63" customWidth="1"/>
    <col min="8709" max="8709" width="70.140625" style="63" customWidth="1"/>
    <col min="8710" max="8710" width="17.42578125" style="63" customWidth="1"/>
    <col min="8711" max="8712" width="21.85546875" style="63" customWidth="1"/>
    <col min="8713" max="8713" width="19.42578125" style="63" customWidth="1"/>
    <col min="8714" max="8714" width="42" style="63" customWidth="1"/>
    <col min="8715" max="8960" width="10.85546875" style="63"/>
    <col min="8961" max="8961" width="72" style="63" bestFit="1" customWidth="1"/>
    <col min="8962" max="8962" width="78.5703125" style="63" customWidth="1"/>
    <col min="8963" max="8963" width="10.85546875" style="63"/>
    <col min="8964" max="8964" width="31.140625" style="63" customWidth="1"/>
    <col min="8965" max="8965" width="70.140625" style="63" customWidth="1"/>
    <col min="8966" max="8966" width="17.42578125" style="63" customWidth="1"/>
    <col min="8967" max="8968" width="21.85546875" style="63" customWidth="1"/>
    <col min="8969" max="8969" width="19.42578125" style="63" customWidth="1"/>
    <col min="8970" max="8970" width="42" style="63" customWidth="1"/>
    <col min="8971" max="9216" width="10.85546875" style="63"/>
    <col min="9217" max="9217" width="72" style="63" bestFit="1" customWidth="1"/>
    <col min="9218" max="9218" width="78.5703125" style="63" customWidth="1"/>
    <col min="9219" max="9219" width="10.85546875" style="63"/>
    <col min="9220" max="9220" width="31.140625" style="63" customWidth="1"/>
    <col min="9221" max="9221" width="70.140625" style="63" customWidth="1"/>
    <col min="9222" max="9222" width="17.42578125" style="63" customWidth="1"/>
    <col min="9223" max="9224" width="21.85546875" style="63" customWidth="1"/>
    <col min="9225" max="9225" width="19.42578125" style="63" customWidth="1"/>
    <col min="9226" max="9226" width="42" style="63" customWidth="1"/>
    <col min="9227" max="9472" width="10.85546875" style="63"/>
    <col min="9473" max="9473" width="72" style="63" bestFit="1" customWidth="1"/>
    <col min="9474" max="9474" width="78.5703125" style="63" customWidth="1"/>
    <col min="9475" max="9475" width="10.85546875" style="63"/>
    <col min="9476" max="9476" width="31.140625" style="63" customWidth="1"/>
    <col min="9477" max="9477" width="70.140625" style="63" customWidth="1"/>
    <col min="9478" max="9478" width="17.42578125" style="63" customWidth="1"/>
    <col min="9479" max="9480" width="21.85546875" style="63" customWidth="1"/>
    <col min="9481" max="9481" width="19.42578125" style="63" customWidth="1"/>
    <col min="9482" max="9482" width="42" style="63" customWidth="1"/>
    <col min="9483" max="9728" width="10.85546875" style="63"/>
    <col min="9729" max="9729" width="72" style="63" bestFit="1" customWidth="1"/>
    <col min="9730" max="9730" width="78.5703125" style="63" customWidth="1"/>
    <col min="9731" max="9731" width="10.85546875" style="63"/>
    <col min="9732" max="9732" width="31.140625" style="63" customWidth="1"/>
    <col min="9733" max="9733" width="70.140625" style="63" customWidth="1"/>
    <col min="9734" max="9734" width="17.42578125" style="63" customWidth="1"/>
    <col min="9735" max="9736" width="21.85546875" style="63" customWidth="1"/>
    <col min="9737" max="9737" width="19.42578125" style="63" customWidth="1"/>
    <col min="9738" max="9738" width="42" style="63" customWidth="1"/>
    <col min="9739" max="9984" width="10.85546875" style="63"/>
    <col min="9985" max="9985" width="72" style="63" bestFit="1" customWidth="1"/>
    <col min="9986" max="9986" width="78.5703125" style="63" customWidth="1"/>
    <col min="9987" max="9987" width="10.85546875" style="63"/>
    <col min="9988" max="9988" width="31.140625" style="63" customWidth="1"/>
    <col min="9989" max="9989" width="70.140625" style="63" customWidth="1"/>
    <col min="9990" max="9990" width="17.42578125" style="63" customWidth="1"/>
    <col min="9991" max="9992" width="21.85546875" style="63" customWidth="1"/>
    <col min="9993" max="9993" width="19.42578125" style="63" customWidth="1"/>
    <col min="9994" max="9994" width="42" style="63" customWidth="1"/>
    <col min="9995" max="10240" width="10.85546875" style="63"/>
    <col min="10241" max="10241" width="72" style="63" bestFit="1" customWidth="1"/>
    <col min="10242" max="10242" width="78.5703125" style="63" customWidth="1"/>
    <col min="10243" max="10243" width="10.85546875" style="63"/>
    <col min="10244" max="10244" width="31.140625" style="63" customWidth="1"/>
    <col min="10245" max="10245" width="70.140625" style="63" customWidth="1"/>
    <col min="10246" max="10246" width="17.42578125" style="63" customWidth="1"/>
    <col min="10247" max="10248" width="21.85546875" style="63" customWidth="1"/>
    <col min="10249" max="10249" width="19.42578125" style="63" customWidth="1"/>
    <col min="10250" max="10250" width="42" style="63" customWidth="1"/>
    <col min="10251" max="10496" width="10.85546875" style="63"/>
    <col min="10497" max="10497" width="72" style="63" bestFit="1" customWidth="1"/>
    <col min="10498" max="10498" width="78.5703125" style="63" customWidth="1"/>
    <col min="10499" max="10499" width="10.85546875" style="63"/>
    <col min="10500" max="10500" width="31.140625" style="63" customWidth="1"/>
    <col min="10501" max="10501" width="70.140625" style="63" customWidth="1"/>
    <col min="10502" max="10502" width="17.42578125" style="63" customWidth="1"/>
    <col min="10503" max="10504" width="21.85546875" style="63" customWidth="1"/>
    <col min="10505" max="10505" width="19.42578125" style="63" customWidth="1"/>
    <col min="10506" max="10506" width="42" style="63" customWidth="1"/>
    <col min="10507" max="10752" width="10.85546875" style="63"/>
    <col min="10753" max="10753" width="72" style="63" bestFit="1" customWidth="1"/>
    <col min="10754" max="10754" width="78.5703125" style="63" customWidth="1"/>
    <col min="10755" max="10755" width="10.85546875" style="63"/>
    <col min="10756" max="10756" width="31.140625" style="63" customWidth="1"/>
    <col min="10757" max="10757" width="70.140625" style="63" customWidth="1"/>
    <col min="10758" max="10758" width="17.42578125" style="63" customWidth="1"/>
    <col min="10759" max="10760" width="21.85546875" style="63" customWidth="1"/>
    <col min="10761" max="10761" width="19.42578125" style="63" customWidth="1"/>
    <col min="10762" max="10762" width="42" style="63" customWidth="1"/>
    <col min="10763" max="11008" width="10.85546875" style="63"/>
    <col min="11009" max="11009" width="72" style="63" bestFit="1" customWidth="1"/>
    <col min="11010" max="11010" width="78.5703125" style="63" customWidth="1"/>
    <col min="11011" max="11011" width="10.85546875" style="63"/>
    <col min="11012" max="11012" width="31.140625" style="63" customWidth="1"/>
    <col min="11013" max="11013" width="70.140625" style="63" customWidth="1"/>
    <col min="11014" max="11014" width="17.42578125" style="63" customWidth="1"/>
    <col min="11015" max="11016" width="21.85546875" style="63" customWidth="1"/>
    <col min="11017" max="11017" width="19.42578125" style="63" customWidth="1"/>
    <col min="11018" max="11018" width="42" style="63" customWidth="1"/>
    <col min="11019" max="11264" width="10.85546875" style="63"/>
    <col min="11265" max="11265" width="72" style="63" bestFit="1" customWidth="1"/>
    <col min="11266" max="11266" width="78.5703125" style="63" customWidth="1"/>
    <col min="11267" max="11267" width="10.85546875" style="63"/>
    <col min="11268" max="11268" width="31.140625" style="63" customWidth="1"/>
    <col min="11269" max="11269" width="70.140625" style="63" customWidth="1"/>
    <col min="11270" max="11270" width="17.42578125" style="63" customWidth="1"/>
    <col min="11271" max="11272" width="21.85546875" style="63" customWidth="1"/>
    <col min="11273" max="11273" width="19.42578125" style="63" customWidth="1"/>
    <col min="11274" max="11274" width="42" style="63" customWidth="1"/>
    <col min="11275" max="11520" width="10.85546875" style="63"/>
    <col min="11521" max="11521" width="72" style="63" bestFit="1" customWidth="1"/>
    <col min="11522" max="11522" width="78.5703125" style="63" customWidth="1"/>
    <col min="11523" max="11523" width="10.85546875" style="63"/>
    <col min="11524" max="11524" width="31.140625" style="63" customWidth="1"/>
    <col min="11525" max="11525" width="70.140625" style="63" customWidth="1"/>
    <col min="11526" max="11526" width="17.42578125" style="63" customWidth="1"/>
    <col min="11527" max="11528" width="21.85546875" style="63" customWidth="1"/>
    <col min="11529" max="11529" width="19.42578125" style="63" customWidth="1"/>
    <col min="11530" max="11530" width="42" style="63" customWidth="1"/>
    <col min="11531" max="11776" width="10.85546875" style="63"/>
    <col min="11777" max="11777" width="72" style="63" bestFit="1" customWidth="1"/>
    <col min="11778" max="11778" width="78.5703125" style="63" customWidth="1"/>
    <col min="11779" max="11779" width="10.85546875" style="63"/>
    <col min="11780" max="11780" width="31.140625" style="63" customWidth="1"/>
    <col min="11781" max="11781" width="70.140625" style="63" customWidth="1"/>
    <col min="11782" max="11782" width="17.42578125" style="63" customWidth="1"/>
    <col min="11783" max="11784" width="21.85546875" style="63" customWidth="1"/>
    <col min="11785" max="11785" width="19.42578125" style="63" customWidth="1"/>
    <col min="11786" max="11786" width="42" style="63" customWidth="1"/>
    <col min="11787" max="12032" width="10.85546875" style="63"/>
    <col min="12033" max="12033" width="72" style="63" bestFit="1" customWidth="1"/>
    <col min="12034" max="12034" width="78.5703125" style="63" customWidth="1"/>
    <col min="12035" max="12035" width="10.85546875" style="63"/>
    <col min="12036" max="12036" width="31.140625" style="63" customWidth="1"/>
    <col min="12037" max="12037" width="70.140625" style="63" customWidth="1"/>
    <col min="12038" max="12038" width="17.42578125" style="63" customWidth="1"/>
    <col min="12039" max="12040" width="21.85546875" style="63" customWidth="1"/>
    <col min="12041" max="12041" width="19.42578125" style="63" customWidth="1"/>
    <col min="12042" max="12042" width="42" style="63" customWidth="1"/>
    <col min="12043" max="12288" width="10.85546875" style="63"/>
    <col min="12289" max="12289" width="72" style="63" bestFit="1" customWidth="1"/>
    <col min="12290" max="12290" width="78.5703125" style="63" customWidth="1"/>
    <col min="12291" max="12291" width="10.85546875" style="63"/>
    <col min="12292" max="12292" width="31.140625" style="63" customWidth="1"/>
    <col min="12293" max="12293" width="70.140625" style="63" customWidth="1"/>
    <col min="12294" max="12294" width="17.42578125" style="63" customWidth="1"/>
    <col min="12295" max="12296" width="21.85546875" style="63" customWidth="1"/>
    <col min="12297" max="12297" width="19.42578125" style="63" customWidth="1"/>
    <col min="12298" max="12298" width="42" style="63" customWidth="1"/>
    <col min="12299" max="12544" width="10.85546875" style="63"/>
    <col min="12545" max="12545" width="72" style="63" bestFit="1" customWidth="1"/>
    <col min="12546" max="12546" width="78.5703125" style="63" customWidth="1"/>
    <col min="12547" max="12547" width="10.85546875" style="63"/>
    <col min="12548" max="12548" width="31.140625" style="63" customWidth="1"/>
    <col min="12549" max="12549" width="70.140625" style="63" customWidth="1"/>
    <col min="12550" max="12550" width="17.42578125" style="63" customWidth="1"/>
    <col min="12551" max="12552" width="21.85546875" style="63" customWidth="1"/>
    <col min="12553" max="12553" width="19.42578125" style="63" customWidth="1"/>
    <col min="12554" max="12554" width="42" style="63" customWidth="1"/>
    <col min="12555" max="12800" width="10.85546875" style="63"/>
    <col min="12801" max="12801" width="72" style="63" bestFit="1" customWidth="1"/>
    <col min="12802" max="12802" width="78.5703125" style="63" customWidth="1"/>
    <col min="12803" max="12803" width="10.85546875" style="63"/>
    <col min="12804" max="12804" width="31.140625" style="63" customWidth="1"/>
    <col min="12805" max="12805" width="70.140625" style="63" customWidth="1"/>
    <col min="12806" max="12806" width="17.42578125" style="63" customWidth="1"/>
    <col min="12807" max="12808" width="21.85546875" style="63" customWidth="1"/>
    <col min="12809" max="12809" width="19.42578125" style="63" customWidth="1"/>
    <col min="12810" max="12810" width="42" style="63" customWidth="1"/>
    <col min="12811" max="13056" width="10.85546875" style="63"/>
    <col min="13057" max="13057" width="72" style="63" bestFit="1" customWidth="1"/>
    <col min="13058" max="13058" width="78.5703125" style="63" customWidth="1"/>
    <col min="13059" max="13059" width="10.85546875" style="63"/>
    <col min="13060" max="13060" width="31.140625" style="63" customWidth="1"/>
    <col min="13061" max="13061" width="70.140625" style="63" customWidth="1"/>
    <col min="13062" max="13062" width="17.42578125" style="63" customWidth="1"/>
    <col min="13063" max="13064" width="21.85546875" style="63" customWidth="1"/>
    <col min="13065" max="13065" width="19.42578125" style="63" customWidth="1"/>
    <col min="13066" max="13066" width="42" style="63" customWidth="1"/>
    <col min="13067" max="13312" width="10.85546875" style="63"/>
    <col min="13313" max="13313" width="72" style="63" bestFit="1" customWidth="1"/>
    <col min="13314" max="13314" width="78.5703125" style="63" customWidth="1"/>
    <col min="13315" max="13315" width="10.85546875" style="63"/>
    <col min="13316" max="13316" width="31.140625" style="63" customWidth="1"/>
    <col min="13317" max="13317" width="70.140625" style="63" customWidth="1"/>
    <col min="13318" max="13318" width="17.42578125" style="63" customWidth="1"/>
    <col min="13319" max="13320" width="21.85546875" style="63" customWidth="1"/>
    <col min="13321" max="13321" width="19.42578125" style="63" customWidth="1"/>
    <col min="13322" max="13322" width="42" style="63" customWidth="1"/>
    <col min="13323" max="13568" width="10.85546875" style="63"/>
    <col min="13569" max="13569" width="72" style="63" bestFit="1" customWidth="1"/>
    <col min="13570" max="13570" width="78.5703125" style="63" customWidth="1"/>
    <col min="13571" max="13571" width="10.85546875" style="63"/>
    <col min="13572" max="13572" width="31.140625" style="63" customWidth="1"/>
    <col min="13573" max="13573" width="70.140625" style="63" customWidth="1"/>
    <col min="13574" max="13574" width="17.42578125" style="63" customWidth="1"/>
    <col min="13575" max="13576" width="21.85546875" style="63" customWidth="1"/>
    <col min="13577" max="13577" width="19.42578125" style="63" customWidth="1"/>
    <col min="13578" max="13578" width="42" style="63" customWidth="1"/>
    <col min="13579" max="13824" width="10.85546875" style="63"/>
    <col min="13825" max="13825" width="72" style="63" bestFit="1" customWidth="1"/>
    <col min="13826" max="13826" width="78.5703125" style="63" customWidth="1"/>
    <col min="13827" max="13827" width="10.85546875" style="63"/>
    <col min="13828" max="13828" width="31.140625" style="63" customWidth="1"/>
    <col min="13829" max="13829" width="70.140625" style="63" customWidth="1"/>
    <col min="13830" max="13830" width="17.42578125" style="63" customWidth="1"/>
    <col min="13831" max="13832" width="21.85546875" style="63" customWidth="1"/>
    <col min="13833" max="13833" width="19.42578125" style="63" customWidth="1"/>
    <col min="13834" max="13834" width="42" style="63" customWidth="1"/>
    <col min="13835" max="14080" width="10.85546875" style="63"/>
    <col min="14081" max="14081" width="72" style="63" bestFit="1" customWidth="1"/>
    <col min="14082" max="14082" width="78.5703125" style="63" customWidth="1"/>
    <col min="14083" max="14083" width="10.85546875" style="63"/>
    <col min="14084" max="14084" width="31.140625" style="63" customWidth="1"/>
    <col min="14085" max="14085" width="70.140625" style="63" customWidth="1"/>
    <col min="14086" max="14086" width="17.42578125" style="63" customWidth="1"/>
    <col min="14087" max="14088" width="21.85546875" style="63" customWidth="1"/>
    <col min="14089" max="14089" width="19.42578125" style="63" customWidth="1"/>
    <col min="14090" max="14090" width="42" style="63" customWidth="1"/>
    <col min="14091" max="14336" width="10.85546875" style="63"/>
    <col min="14337" max="14337" width="72" style="63" bestFit="1" customWidth="1"/>
    <col min="14338" max="14338" width="78.5703125" style="63" customWidth="1"/>
    <col min="14339" max="14339" width="10.85546875" style="63"/>
    <col min="14340" max="14340" width="31.140625" style="63" customWidth="1"/>
    <col min="14341" max="14341" width="70.140625" style="63" customWidth="1"/>
    <col min="14342" max="14342" width="17.42578125" style="63" customWidth="1"/>
    <col min="14343" max="14344" width="21.85546875" style="63" customWidth="1"/>
    <col min="14345" max="14345" width="19.42578125" style="63" customWidth="1"/>
    <col min="14346" max="14346" width="42" style="63" customWidth="1"/>
    <col min="14347" max="14592" width="10.85546875" style="63"/>
    <col min="14593" max="14593" width="72" style="63" bestFit="1" customWidth="1"/>
    <col min="14594" max="14594" width="78.5703125" style="63" customWidth="1"/>
    <col min="14595" max="14595" width="10.85546875" style="63"/>
    <col min="14596" max="14596" width="31.140625" style="63" customWidth="1"/>
    <col min="14597" max="14597" width="70.140625" style="63" customWidth="1"/>
    <col min="14598" max="14598" width="17.42578125" style="63" customWidth="1"/>
    <col min="14599" max="14600" width="21.85546875" style="63" customWidth="1"/>
    <col min="14601" max="14601" width="19.42578125" style="63" customWidth="1"/>
    <col min="14602" max="14602" width="42" style="63" customWidth="1"/>
    <col min="14603" max="14848" width="10.85546875" style="63"/>
    <col min="14849" max="14849" width="72" style="63" bestFit="1" customWidth="1"/>
    <col min="14850" max="14850" width="78.5703125" style="63" customWidth="1"/>
    <col min="14851" max="14851" width="10.85546875" style="63"/>
    <col min="14852" max="14852" width="31.140625" style="63" customWidth="1"/>
    <col min="14853" max="14853" width="70.140625" style="63" customWidth="1"/>
    <col min="14854" max="14854" width="17.42578125" style="63" customWidth="1"/>
    <col min="14855" max="14856" width="21.85546875" style="63" customWidth="1"/>
    <col min="14857" max="14857" width="19.42578125" style="63" customWidth="1"/>
    <col min="14858" max="14858" width="42" style="63" customWidth="1"/>
    <col min="14859" max="15104" width="10.85546875" style="63"/>
    <col min="15105" max="15105" width="72" style="63" bestFit="1" customWidth="1"/>
    <col min="15106" max="15106" width="78.5703125" style="63" customWidth="1"/>
    <col min="15107" max="15107" width="10.85546875" style="63"/>
    <col min="15108" max="15108" width="31.140625" style="63" customWidth="1"/>
    <col min="15109" max="15109" width="70.140625" style="63" customWidth="1"/>
    <col min="15110" max="15110" width="17.42578125" style="63" customWidth="1"/>
    <col min="15111" max="15112" width="21.85546875" style="63" customWidth="1"/>
    <col min="15113" max="15113" width="19.42578125" style="63" customWidth="1"/>
    <col min="15114" max="15114" width="42" style="63" customWidth="1"/>
    <col min="15115" max="15360" width="10.85546875" style="63"/>
    <col min="15361" max="15361" width="72" style="63" bestFit="1" customWidth="1"/>
    <col min="15362" max="15362" width="78.5703125" style="63" customWidth="1"/>
    <col min="15363" max="15363" width="10.85546875" style="63"/>
    <col min="15364" max="15364" width="31.140625" style="63" customWidth="1"/>
    <col min="15365" max="15365" width="70.140625" style="63" customWidth="1"/>
    <col min="15366" max="15366" width="17.42578125" style="63" customWidth="1"/>
    <col min="15367" max="15368" width="21.85546875" style="63" customWidth="1"/>
    <col min="15369" max="15369" width="19.42578125" style="63" customWidth="1"/>
    <col min="15370" max="15370" width="42" style="63" customWidth="1"/>
    <col min="15371" max="15616" width="10.85546875" style="63"/>
    <col min="15617" max="15617" width="72" style="63" bestFit="1" customWidth="1"/>
    <col min="15618" max="15618" width="78.5703125" style="63" customWidth="1"/>
    <col min="15619" max="15619" width="10.85546875" style="63"/>
    <col min="15620" max="15620" width="31.140625" style="63" customWidth="1"/>
    <col min="15621" max="15621" width="70.140625" style="63" customWidth="1"/>
    <col min="15622" max="15622" width="17.42578125" style="63" customWidth="1"/>
    <col min="15623" max="15624" width="21.85546875" style="63" customWidth="1"/>
    <col min="15625" max="15625" width="19.42578125" style="63" customWidth="1"/>
    <col min="15626" max="15626" width="42" style="63" customWidth="1"/>
    <col min="15627" max="15872" width="10.85546875" style="63"/>
    <col min="15873" max="15873" width="72" style="63" bestFit="1" customWidth="1"/>
    <col min="15874" max="15874" width="78.5703125" style="63" customWidth="1"/>
    <col min="15875" max="15875" width="10.85546875" style="63"/>
    <col min="15876" max="15876" width="31.140625" style="63" customWidth="1"/>
    <col min="15877" max="15877" width="70.140625" style="63" customWidth="1"/>
    <col min="15878" max="15878" width="17.42578125" style="63" customWidth="1"/>
    <col min="15879" max="15880" width="21.85546875" style="63" customWidth="1"/>
    <col min="15881" max="15881" width="19.42578125" style="63" customWidth="1"/>
    <col min="15882" max="15882" width="42" style="63" customWidth="1"/>
    <col min="15883" max="16128" width="10.85546875" style="63"/>
    <col min="16129" max="16129" width="72" style="63" bestFit="1" customWidth="1"/>
    <col min="16130" max="16130" width="78.5703125" style="63" customWidth="1"/>
    <col min="16131" max="16131" width="10.85546875" style="63"/>
    <col min="16132" max="16132" width="31.140625" style="63" customWidth="1"/>
    <col min="16133" max="16133" width="70.140625" style="63" customWidth="1"/>
    <col min="16134" max="16134" width="17.42578125" style="63" customWidth="1"/>
    <col min="16135" max="16136" width="21.85546875" style="63" customWidth="1"/>
    <col min="16137" max="16137" width="19.42578125" style="63" customWidth="1"/>
    <col min="16138" max="16138" width="42" style="63" customWidth="1"/>
    <col min="16139" max="16384" width="10.85546875" style="63"/>
  </cols>
  <sheetData>
    <row r="1" spans="1:2" ht="25.5" customHeight="1" x14ac:dyDescent="0.25">
      <c r="A1" s="558" t="s">
        <v>0</v>
      </c>
      <c r="B1" s="559"/>
    </row>
    <row r="2" spans="1:2" ht="25.5" customHeight="1" x14ac:dyDescent="0.25">
      <c r="A2" s="560" t="s">
        <v>1</v>
      </c>
      <c r="B2" s="561"/>
    </row>
    <row r="3" spans="1:2" ht="15" x14ac:dyDescent="0.25">
      <c r="A3" s="64" t="s">
        <v>2</v>
      </c>
      <c r="B3" s="65" t="s">
        <v>3</v>
      </c>
    </row>
    <row r="4" spans="1:2" ht="15" x14ac:dyDescent="0.25">
      <c r="A4" s="66" t="s">
        <v>4</v>
      </c>
      <c r="B4" s="67" t="s">
        <v>5</v>
      </c>
    </row>
    <row r="5" spans="1:2" ht="15" x14ac:dyDescent="0.25">
      <c r="A5" s="66" t="s">
        <v>6</v>
      </c>
      <c r="B5" s="67" t="s">
        <v>7</v>
      </c>
    </row>
    <row r="6" spans="1:2" ht="103.5" x14ac:dyDescent="0.25">
      <c r="A6" s="66" t="s">
        <v>8</v>
      </c>
      <c r="B6" s="68" t="s">
        <v>9</v>
      </c>
    </row>
    <row r="7" spans="1:2" ht="40.5" customHeight="1" x14ac:dyDescent="0.25">
      <c r="A7" s="66" t="s">
        <v>10</v>
      </c>
      <c r="B7" s="69" t="s">
        <v>11</v>
      </c>
    </row>
    <row r="8" spans="1:2" ht="29.25" customHeight="1" x14ac:dyDescent="0.25">
      <c r="A8" s="66" t="s">
        <v>12</v>
      </c>
      <c r="B8" s="69" t="s">
        <v>13</v>
      </c>
    </row>
    <row r="9" spans="1:2" ht="38.25" customHeight="1" x14ac:dyDescent="0.25">
      <c r="A9" s="66" t="s">
        <v>14</v>
      </c>
      <c r="B9" s="69" t="s">
        <v>13</v>
      </c>
    </row>
    <row r="10" spans="1:2" ht="28.5" x14ac:dyDescent="0.25">
      <c r="A10" s="66" t="s">
        <v>15</v>
      </c>
      <c r="B10" s="70" t="s">
        <v>16</v>
      </c>
    </row>
    <row r="11" spans="1:2" ht="15" x14ac:dyDescent="0.25">
      <c r="A11" s="66" t="s">
        <v>17</v>
      </c>
      <c r="B11" s="70" t="s">
        <v>18</v>
      </c>
    </row>
    <row r="12" spans="1:2" ht="8.25" customHeight="1" x14ac:dyDescent="0.25">
      <c r="A12" s="71"/>
      <c r="B12" s="72"/>
    </row>
    <row r="13" spans="1:2" ht="15" x14ac:dyDescent="0.25">
      <c r="A13" s="66" t="s">
        <v>19</v>
      </c>
      <c r="B13" s="73" t="s">
        <v>20</v>
      </c>
    </row>
    <row r="14" spans="1:2" ht="15" x14ac:dyDescent="0.25">
      <c r="A14" s="66" t="s">
        <v>21</v>
      </c>
      <c r="B14" s="73" t="s">
        <v>22</v>
      </c>
    </row>
    <row r="15" spans="1:2" ht="28.5" x14ac:dyDescent="0.25">
      <c r="A15" s="66" t="s">
        <v>23</v>
      </c>
      <c r="B15" s="73" t="s">
        <v>24</v>
      </c>
    </row>
    <row r="16" spans="1:2" ht="15" x14ac:dyDescent="0.25">
      <c r="A16" s="66" t="s">
        <v>25</v>
      </c>
      <c r="B16" s="73" t="s">
        <v>26</v>
      </c>
    </row>
    <row r="17" spans="1:2" ht="8.25" customHeight="1" x14ac:dyDescent="0.25">
      <c r="A17" s="71"/>
      <c r="B17" s="74"/>
    </row>
    <row r="18" spans="1:2" ht="42.75" x14ac:dyDescent="0.25">
      <c r="A18" s="66" t="s">
        <v>27</v>
      </c>
      <c r="B18" s="73" t="s">
        <v>28</v>
      </c>
    </row>
    <row r="19" spans="1:2" ht="28.5" x14ac:dyDescent="0.25">
      <c r="A19" s="66" t="s">
        <v>29</v>
      </c>
      <c r="B19" s="73" t="s">
        <v>30</v>
      </c>
    </row>
    <row r="20" spans="1:2" ht="42.75" x14ac:dyDescent="0.25">
      <c r="A20" s="66" t="s">
        <v>31</v>
      </c>
      <c r="B20" s="73" t="s">
        <v>32</v>
      </c>
    </row>
    <row r="21" spans="1:2" ht="28.5" x14ac:dyDescent="0.25">
      <c r="A21" s="66" t="s">
        <v>25</v>
      </c>
      <c r="B21" s="73" t="s">
        <v>33</v>
      </c>
    </row>
    <row r="22" spans="1:2" ht="8.25" customHeight="1" x14ac:dyDescent="0.25">
      <c r="A22" s="71"/>
      <c r="B22" s="74"/>
    </row>
    <row r="23" spans="1:2" ht="31.5" customHeight="1" x14ac:dyDescent="0.25">
      <c r="A23" s="66" t="s">
        <v>34</v>
      </c>
      <c r="B23" s="73" t="s">
        <v>35</v>
      </c>
    </row>
    <row r="24" spans="1:2" ht="15" x14ac:dyDescent="0.25">
      <c r="A24" s="66" t="s">
        <v>36</v>
      </c>
      <c r="B24" s="73" t="s">
        <v>37</v>
      </c>
    </row>
    <row r="25" spans="1:2" ht="19.899999999999999" customHeight="1" x14ac:dyDescent="0.25">
      <c r="A25" s="66" t="s">
        <v>38</v>
      </c>
      <c r="B25" s="73" t="s">
        <v>39</v>
      </c>
    </row>
    <row r="26" spans="1:2" ht="28.9" customHeight="1" x14ac:dyDescent="0.25">
      <c r="A26" s="66" t="s">
        <v>40</v>
      </c>
      <c r="B26" s="73" t="s">
        <v>41</v>
      </c>
    </row>
    <row r="27" spans="1:2" ht="20.45" customHeight="1" x14ac:dyDescent="0.25">
      <c r="A27" s="66" t="s">
        <v>42</v>
      </c>
      <c r="B27" s="73" t="s">
        <v>43</v>
      </c>
    </row>
    <row r="28" spans="1:2" ht="8.25" customHeight="1" x14ac:dyDescent="0.25">
      <c r="A28" s="71"/>
      <c r="B28" s="74"/>
    </row>
    <row r="29" spans="1:2" ht="28.5" x14ac:dyDescent="0.25">
      <c r="A29" s="66" t="s">
        <v>44</v>
      </c>
      <c r="B29" s="73" t="s">
        <v>45</v>
      </c>
    </row>
    <row r="30" spans="1:2" ht="42.75" x14ac:dyDescent="0.25">
      <c r="A30" s="66" t="s">
        <v>46</v>
      </c>
      <c r="B30" s="73" t="s">
        <v>47</v>
      </c>
    </row>
    <row r="31" spans="1:2" ht="42.75" x14ac:dyDescent="0.25">
      <c r="A31" s="66" t="s">
        <v>48</v>
      </c>
      <c r="B31" s="73" t="s">
        <v>49</v>
      </c>
    </row>
    <row r="32" spans="1:2" ht="28.5" x14ac:dyDescent="0.25">
      <c r="A32" s="66" t="s">
        <v>50</v>
      </c>
      <c r="B32" s="73" t="s">
        <v>51</v>
      </c>
    </row>
    <row r="33" spans="1:2" ht="57" x14ac:dyDescent="0.25">
      <c r="A33" s="66" t="s">
        <v>52</v>
      </c>
      <c r="B33" s="73" t="s">
        <v>53</v>
      </c>
    </row>
    <row r="34" spans="1:2" ht="85.15" customHeight="1" x14ac:dyDescent="0.25">
      <c r="A34" s="75" t="s">
        <v>54</v>
      </c>
      <c r="B34" s="73" t="s">
        <v>55</v>
      </c>
    </row>
    <row r="35" spans="1:2" ht="81.599999999999994" customHeight="1" x14ac:dyDescent="0.25">
      <c r="A35" s="75" t="s">
        <v>56</v>
      </c>
      <c r="B35" s="73" t="s">
        <v>57</v>
      </c>
    </row>
    <row r="36" spans="1:2" ht="54" customHeight="1" x14ac:dyDescent="0.25">
      <c r="A36" s="75" t="s">
        <v>58</v>
      </c>
      <c r="B36" s="73" t="s">
        <v>59</v>
      </c>
    </row>
    <row r="37" spans="1:2" ht="8.25" customHeight="1" x14ac:dyDescent="0.25">
      <c r="A37" s="76"/>
      <c r="B37" s="74"/>
    </row>
    <row r="38" spans="1:2" ht="71.25" x14ac:dyDescent="0.25">
      <c r="A38" s="75" t="s">
        <v>60</v>
      </c>
      <c r="B38" s="73" t="s">
        <v>61</v>
      </c>
    </row>
    <row r="39" spans="1:2" ht="42.75" x14ac:dyDescent="0.25">
      <c r="A39" s="75" t="s">
        <v>62</v>
      </c>
      <c r="B39" s="73" t="s">
        <v>63</v>
      </c>
    </row>
    <row r="40" spans="1:2" ht="28.5" x14ac:dyDescent="0.25">
      <c r="A40" s="75" t="s">
        <v>64</v>
      </c>
      <c r="B40" s="73" t="s">
        <v>65</v>
      </c>
    </row>
    <row r="41" spans="1:2" ht="71.25" x14ac:dyDescent="0.25">
      <c r="A41" s="75" t="s">
        <v>66</v>
      </c>
      <c r="B41" s="73" t="s">
        <v>67</v>
      </c>
    </row>
    <row r="42" spans="1:2" ht="28.5" x14ac:dyDescent="0.25">
      <c r="A42" s="66" t="s">
        <v>68</v>
      </c>
      <c r="B42" s="73" t="s">
        <v>69</v>
      </c>
    </row>
    <row r="43" spans="1:2" ht="15" x14ac:dyDescent="0.25">
      <c r="A43" s="75"/>
      <c r="B43" s="77"/>
    </row>
    <row r="44" spans="1:2" ht="25.5" customHeight="1" x14ac:dyDescent="0.25">
      <c r="A44" s="560" t="s">
        <v>70</v>
      </c>
      <c r="B44" s="561"/>
    </row>
    <row r="45" spans="1:2" ht="15" x14ac:dyDescent="0.25">
      <c r="A45" s="64" t="s">
        <v>2</v>
      </c>
      <c r="B45" s="65" t="s">
        <v>3</v>
      </c>
    </row>
    <row r="46" spans="1:2" ht="15" x14ac:dyDescent="0.25">
      <c r="A46" s="66" t="s">
        <v>6</v>
      </c>
      <c r="B46" s="67" t="s">
        <v>7</v>
      </c>
    </row>
    <row r="47" spans="1:2" ht="103.5" x14ac:dyDescent="0.25">
      <c r="A47" s="66" t="s">
        <v>8</v>
      </c>
      <c r="B47" s="68" t="s">
        <v>9</v>
      </c>
    </row>
    <row r="48" spans="1:2" ht="15" x14ac:dyDescent="0.25">
      <c r="A48" s="66" t="s">
        <v>71</v>
      </c>
      <c r="B48" s="78" t="s">
        <v>72</v>
      </c>
    </row>
    <row r="49" spans="1:2" ht="37.5" customHeight="1" x14ac:dyDescent="0.25">
      <c r="A49" s="66" t="s">
        <v>73</v>
      </c>
      <c r="B49" s="78" t="s">
        <v>13</v>
      </c>
    </row>
    <row r="50" spans="1:2" ht="28.5" x14ac:dyDescent="0.25">
      <c r="A50" s="66" t="s">
        <v>74</v>
      </c>
      <c r="B50" s="78" t="s">
        <v>75</v>
      </c>
    </row>
    <row r="51" spans="1:2" ht="42.75" x14ac:dyDescent="0.25">
      <c r="A51" s="66" t="s">
        <v>76</v>
      </c>
      <c r="B51" s="79" t="s">
        <v>77</v>
      </c>
    </row>
    <row r="52" spans="1:2" ht="42.75" x14ac:dyDescent="0.25">
      <c r="A52" s="66" t="s">
        <v>78</v>
      </c>
      <c r="B52" s="79" t="s">
        <v>79</v>
      </c>
    </row>
    <row r="53" spans="1:2" ht="15" x14ac:dyDescent="0.25">
      <c r="A53" s="66" t="s">
        <v>80</v>
      </c>
      <c r="B53" s="79" t="s">
        <v>81</v>
      </c>
    </row>
    <row r="54" spans="1:2" ht="71.25" x14ac:dyDescent="0.25">
      <c r="A54" s="66" t="s">
        <v>82</v>
      </c>
      <c r="B54" s="79" t="s">
        <v>83</v>
      </c>
    </row>
    <row r="55" spans="1:2" ht="60" x14ac:dyDescent="0.25">
      <c r="A55" s="75" t="s">
        <v>84</v>
      </c>
      <c r="B55" s="79" t="s">
        <v>85</v>
      </c>
    </row>
    <row r="56" spans="1:2" ht="28.5" x14ac:dyDescent="0.25">
      <c r="A56" s="66" t="s">
        <v>86</v>
      </c>
      <c r="B56" s="79" t="s">
        <v>87</v>
      </c>
    </row>
    <row r="57" spans="1:2" ht="99.75" x14ac:dyDescent="0.25">
      <c r="A57" s="66" t="s">
        <v>88</v>
      </c>
      <c r="B57" s="79" t="s">
        <v>89</v>
      </c>
    </row>
    <row r="58" spans="1:2" ht="15" x14ac:dyDescent="0.25">
      <c r="A58" s="66" t="s">
        <v>90</v>
      </c>
      <c r="B58" s="79" t="s">
        <v>91</v>
      </c>
    </row>
    <row r="59" spans="1:2" ht="28.5" x14ac:dyDescent="0.25">
      <c r="A59" s="66" t="s">
        <v>92</v>
      </c>
      <c r="B59" s="79" t="s">
        <v>93</v>
      </c>
    </row>
    <row r="60" spans="1:2" ht="28.5" x14ac:dyDescent="0.25">
      <c r="A60" s="66" t="s">
        <v>94</v>
      </c>
      <c r="B60" s="79" t="s">
        <v>95</v>
      </c>
    </row>
    <row r="61" spans="1:2" ht="28.5" x14ac:dyDescent="0.25">
      <c r="A61" s="66" t="s">
        <v>96</v>
      </c>
      <c r="B61" s="79" t="s">
        <v>97</v>
      </c>
    </row>
    <row r="62" spans="1:2" ht="28.5" x14ac:dyDescent="0.25">
      <c r="A62" s="66" t="s">
        <v>98</v>
      </c>
      <c r="B62" s="79" t="s">
        <v>99</v>
      </c>
    </row>
    <row r="63" spans="1:2" ht="42.75" x14ac:dyDescent="0.25">
      <c r="A63" s="66" t="s">
        <v>100</v>
      </c>
      <c r="B63" s="79" t="s">
        <v>101</v>
      </c>
    </row>
    <row r="64" spans="1:2" ht="79.5" customHeight="1" x14ac:dyDescent="0.25">
      <c r="A64" s="66" t="s">
        <v>102</v>
      </c>
      <c r="B64" s="79" t="s">
        <v>103</v>
      </c>
    </row>
    <row r="65" spans="1:2" ht="114" x14ac:dyDescent="0.25">
      <c r="A65" s="66" t="s">
        <v>104</v>
      </c>
      <c r="B65" s="79" t="s">
        <v>105</v>
      </c>
    </row>
    <row r="66" spans="1:2" ht="28.5" x14ac:dyDescent="0.25">
      <c r="A66" s="66" t="s">
        <v>106</v>
      </c>
      <c r="B66" s="79" t="s">
        <v>107</v>
      </c>
    </row>
    <row r="67" spans="1:2" ht="171" x14ac:dyDescent="0.25">
      <c r="A67" s="66" t="s">
        <v>108</v>
      </c>
      <c r="B67" s="79" t="s">
        <v>109</v>
      </c>
    </row>
    <row r="68" spans="1:2" ht="28.5" x14ac:dyDescent="0.25">
      <c r="A68" s="66" t="s">
        <v>110</v>
      </c>
      <c r="B68" s="79" t="s">
        <v>111</v>
      </c>
    </row>
    <row r="69" spans="1:2" ht="30" x14ac:dyDescent="0.25">
      <c r="A69" s="75" t="s">
        <v>112</v>
      </c>
      <c r="B69" s="79" t="s">
        <v>113</v>
      </c>
    </row>
    <row r="70" spans="1:2" ht="25.5" customHeight="1" x14ac:dyDescent="0.25">
      <c r="A70" s="560" t="s">
        <v>114</v>
      </c>
      <c r="B70" s="561"/>
    </row>
    <row r="71" spans="1:2" ht="15" x14ac:dyDescent="0.25">
      <c r="A71" s="562" t="s">
        <v>115</v>
      </c>
      <c r="B71" s="563"/>
    </row>
    <row r="72" spans="1:2" ht="72" customHeight="1" x14ac:dyDescent="0.25">
      <c r="A72" s="556" t="s">
        <v>116</v>
      </c>
      <c r="B72" s="557"/>
    </row>
    <row r="73" spans="1:2" ht="28.5" x14ac:dyDescent="0.25">
      <c r="A73" s="66" t="s">
        <v>117</v>
      </c>
      <c r="B73" s="79" t="s">
        <v>118</v>
      </c>
    </row>
    <row r="74" spans="1:2" ht="42.75" x14ac:dyDescent="0.25">
      <c r="A74" s="75" t="s">
        <v>119</v>
      </c>
      <c r="B74" s="79"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6377-2E43-4321-B50F-2F5F8E1E3A5F}">
  <sheetPr>
    <tabColor rgb="FFE674EC"/>
    <pageSetUpPr fitToPage="1"/>
  </sheetPr>
  <dimension ref="A1:AO96"/>
  <sheetViews>
    <sheetView showGridLines="0" view="pageBreakPreview" zoomScale="55" zoomScaleNormal="60" zoomScaleSheetLayoutView="55" workbookViewId="0">
      <selection activeCell="Y45" sqref="Y45:AE46"/>
    </sheetView>
  </sheetViews>
  <sheetFormatPr baseColWidth="10" defaultColWidth="10.85546875" defaultRowHeight="14.25" x14ac:dyDescent="0.25"/>
  <cols>
    <col min="1" max="1" width="38.42578125" style="125" customWidth="1"/>
    <col min="2" max="2" width="20.5703125" style="125" customWidth="1"/>
    <col min="3" max="14" width="20.7109375" style="125" customWidth="1"/>
    <col min="15" max="15" width="20.5703125" style="125" customWidth="1"/>
    <col min="16" max="16" width="32.42578125" style="125" customWidth="1"/>
    <col min="17" max="27" width="18.140625" style="125" customWidth="1"/>
    <col min="28" max="28" width="22.7109375" style="125" customWidth="1"/>
    <col min="29" max="29" width="19" style="125" customWidth="1"/>
    <col min="30" max="30" width="19.42578125" style="125" customWidth="1"/>
    <col min="31" max="31" width="20.5703125" style="125" customWidth="1"/>
    <col min="32" max="32" width="22.85546875" style="125" customWidth="1"/>
    <col min="33" max="33" width="18.42578125" style="125" bestFit="1" customWidth="1"/>
    <col min="34" max="34" width="8.42578125" style="125" customWidth="1"/>
    <col min="35" max="35" width="18.42578125" style="125" bestFit="1" customWidth="1"/>
    <col min="36" max="36" width="5.7109375" style="125" customWidth="1"/>
    <col min="37" max="37" width="18.42578125" style="125" bestFit="1" customWidth="1"/>
    <col min="38" max="38" width="4.7109375" style="125" customWidth="1"/>
    <col min="39" max="39" width="23" style="125" bestFit="1" customWidth="1"/>
    <col min="40" max="40" width="10.85546875" style="125"/>
    <col min="41" max="41" width="18.42578125" style="125" bestFit="1" customWidth="1"/>
    <col min="42" max="42" width="16.140625" style="125" customWidth="1"/>
    <col min="43" max="16384" width="10.85546875" style="125"/>
  </cols>
  <sheetData>
    <row r="1" spans="1:31" ht="32.25" customHeight="1" thickBot="1" x14ac:dyDescent="0.3">
      <c r="A1" s="601"/>
      <c r="B1" s="604" t="s">
        <v>121</v>
      </c>
      <c r="C1" s="605"/>
      <c r="D1" s="605"/>
      <c r="E1" s="605"/>
      <c r="F1" s="605"/>
      <c r="G1" s="605"/>
      <c r="H1" s="605"/>
      <c r="I1" s="605"/>
      <c r="J1" s="605"/>
      <c r="K1" s="605"/>
      <c r="L1" s="605"/>
      <c r="M1" s="605"/>
      <c r="N1" s="605"/>
      <c r="O1" s="605"/>
      <c r="P1" s="605"/>
      <c r="Q1" s="605"/>
      <c r="R1" s="605"/>
      <c r="S1" s="605"/>
      <c r="T1" s="605"/>
      <c r="U1" s="605"/>
      <c r="V1" s="605"/>
      <c r="W1" s="605"/>
      <c r="X1" s="605"/>
      <c r="Y1" s="605"/>
      <c r="Z1" s="605"/>
      <c r="AA1" s="606"/>
      <c r="AB1" s="607" t="s">
        <v>122</v>
      </c>
      <c r="AC1" s="608"/>
      <c r="AD1" s="608"/>
      <c r="AE1" s="609"/>
    </row>
    <row r="2" spans="1:31" ht="30.75" customHeight="1" thickBot="1" x14ac:dyDescent="0.3">
      <c r="A2" s="602"/>
      <c r="B2" s="604" t="s">
        <v>123</v>
      </c>
      <c r="C2" s="605"/>
      <c r="D2" s="605"/>
      <c r="E2" s="605"/>
      <c r="F2" s="605"/>
      <c r="G2" s="605"/>
      <c r="H2" s="605"/>
      <c r="I2" s="605"/>
      <c r="J2" s="605"/>
      <c r="K2" s="605"/>
      <c r="L2" s="605"/>
      <c r="M2" s="605"/>
      <c r="N2" s="605"/>
      <c r="O2" s="605"/>
      <c r="P2" s="605"/>
      <c r="Q2" s="605"/>
      <c r="R2" s="605"/>
      <c r="S2" s="605"/>
      <c r="T2" s="605"/>
      <c r="U2" s="605"/>
      <c r="V2" s="605"/>
      <c r="W2" s="605"/>
      <c r="X2" s="605"/>
      <c r="Y2" s="605"/>
      <c r="Z2" s="605"/>
      <c r="AA2" s="606"/>
      <c r="AB2" s="607" t="s">
        <v>124</v>
      </c>
      <c r="AC2" s="608"/>
      <c r="AD2" s="608"/>
      <c r="AE2" s="609"/>
    </row>
    <row r="3" spans="1:31" ht="24" customHeight="1" thickBot="1" x14ac:dyDescent="0.3">
      <c r="A3" s="602"/>
      <c r="B3" s="610" t="s">
        <v>125</v>
      </c>
      <c r="C3" s="611"/>
      <c r="D3" s="611"/>
      <c r="E3" s="611"/>
      <c r="F3" s="611"/>
      <c r="G3" s="611"/>
      <c r="H3" s="611"/>
      <c r="I3" s="611"/>
      <c r="J3" s="611"/>
      <c r="K3" s="611"/>
      <c r="L3" s="611"/>
      <c r="M3" s="611"/>
      <c r="N3" s="611"/>
      <c r="O3" s="611"/>
      <c r="P3" s="611"/>
      <c r="Q3" s="611"/>
      <c r="R3" s="611"/>
      <c r="S3" s="611"/>
      <c r="T3" s="611"/>
      <c r="U3" s="611"/>
      <c r="V3" s="611"/>
      <c r="W3" s="611"/>
      <c r="X3" s="611"/>
      <c r="Y3" s="611"/>
      <c r="Z3" s="611"/>
      <c r="AA3" s="612"/>
      <c r="AB3" s="607" t="s">
        <v>126</v>
      </c>
      <c r="AC3" s="608"/>
      <c r="AD3" s="608"/>
      <c r="AE3" s="609"/>
    </row>
    <row r="4" spans="1:31" ht="21.75" customHeight="1" thickBot="1" x14ac:dyDescent="0.3">
      <c r="A4" s="603"/>
      <c r="B4" s="613"/>
      <c r="C4" s="614"/>
      <c r="D4" s="614"/>
      <c r="E4" s="614"/>
      <c r="F4" s="614"/>
      <c r="G4" s="614"/>
      <c r="H4" s="614"/>
      <c r="I4" s="614"/>
      <c r="J4" s="614"/>
      <c r="K4" s="614"/>
      <c r="L4" s="614"/>
      <c r="M4" s="614"/>
      <c r="N4" s="614"/>
      <c r="O4" s="614"/>
      <c r="P4" s="614"/>
      <c r="Q4" s="614"/>
      <c r="R4" s="614"/>
      <c r="S4" s="614"/>
      <c r="T4" s="614"/>
      <c r="U4" s="614"/>
      <c r="V4" s="614"/>
      <c r="W4" s="614"/>
      <c r="X4" s="614"/>
      <c r="Y4" s="614"/>
      <c r="Z4" s="614"/>
      <c r="AA4" s="615"/>
      <c r="AB4" s="607" t="s">
        <v>127</v>
      </c>
      <c r="AC4" s="608"/>
      <c r="AD4" s="608"/>
      <c r="AE4" s="6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31" ht="9" customHeight="1" thickBot="1" x14ac:dyDescent="0.3">
      <c r="A6" s="23"/>
      <c r="B6" s="20"/>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31" ht="13.9" customHeight="1" x14ac:dyDescent="0.25">
      <c r="A7" s="616" t="s">
        <v>4</v>
      </c>
      <c r="B7" s="617"/>
      <c r="C7" s="628" t="s">
        <v>128</v>
      </c>
      <c r="D7" s="631" t="s">
        <v>6</v>
      </c>
      <c r="E7" s="632"/>
      <c r="F7" s="632"/>
      <c r="G7" s="632"/>
      <c r="H7" s="633"/>
      <c r="I7" s="640">
        <v>45667</v>
      </c>
      <c r="J7" s="641"/>
      <c r="K7" s="631" t="s">
        <v>8</v>
      </c>
      <c r="L7" s="633"/>
      <c r="M7" s="646" t="s">
        <v>129</v>
      </c>
      <c r="N7" s="647"/>
      <c r="O7" s="651"/>
      <c r="P7" s="652"/>
      <c r="Q7" s="20"/>
      <c r="R7" s="20"/>
      <c r="S7" s="20"/>
      <c r="T7" s="20"/>
      <c r="U7" s="20"/>
      <c r="V7" s="20"/>
      <c r="W7" s="20"/>
      <c r="X7" s="20"/>
      <c r="Y7" s="20"/>
      <c r="Z7" s="20"/>
      <c r="AA7" s="20"/>
      <c r="AB7" s="20"/>
      <c r="AD7" s="21"/>
      <c r="AE7" s="22"/>
    </row>
    <row r="8" spans="1:31" ht="13.9" customHeight="1" x14ac:dyDescent="0.25">
      <c r="A8" s="618"/>
      <c r="B8" s="619"/>
      <c r="C8" s="629"/>
      <c r="D8" s="634"/>
      <c r="E8" s="635"/>
      <c r="F8" s="635"/>
      <c r="G8" s="635"/>
      <c r="H8" s="636"/>
      <c r="I8" s="642"/>
      <c r="J8" s="643"/>
      <c r="K8" s="634"/>
      <c r="L8" s="636"/>
      <c r="M8" s="653" t="s">
        <v>130</v>
      </c>
      <c r="N8" s="654"/>
      <c r="O8" s="655" t="s">
        <v>131</v>
      </c>
      <c r="P8" s="656"/>
      <c r="Q8" s="20"/>
      <c r="R8" s="20"/>
      <c r="S8" s="20"/>
      <c r="T8" s="20"/>
      <c r="U8" s="20"/>
      <c r="V8" s="20"/>
      <c r="W8" s="20"/>
      <c r="X8" s="20"/>
      <c r="Y8" s="20"/>
      <c r="Z8" s="20"/>
      <c r="AA8" s="20"/>
      <c r="AB8" s="20"/>
      <c r="AD8" s="21"/>
      <c r="AE8" s="22"/>
    </row>
    <row r="9" spans="1:31" ht="14.45" customHeight="1" thickBot="1" x14ac:dyDescent="0.3">
      <c r="A9" s="620"/>
      <c r="B9" s="621"/>
      <c r="C9" s="630"/>
      <c r="D9" s="637"/>
      <c r="E9" s="638"/>
      <c r="F9" s="638"/>
      <c r="G9" s="638"/>
      <c r="H9" s="639"/>
      <c r="I9" s="644"/>
      <c r="J9" s="645"/>
      <c r="K9" s="637"/>
      <c r="L9" s="639"/>
      <c r="M9" s="657" t="s">
        <v>132</v>
      </c>
      <c r="N9" s="658"/>
      <c r="O9" s="659" t="s">
        <v>131</v>
      </c>
      <c r="P9" s="660"/>
      <c r="Q9" s="20"/>
      <c r="R9" s="20"/>
      <c r="S9" s="20"/>
      <c r="T9" s="20"/>
      <c r="U9" s="20"/>
      <c r="V9" s="20"/>
      <c r="W9" s="20"/>
      <c r="X9" s="20"/>
      <c r="Y9" s="20"/>
      <c r="Z9" s="20"/>
      <c r="AA9" s="20"/>
      <c r="AB9" s="20"/>
      <c r="AD9" s="21"/>
      <c r="AE9" s="22"/>
    </row>
    <row r="10" spans="1:31" ht="15" customHeight="1" thickBot="1" x14ac:dyDescent="0.3">
      <c r="A10" s="24"/>
      <c r="B10" s="25"/>
      <c r="C10" s="25"/>
      <c r="D10" s="26"/>
      <c r="E10" s="26"/>
      <c r="F10" s="26"/>
      <c r="G10" s="26"/>
      <c r="H10" s="26"/>
      <c r="I10" s="181"/>
      <c r="J10" s="181"/>
      <c r="K10" s="26"/>
      <c r="L10" s="26"/>
      <c r="M10" s="182"/>
      <c r="N10" s="182"/>
      <c r="O10" s="183"/>
      <c r="P10" s="183"/>
      <c r="Q10" s="25"/>
      <c r="R10" s="25"/>
      <c r="S10" s="25"/>
      <c r="T10" s="25"/>
      <c r="U10" s="25"/>
      <c r="V10" s="25"/>
      <c r="W10" s="25"/>
      <c r="X10" s="25"/>
      <c r="Y10" s="25"/>
      <c r="Z10" s="25"/>
      <c r="AA10" s="25"/>
      <c r="AB10" s="25"/>
      <c r="AD10" s="28"/>
      <c r="AE10" s="29"/>
    </row>
    <row r="11" spans="1:31" ht="15" customHeight="1" x14ac:dyDescent="0.25">
      <c r="A11" s="616" t="s">
        <v>10</v>
      </c>
      <c r="B11" s="617"/>
      <c r="C11" s="589" t="s">
        <v>133</v>
      </c>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1"/>
    </row>
    <row r="12" spans="1:31" ht="15" customHeight="1" x14ac:dyDescent="0.25">
      <c r="A12" s="618"/>
      <c r="B12" s="619"/>
      <c r="C12" s="622"/>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4"/>
    </row>
    <row r="13" spans="1:31" ht="15" customHeight="1" thickBot="1" x14ac:dyDescent="0.3">
      <c r="A13" s="620"/>
      <c r="B13" s="621"/>
      <c r="C13" s="625"/>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7"/>
    </row>
    <row r="14" spans="1:31"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31" ht="39" customHeight="1" thickBot="1" x14ac:dyDescent="0.3">
      <c r="A15" s="661" t="s">
        <v>12</v>
      </c>
      <c r="B15" s="662"/>
      <c r="C15" s="663" t="s">
        <v>134</v>
      </c>
      <c r="D15" s="664"/>
      <c r="E15" s="664"/>
      <c r="F15" s="664"/>
      <c r="G15" s="664"/>
      <c r="H15" s="664"/>
      <c r="I15" s="664"/>
      <c r="J15" s="664"/>
      <c r="K15" s="665"/>
      <c r="L15" s="666" t="s">
        <v>14</v>
      </c>
      <c r="M15" s="667"/>
      <c r="N15" s="667"/>
      <c r="O15" s="667"/>
      <c r="P15" s="667"/>
      <c r="Q15" s="668"/>
      <c r="R15" s="669" t="s">
        <v>135</v>
      </c>
      <c r="S15" s="670"/>
      <c r="T15" s="670"/>
      <c r="U15" s="670"/>
      <c r="V15" s="670"/>
      <c r="W15" s="670"/>
      <c r="X15" s="671"/>
      <c r="Y15" s="666" t="s">
        <v>15</v>
      </c>
      <c r="Z15" s="668"/>
      <c r="AA15" s="648" t="s">
        <v>136</v>
      </c>
      <c r="AB15" s="649"/>
      <c r="AC15" s="649"/>
      <c r="AD15" s="649"/>
      <c r="AE15" s="650"/>
    </row>
    <row r="16" spans="1:31" ht="9" customHeight="1" thickBot="1" x14ac:dyDescent="0.3">
      <c r="A16" s="23"/>
      <c r="B16" s="20"/>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D16" s="21"/>
      <c r="AE16" s="22"/>
    </row>
    <row r="17" spans="1:33" s="36" customFormat="1" ht="37.5" customHeight="1" thickBot="1" x14ac:dyDescent="0.3">
      <c r="A17" s="661" t="s">
        <v>17</v>
      </c>
      <c r="B17" s="662"/>
      <c r="C17" s="648" t="s">
        <v>137</v>
      </c>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50"/>
    </row>
    <row r="18" spans="1:33" ht="16.5" customHeight="1" thickBot="1" x14ac:dyDescent="0.3">
      <c r="A18" s="18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3" ht="32.1" customHeight="1" thickBot="1" x14ac:dyDescent="0.3">
      <c r="A19" s="666" t="s">
        <v>138</v>
      </c>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8"/>
      <c r="AF19" s="187"/>
    </row>
    <row r="20" spans="1:33" ht="32.1" customHeight="1" thickBot="1" x14ac:dyDescent="0.3">
      <c r="A20" s="37" t="s">
        <v>19</v>
      </c>
      <c r="B20" s="637" t="s">
        <v>139</v>
      </c>
      <c r="C20" s="638"/>
      <c r="D20" s="638"/>
      <c r="E20" s="638"/>
      <c r="F20" s="638"/>
      <c r="G20" s="638"/>
      <c r="H20" s="638"/>
      <c r="I20" s="638"/>
      <c r="J20" s="638"/>
      <c r="K20" s="638"/>
      <c r="L20" s="638"/>
      <c r="M20" s="638"/>
      <c r="N20" s="638"/>
      <c r="O20" s="639"/>
      <c r="P20" s="666" t="s">
        <v>140</v>
      </c>
      <c r="Q20" s="667"/>
      <c r="R20" s="667"/>
      <c r="S20" s="667"/>
      <c r="T20" s="667"/>
      <c r="U20" s="667"/>
      <c r="V20" s="667"/>
      <c r="W20" s="667"/>
      <c r="X20" s="667"/>
      <c r="Y20" s="667"/>
      <c r="Z20" s="667"/>
      <c r="AA20" s="667"/>
      <c r="AB20" s="667"/>
      <c r="AC20" s="667"/>
      <c r="AD20" s="667"/>
      <c r="AE20" s="668"/>
      <c r="AF20" s="187"/>
    </row>
    <row r="21" spans="1:33" ht="32.1" customHeight="1" thickBot="1" x14ac:dyDescent="0.3">
      <c r="A21" s="24"/>
      <c r="B21" s="38" t="s">
        <v>141</v>
      </c>
      <c r="C21" s="39" t="s">
        <v>142</v>
      </c>
      <c r="D21" s="39" t="s">
        <v>143</v>
      </c>
      <c r="E21" s="39" t="s">
        <v>144</v>
      </c>
      <c r="F21" s="39" t="s">
        <v>145</v>
      </c>
      <c r="G21" s="39" t="s">
        <v>146</v>
      </c>
      <c r="H21" s="39" t="s">
        <v>147</v>
      </c>
      <c r="I21" s="39" t="s">
        <v>148</v>
      </c>
      <c r="J21" s="39" t="s">
        <v>149</v>
      </c>
      <c r="K21" s="39" t="s">
        <v>150</v>
      </c>
      <c r="L21" s="39" t="s">
        <v>151</v>
      </c>
      <c r="M21" s="39" t="s">
        <v>128</v>
      </c>
      <c r="N21" s="39" t="s">
        <v>102</v>
      </c>
      <c r="O21" s="40" t="s">
        <v>100</v>
      </c>
      <c r="P21" s="41"/>
      <c r="Q21" s="37" t="s">
        <v>141</v>
      </c>
      <c r="R21" s="42" t="s">
        <v>142</v>
      </c>
      <c r="S21" s="42" t="s">
        <v>143</v>
      </c>
      <c r="T21" s="42" t="s">
        <v>144</v>
      </c>
      <c r="U21" s="42" t="s">
        <v>145</v>
      </c>
      <c r="V21" s="42" t="s">
        <v>146</v>
      </c>
      <c r="W21" s="42" t="s">
        <v>147</v>
      </c>
      <c r="X21" s="42" t="s">
        <v>148</v>
      </c>
      <c r="Y21" s="42" t="s">
        <v>149</v>
      </c>
      <c r="Z21" s="42" t="s">
        <v>150</v>
      </c>
      <c r="AA21" s="42" t="s">
        <v>151</v>
      </c>
      <c r="AB21" s="42" t="s">
        <v>128</v>
      </c>
      <c r="AC21" s="42" t="s">
        <v>102</v>
      </c>
      <c r="AD21" s="43" t="s">
        <v>152</v>
      </c>
      <c r="AE21" s="43" t="s">
        <v>153</v>
      </c>
      <c r="AF21" s="188"/>
    </row>
    <row r="22" spans="1:33" ht="32.1" customHeight="1" x14ac:dyDescent="0.25">
      <c r="A22" s="44" t="s">
        <v>31</v>
      </c>
      <c r="B22" s="189"/>
      <c r="C22" s="190"/>
      <c r="D22" s="190"/>
      <c r="E22" s="190"/>
      <c r="F22" s="190"/>
      <c r="G22" s="190"/>
      <c r="H22" s="190"/>
      <c r="I22" s="190"/>
      <c r="J22" s="190"/>
      <c r="K22" s="190"/>
      <c r="L22" s="190"/>
      <c r="M22" s="190"/>
      <c r="N22" s="190">
        <f>SUM(B22:M22)</f>
        <v>0</v>
      </c>
      <c r="O22" s="191"/>
      <c r="P22" s="44" t="s">
        <v>27</v>
      </c>
      <c r="Q22" s="192">
        <v>0</v>
      </c>
      <c r="R22" s="193">
        <v>0</v>
      </c>
      <c r="S22" s="193">
        <v>0</v>
      </c>
      <c r="T22" s="193">
        <v>0</v>
      </c>
      <c r="U22" s="193">
        <v>0</v>
      </c>
      <c r="V22" s="193">
        <v>0</v>
      </c>
      <c r="W22" s="193">
        <v>0</v>
      </c>
      <c r="X22" s="193">
        <v>55697250</v>
      </c>
      <c r="Y22" s="193">
        <v>0</v>
      </c>
      <c r="Z22" s="193">
        <v>0</v>
      </c>
      <c r="AA22" s="193">
        <v>0</v>
      </c>
      <c r="AB22" s="193">
        <v>4827095</v>
      </c>
      <c r="AC22" s="540">
        <f>SUM(Q22:AB22)</f>
        <v>60524345</v>
      </c>
      <c r="AD22" s="272"/>
      <c r="AE22" s="195"/>
      <c r="AF22" s="188"/>
    </row>
    <row r="23" spans="1:33" ht="32.1" customHeight="1" x14ac:dyDescent="0.25">
      <c r="A23" s="45" t="s">
        <v>21</v>
      </c>
      <c r="B23" s="196"/>
      <c r="C23" s="197"/>
      <c r="D23" s="197"/>
      <c r="E23" s="197"/>
      <c r="F23" s="197"/>
      <c r="G23" s="197"/>
      <c r="H23" s="197"/>
      <c r="I23" s="197"/>
      <c r="J23" s="197"/>
      <c r="K23" s="197"/>
      <c r="L23" s="197"/>
      <c r="M23" s="197"/>
      <c r="N23" s="197">
        <f>SUM(B23:M23)</f>
        <v>0</v>
      </c>
      <c r="O23" s="198" t="str">
        <f>IFERROR(N23/(SUMIF(B23:M23,"&gt;0",B22:M22))," ")</f>
        <v xml:space="preserve"> </v>
      </c>
      <c r="P23" s="45" t="s">
        <v>29</v>
      </c>
      <c r="Q23" s="196">
        <v>0</v>
      </c>
      <c r="R23" s="197">
        <v>0</v>
      </c>
      <c r="S23" s="197">
        <v>0</v>
      </c>
      <c r="T23" s="197">
        <v>0</v>
      </c>
      <c r="U23" s="197">
        <v>0</v>
      </c>
      <c r="V23" s="197">
        <v>0</v>
      </c>
      <c r="W23" s="197">
        <v>0</v>
      </c>
      <c r="X23" s="197">
        <v>55697250</v>
      </c>
      <c r="Y23" s="197">
        <v>0</v>
      </c>
      <c r="Z23" s="199"/>
      <c r="AA23" s="197">
        <v>0</v>
      </c>
      <c r="AB23" s="197">
        <v>4827095</v>
      </c>
      <c r="AC23" s="199">
        <f>SUM(Q23:AB23)</f>
        <v>60524345</v>
      </c>
      <c r="AD23" s="273">
        <f>AC23/SUM(Q22:AB22)</f>
        <v>1</v>
      </c>
      <c r="AE23" s="200">
        <f>AC23/AC22</f>
        <v>1</v>
      </c>
      <c r="AF23" s="188"/>
      <c r="AG23" s="513"/>
    </row>
    <row r="24" spans="1:33" ht="32.1" customHeight="1" x14ac:dyDescent="0.25">
      <c r="A24" s="45" t="s">
        <v>23</v>
      </c>
      <c r="B24" s="196">
        <f>+B22-B23</f>
        <v>0</v>
      </c>
      <c r="C24" s="197">
        <f t="shared" ref="C24:M24" si="0">+C22-C23</f>
        <v>0</v>
      </c>
      <c r="D24" s="197">
        <f t="shared" si="0"/>
        <v>0</v>
      </c>
      <c r="E24" s="197">
        <f t="shared" si="0"/>
        <v>0</v>
      </c>
      <c r="F24" s="197">
        <f t="shared" si="0"/>
        <v>0</v>
      </c>
      <c r="G24" s="197">
        <f t="shared" si="0"/>
        <v>0</v>
      </c>
      <c r="H24" s="197">
        <f t="shared" si="0"/>
        <v>0</v>
      </c>
      <c r="I24" s="197">
        <f t="shared" si="0"/>
        <v>0</v>
      </c>
      <c r="J24" s="197">
        <f t="shared" si="0"/>
        <v>0</v>
      </c>
      <c r="K24" s="197">
        <f t="shared" si="0"/>
        <v>0</v>
      </c>
      <c r="L24" s="197">
        <f t="shared" si="0"/>
        <v>0</v>
      </c>
      <c r="M24" s="197">
        <f t="shared" si="0"/>
        <v>0</v>
      </c>
      <c r="N24" s="197">
        <f>SUM(B24:M24)</f>
        <v>0</v>
      </c>
      <c r="O24" s="201"/>
      <c r="P24" s="45" t="s">
        <v>31</v>
      </c>
      <c r="Q24" s="196">
        <v>0</v>
      </c>
      <c r="R24" s="197">
        <v>0</v>
      </c>
      <c r="S24" s="197">
        <v>0</v>
      </c>
      <c r="T24" s="197">
        <v>0</v>
      </c>
      <c r="U24" s="197">
        <v>0</v>
      </c>
      <c r="V24" s="197">
        <v>0</v>
      </c>
      <c r="W24" s="197">
        <v>0</v>
      </c>
      <c r="X24" s="197">
        <v>0</v>
      </c>
      <c r="Y24" s="197">
        <v>11139450</v>
      </c>
      <c r="Z24" s="197">
        <v>11139450</v>
      </c>
      <c r="AA24" s="197">
        <v>11139450</v>
      </c>
      <c r="AB24" s="197">
        <v>20793640</v>
      </c>
      <c r="AC24" s="541">
        <f>SUM(Q24:AB24)</f>
        <v>54211990</v>
      </c>
      <c r="AD24" s="274"/>
      <c r="AE24" s="202"/>
      <c r="AF24" s="188"/>
      <c r="AG24" s="513"/>
    </row>
    <row r="25" spans="1:33" ht="32.1" customHeight="1" thickBot="1" x14ac:dyDescent="0.3">
      <c r="A25" s="46" t="s">
        <v>25</v>
      </c>
      <c r="B25" s="203"/>
      <c r="C25" s="204"/>
      <c r="D25" s="204"/>
      <c r="E25" s="204"/>
      <c r="F25" s="204"/>
      <c r="G25" s="204"/>
      <c r="H25" s="204"/>
      <c r="I25" s="204"/>
      <c r="J25" s="204"/>
      <c r="K25" s="204"/>
      <c r="L25" s="204"/>
      <c r="M25" s="204"/>
      <c r="N25" s="204">
        <f>SUM(B25:M25)</f>
        <v>0</v>
      </c>
      <c r="O25" s="205" t="str">
        <f>IFERROR(N25/(SUMIF(B25:M25,"&gt;0",B24:M24))," ")</f>
        <v xml:space="preserve"> </v>
      </c>
      <c r="P25" s="46" t="s">
        <v>25</v>
      </c>
      <c r="Q25" s="203">
        <v>0</v>
      </c>
      <c r="R25" s="204">
        <v>0</v>
      </c>
      <c r="S25" s="204">
        <v>0</v>
      </c>
      <c r="T25" s="204">
        <v>0</v>
      </c>
      <c r="U25" s="204">
        <v>0</v>
      </c>
      <c r="V25" s="204">
        <v>0</v>
      </c>
      <c r="W25" s="204">
        <v>0</v>
      </c>
      <c r="X25" s="204">
        <v>0</v>
      </c>
      <c r="Y25" s="204">
        <v>9654190</v>
      </c>
      <c r="Z25" s="204">
        <v>11139450</v>
      </c>
      <c r="AA25" s="204">
        <v>11139450</v>
      </c>
      <c r="AB25" s="204">
        <v>22278900</v>
      </c>
      <c r="AC25" s="542">
        <f>SUM(X25:AB25)</f>
        <v>54211990</v>
      </c>
      <c r="AD25" s="275">
        <f>AC25/SUM(Q24:AB24)</f>
        <v>1</v>
      </c>
      <c r="AE25" s="206">
        <f>AC25/AC24</f>
        <v>1</v>
      </c>
      <c r="AF25" s="188"/>
      <c r="AG25" s="513"/>
    </row>
    <row r="26" spans="1:33" s="207" customFormat="1" ht="16.5" customHeight="1" thickBot="1" x14ac:dyDescent="0.25"/>
    <row r="27" spans="1:33" ht="33.950000000000003" customHeight="1" x14ac:dyDescent="0.25">
      <c r="A27" s="673" t="s">
        <v>154</v>
      </c>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5"/>
    </row>
    <row r="28" spans="1:33" ht="15" customHeight="1" x14ac:dyDescent="0.25">
      <c r="A28" s="593" t="s">
        <v>34</v>
      </c>
      <c r="B28" s="595" t="s">
        <v>36</v>
      </c>
      <c r="C28" s="595"/>
      <c r="D28" s="595" t="s">
        <v>155</v>
      </c>
      <c r="E28" s="595"/>
      <c r="F28" s="595"/>
      <c r="G28" s="595"/>
      <c r="H28" s="595"/>
      <c r="I28" s="595"/>
      <c r="J28" s="595"/>
      <c r="K28" s="595"/>
      <c r="L28" s="595"/>
      <c r="M28" s="595"/>
      <c r="N28" s="595"/>
      <c r="O28" s="595"/>
      <c r="P28" s="595" t="s">
        <v>102</v>
      </c>
      <c r="Q28" s="595" t="s">
        <v>156</v>
      </c>
      <c r="R28" s="595"/>
      <c r="S28" s="595"/>
      <c r="T28" s="595"/>
      <c r="U28" s="595"/>
      <c r="V28" s="595"/>
      <c r="W28" s="595"/>
      <c r="X28" s="595"/>
      <c r="Y28" s="595" t="s">
        <v>157</v>
      </c>
      <c r="Z28" s="595"/>
      <c r="AA28" s="595"/>
      <c r="AB28" s="595"/>
      <c r="AC28" s="595"/>
      <c r="AD28" s="595"/>
      <c r="AE28" s="676"/>
    </row>
    <row r="29" spans="1:33" ht="27" customHeight="1" x14ac:dyDescent="0.25">
      <c r="A29" s="593"/>
      <c r="B29" s="595"/>
      <c r="C29" s="595"/>
      <c r="D29" s="48" t="s">
        <v>141</v>
      </c>
      <c r="E29" s="48" t="s">
        <v>142</v>
      </c>
      <c r="F29" s="48" t="s">
        <v>143</v>
      </c>
      <c r="G29" s="48" t="s">
        <v>144</v>
      </c>
      <c r="H29" s="48" t="s">
        <v>145</v>
      </c>
      <c r="I29" s="48" t="s">
        <v>146</v>
      </c>
      <c r="J29" s="48" t="s">
        <v>147</v>
      </c>
      <c r="K29" s="48" t="s">
        <v>148</v>
      </c>
      <c r="L29" s="48" t="s">
        <v>149</v>
      </c>
      <c r="M29" s="48" t="s">
        <v>150</v>
      </c>
      <c r="N29" s="48" t="s">
        <v>151</v>
      </c>
      <c r="O29" s="48" t="s">
        <v>128</v>
      </c>
      <c r="P29" s="595"/>
      <c r="Q29" s="595"/>
      <c r="R29" s="595"/>
      <c r="S29" s="595"/>
      <c r="T29" s="595"/>
      <c r="U29" s="595"/>
      <c r="V29" s="595"/>
      <c r="W29" s="595"/>
      <c r="X29" s="595"/>
      <c r="Y29" s="595"/>
      <c r="Z29" s="595"/>
      <c r="AA29" s="595"/>
      <c r="AB29" s="595"/>
      <c r="AC29" s="595"/>
      <c r="AD29" s="595"/>
      <c r="AE29" s="676"/>
    </row>
    <row r="30" spans="1:33" ht="42" customHeight="1" thickBot="1" x14ac:dyDescent="0.3">
      <c r="A30" s="49"/>
      <c r="B30" s="677"/>
      <c r="C30" s="677"/>
      <c r="D30" s="16"/>
      <c r="E30" s="16"/>
      <c r="F30" s="16"/>
      <c r="G30" s="16"/>
      <c r="H30" s="16"/>
      <c r="I30" s="16"/>
      <c r="J30" s="16"/>
      <c r="K30" s="16"/>
      <c r="L30" s="16"/>
      <c r="M30" s="16"/>
      <c r="N30" s="16"/>
      <c r="O30" s="16"/>
      <c r="P30" s="50">
        <f>SUM(D30:O30)</f>
        <v>0</v>
      </c>
      <c r="Q30" s="678" t="s">
        <v>158</v>
      </c>
      <c r="R30" s="678"/>
      <c r="S30" s="678"/>
      <c r="T30" s="678"/>
      <c r="U30" s="678"/>
      <c r="V30" s="678"/>
      <c r="W30" s="678"/>
      <c r="X30" s="678"/>
      <c r="Y30" s="678" t="s">
        <v>43</v>
      </c>
      <c r="Z30" s="678"/>
      <c r="AA30" s="678"/>
      <c r="AB30" s="678"/>
      <c r="AC30" s="678"/>
      <c r="AD30" s="678"/>
      <c r="AE30" s="679"/>
    </row>
    <row r="31" spans="1:33" ht="12" customHeight="1" thickBot="1" x14ac:dyDescent="0.3">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3" ht="45" customHeight="1" x14ac:dyDescent="0.25">
      <c r="A32" s="589" t="s">
        <v>159</v>
      </c>
      <c r="B32" s="590"/>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1"/>
    </row>
    <row r="33" spans="1:41" ht="23.1" customHeight="1" x14ac:dyDescent="0.25">
      <c r="A33" s="593" t="s">
        <v>44</v>
      </c>
      <c r="B33" s="595" t="s">
        <v>46</v>
      </c>
      <c r="C33" s="595" t="s">
        <v>36</v>
      </c>
      <c r="D33" s="595" t="s">
        <v>160</v>
      </c>
      <c r="E33" s="595"/>
      <c r="F33" s="595"/>
      <c r="G33" s="595"/>
      <c r="H33" s="595"/>
      <c r="I33" s="595"/>
      <c r="J33" s="595"/>
      <c r="K33" s="595"/>
      <c r="L33" s="595"/>
      <c r="M33" s="595"/>
      <c r="N33" s="595"/>
      <c r="O33" s="595"/>
      <c r="P33" s="595"/>
      <c r="Q33" s="595" t="s">
        <v>161</v>
      </c>
      <c r="R33" s="595"/>
      <c r="S33" s="595"/>
      <c r="T33" s="595"/>
      <c r="U33" s="595"/>
      <c r="V33" s="595"/>
      <c r="W33" s="595"/>
      <c r="X33" s="595"/>
      <c r="Y33" s="595"/>
      <c r="Z33" s="595"/>
      <c r="AA33" s="595"/>
      <c r="AB33" s="595"/>
      <c r="AC33" s="595"/>
      <c r="AD33" s="595"/>
      <c r="AE33" s="676"/>
      <c r="AG33" s="128"/>
      <c r="AH33" s="128"/>
      <c r="AI33" s="128"/>
      <c r="AJ33" s="128"/>
      <c r="AK33" s="128"/>
      <c r="AL33" s="128"/>
      <c r="AM33" s="128"/>
      <c r="AN33" s="128"/>
      <c r="AO33" s="128"/>
    </row>
    <row r="34" spans="1:41" ht="27" customHeight="1" x14ac:dyDescent="0.25">
      <c r="A34" s="593"/>
      <c r="B34" s="595"/>
      <c r="C34" s="680"/>
      <c r="D34" s="48" t="s">
        <v>141</v>
      </c>
      <c r="E34" s="48" t="s">
        <v>142</v>
      </c>
      <c r="F34" s="48" t="s">
        <v>143</v>
      </c>
      <c r="G34" s="48" t="s">
        <v>144</v>
      </c>
      <c r="H34" s="48" t="s">
        <v>145</v>
      </c>
      <c r="I34" s="48" t="s">
        <v>146</v>
      </c>
      <c r="J34" s="48" t="s">
        <v>147</v>
      </c>
      <c r="K34" s="48" t="s">
        <v>148</v>
      </c>
      <c r="L34" s="48" t="s">
        <v>149</v>
      </c>
      <c r="M34" s="48" t="s">
        <v>150</v>
      </c>
      <c r="N34" s="48" t="s">
        <v>151</v>
      </c>
      <c r="O34" s="48" t="s">
        <v>128</v>
      </c>
      <c r="P34" s="48" t="s">
        <v>102</v>
      </c>
      <c r="Q34" s="681" t="s">
        <v>52</v>
      </c>
      <c r="R34" s="682"/>
      <c r="S34" s="682"/>
      <c r="T34" s="683"/>
      <c r="U34" s="595" t="s">
        <v>54</v>
      </c>
      <c r="V34" s="595"/>
      <c r="W34" s="595"/>
      <c r="X34" s="595"/>
      <c r="Y34" s="595" t="s">
        <v>56</v>
      </c>
      <c r="Z34" s="595"/>
      <c r="AA34" s="595"/>
      <c r="AB34" s="595"/>
      <c r="AC34" s="595" t="s">
        <v>58</v>
      </c>
      <c r="AD34" s="595"/>
      <c r="AE34" s="676"/>
      <c r="AG34" s="128"/>
      <c r="AH34" s="128"/>
      <c r="AI34" s="128"/>
      <c r="AJ34" s="128"/>
      <c r="AK34" s="128"/>
      <c r="AL34" s="128"/>
      <c r="AM34" s="128"/>
      <c r="AN34" s="128"/>
      <c r="AO34" s="128"/>
    </row>
    <row r="35" spans="1:41" ht="235.5" customHeight="1" x14ac:dyDescent="0.25">
      <c r="A35" s="686" t="str">
        <f>+C17</f>
        <v xml:space="preserve">Formular 9 acciones de transformación cultural que promuevan y garanticen el libre ejercicio de los derechos de las mujeres y la equidad de género a través de mecanismos de cambio cultural y comportamental desarrollados con las comunidades. (Producto MGA - Documento de lineamientos Técnicos) </v>
      </c>
      <c r="B35" s="688">
        <v>0.1</v>
      </c>
      <c r="C35" s="54" t="s">
        <v>48</v>
      </c>
      <c r="D35" s="162">
        <f>D75</f>
        <v>0</v>
      </c>
      <c r="E35" s="162">
        <f t="shared" ref="E35:O35" si="1">E75</f>
        <v>0</v>
      </c>
      <c r="F35" s="162">
        <f t="shared" si="1"/>
        <v>0</v>
      </c>
      <c r="G35" s="162">
        <f t="shared" si="1"/>
        <v>0</v>
      </c>
      <c r="H35" s="162">
        <f t="shared" si="1"/>
        <v>0</v>
      </c>
      <c r="I35" s="162">
        <f t="shared" si="1"/>
        <v>0</v>
      </c>
      <c r="J35" s="162">
        <f t="shared" si="1"/>
        <v>0</v>
      </c>
      <c r="K35" s="162">
        <f t="shared" si="1"/>
        <v>0.56999999999999995</v>
      </c>
      <c r="L35" s="162">
        <f t="shared" si="1"/>
        <v>1.0349999999999997</v>
      </c>
      <c r="M35" s="162">
        <f t="shared" si="1"/>
        <v>0.34500000000000003</v>
      </c>
      <c r="N35" s="162">
        <f t="shared" si="1"/>
        <v>0.52500000000000002</v>
      </c>
      <c r="O35" s="162">
        <f t="shared" si="1"/>
        <v>0.52500000000000002</v>
      </c>
      <c r="P35" s="164">
        <f>SUM(D35:O35)</f>
        <v>2.9999999999999996</v>
      </c>
      <c r="Q35" s="690" t="s">
        <v>162</v>
      </c>
      <c r="R35" s="691"/>
      <c r="S35" s="691"/>
      <c r="T35" s="692"/>
      <c r="U35" s="933" t="s">
        <v>163</v>
      </c>
      <c r="V35" s="934"/>
      <c r="W35" s="934"/>
      <c r="X35" s="935"/>
      <c r="Y35" s="696"/>
      <c r="Z35" s="697"/>
      <c r="AA35" s="697"/>
      <c r="AB35" s="698"/>
      <c r="AC35" s="585" t="s">
        <v>164</v>
      </c>
      <c r="AD35" s="585"/>
      <c r="AE35" s="586"/>
      <c r="AG35" s="564" t="s">
        <v>165</v>
      </c>
      <c r="AH35" s="565"/>
      <c r="AI35" s="565"/>
      <c r="AJ35" s="566"/>
      <c r="AK35" s="128"/>
      <c r="AL35" s="128"/>
      <c r="AM35" s="128"/>
      <c r="AN35" s="128"/>
      <c r="AO35" s="128"/>
    </row>
    <row r="36" spans="1:41" ht="235.5" customHeight="1" thickBot="1" x14ac:dyDescent="0.3">
      <c r="A36" s="687"/>
      <c r="B36" s="689"/>
      <c r="C36" s="55" t="s">
        <v>50</v>
      </c>
      <c r="D36" s="165">
        <f>D72</f>
        <v>0</v>
      </c>
      <c r="E36" s="165">
        <f t="shared" ref="E36:O36" si="2">E72</f>
        <v>0</v>
      </c>
      <c r="F36" s="165">
        <f t="shared" si="2"/>
        <v>0</v>
      </c>
      <c r="G36" s="165">
        <f t="shared" si="2"/>
        <v>0</v>
      </c>
      <c r="H36" s="165">
        <f t="shared" si="2"/>
        <v>0</v>
      </c>
      <c r="I36" s="165">
        <f t="shared" si="2"/>
        <v>0</v>
      </c>
      <c r="J36" s="165">
        <f t="shared" si="2"/>
        <v>0</v>
      </c>
      <c r="K36" s="165">
        <f>K72</f>
        <v>0.56999999999999995</v>
      </c>
      <c r="L36" s="165">
        <f>L72</f>
        <v>1.0349999999999997</v>
      </c>
      <c r="M36" s="165">
        <f t="shared" si="2"/>
        <v>0.34500000000000003</v>
      </c>
      <c r="N36" s="165">
        <f t="shared" si="2"/>
        <v>0.52500000000000002</v>
      </c>
      <c r="O36" s="165">
        <f t="shared" si="2"/>
        <v>0.52500000000000002</v>
      </c>
      <c r="P36" s="163">
        <f>SUM(D36:O36)</f>
        <v>2.9999999999999996</v>
      </c>
      <c r="Q36" s="693"/>
      <c r="R36" s="694"/>
      <c r="S36" s="694"/>
      <c r="T36" s="695"/>
      <c r="U36" s="936"/>
      <c r="V36" s="937"/>
      <c r="W36" s="937"/>
      <c r="X36" s="938"/>
      <c r="Y36" s="699"/>
      <c r="Z36" s="700"/>
      <c r="AA36" s="700"/>
      <c r="AB36" s="701"/>
      <c r="AC36" s="587"/>
      <c r="AD36" s="587"/>
      <c r="AE36" s="588"/>
      <c r="AG36" s="567"/>
      <c r="AH36" s="568"/>
      <c r="AI36" s="568"/>
      <c r="AJ36" s="569"/>
      <c r="AK36" s="128">
        <f>LEN(AG35)</f>
        <v>300</v>
      </c>
      <c r="AL36" s="128"/>
      <c r="AM36" s="128"/>
      <c r="AN36" s="128"/>
      <c r="AO36" s="128"/>
    </row>
    <row r="37" spans="1:41" s="207" customFormat="1" ht="17.25" customHeight="1" thickBot="1" x14ac:dyDescent="0.25"/>
    <row r="38" spans="1:41" ht="45" customHeight="1" thickBot="1" x14ac:dyDescent="0.3">
      <c r="A38" s="589" t="s">
        <v>166</v>
      </c>
      <c r="B38" s="590"/>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1"/>
      <c r="AG38" s="128"/>
      <c r="AH38" s="128"/>
      <c r="AI38" s="128"/>
      <c r="AJ38" s="128"/>
      <c r="AK38" s="128"/>
      <c r="AL38" s="128"/>
      <c r="AM38" s="128"/>
      <c r="AN38" s="128"/>
      <c r="AO38" s="128"/>
    </row>
    <row r="39" spans="1:41" ht="26.1" customHeight="1" x14ac:dyDescent="0.25">
      <c r="A39" s="592" t="s">
        <v>60</v>
      </c>
      <c r="B39" s="594" t="s">
        <v>167</v>
      </c>
      <c r="C39" s="596" t="s">
        <v>168</v>
      </c>
      <c r="D39" s="598" t="s">
        <v>169</v>
      </c>
      <c r="E39" s="599"/>
      <c r="F39" s="599"/>
      <c r="G39" s="599"/>
      <c r="H39" s="599"/>
      <c r="I39" s="599"/>
      <c r="J39" s="599"/>
      <c r="K39" s="599"/>
      <c r="L39" s="599"/>
      <c r="M39" s="599"/>
      <c r="N39" s="599"/>
      <c r="O39" s="599"/>
      <c r="P39" s="600"/>
      <c r="Q39" s="594" t="s">
        <v>170</v>
      </c>
      <c r="R39" s="594"/>
      <c r="S39" s="594"/>
      <c r="T39" s="594"/>
      <c r="U39" s="594"/>
      <c r="V39" s="594"/>
      <c r="W39" s="594"/>
      <c r="X39" s="594"/>
      <c r="Y39" s="594"/>
      <c r="Z39" s="594"/>
      <c r="AA39" s="594"/>
      <c r="AB39" s="594"/>
      <c r="AC39" s="594"/>
      <c r="AD39" s="594"/>
      <c r="AE39" s="684"/>
      <c r="AG39" s="128"/>
      <c r="AH39" s="128"/>
      <c r="AI39" s="128"/>
      <c r="AJ39" s="128"/>
      <c r="AK39" s="128"/>
      <c r="AL39" s="128"/>
      <c r="AM39" s="128"/>
      <c r="AN39" s="128"/>
      <c r="AO39" s="128"/>
    </row>
    <row r="40" spans="1:41" ht="26.1" customHeight="1" x14ac:dyDescent="0.25">
      <c r="A40" s="593"/>
      <c r="B40" s="595"/>
      <c r="C40" s="597"/>
      <c r="D40" s="48" t="s">
        <v>171</v>
      </c>
      <c r="E40" s="48" t="s">
        <v>172</v>
      </c>
      <c r="F40" s="48" t="s">
        <v>173</v>
      </c>
      <c r="G40" s="48" t="s">
        <v>174</v>
      </c>
      <c r="H40" s="48" t="s">
        <v>175</v>
      </c>
      <c r="I40" s="48" t="s">
        <v>176</v>
      </c>
      <c r="J40" s="48" t="s">
        <v>177</v>
      </c>
      <c r="K40" s="48" t="s">
        <v>178</v>
      </c>
      <c r="L40" s="48" t="s">
        <v>179</v>
      </c>
      <c r="M40" s="48" t="s">
        <v>180</v>
      </c>
      <c r="N40" s="48" t="s">
        <v>181</v>
      </c>
      <c r="O40" s="48" t="s">
        <v>182</v>
      </c>
      <c r="P40" s="48" t="s">
        <v>183</v>
      </c>
      <c r="Q40" s="681" t="s">
        <v>184</v>
      </c>
      <c r="R40" s="682"/>
      <c r="S40" s="682"/>
      <c r="T40" s="682"/>
      <c r="U40" s="682"/>
      <c r="V40" s="682"/>
      <c r="W40" s="682"/>
      <c r="X40" s="683"/>
      <c r="Y40" s="681" t="s">
        <v>68</v>
      </c>
      <c r="Z40" s="682"/>
      <c r="AA40" s="682"/>
      <c r="AB40" s="682"/>
      <c r="AC40" s="682"/>
      <c r="AD40" s="682"/>
      <c r="AE40" s="685"/>
      <c r="AG40" s="208"/>
      <c r="AH40" s="208"/>
      <c r="AI40" s="208"/>
      <c r="AJ40" s="208"/>
      <c r="AK40" s="208"/>
      <c r="AL40" s="208"/>
      <c r="AM40" s="208"/>
      <c r="AN40" s="208"/>
      <c r="AO40" s="208"/>
    </row>
    <row r="41" spans="1:41" ht="81" customHeight="1" x14ac:dyDescent="0.25">
      <c r="A41" s="702" t="s">
        <v>185</v>
      </c>
      <c r="B41" s="703">
        <v>0.03</v>
      </c>
      <c r="C41" s="56" t="s">
        <v>48</v>
      </c>
      <c r="D41" s="57">
        <v>0</v>
      </c>
      <c r="E41" s="57">
        <v>0</v>
      </c>
      <c r="F41" s="57">
        <v>0</v>
      </c>
      <c r="G41" s="57">
        <v>0</v>
      </c>
      <c r="H41" s="57">
        <v>0</v>
      </c>
      <c r="I41" s="57">
        <v>0</v>
      </c>
      <c r="J41" s="57">
        <v>0</v>
      </c>
      <c r="K41" s="57">
        <v>0.3</v>
      </c>
      <c r="L41" s="57">
        <v>0.7</v>
      </c>
      <c r="M41" s="57">
        <v>0</v>
      </c>
      <c r="N41" s="57">
        <v>0</v>
      </c>
      <c r="O41" s="57">
        <v>0</v>
      </c>
      <c r="P41" s="58">
        <f t="shared" ref="P41:P48" si="3">SUM(D41:O41)</f>
        <v>1</v>
      </c>
      <c r="Q41" s="704" t="s">
        <v>186</v>
      </c>
      <c r="R41" s="705"/>
      <c r="S41" s="705"/>
      <c r="T41" s="705"/>
      <c r="U41" s="705"/>
      <c r="V41" s="705"/>
      <c r="W41" s="705"/>
      <c r="X41" s="706"/>
      <c r="Y41" s="710" t="s">
        <v>187</v>
      </c>
      <c r="Z41" s="711"/>
      <c r="AA41" s="711"/>
      <c r="AB41" s="711"/>
      <c r="AC41" s="711"/>
      <c r="AD41" s="711"/>
      <c r="AE41" s="711"/>
      <c r="AG41" s="209"/>
      <c r="AH41" s="209"/>
      <c r="AI41" s="209"/>
      <c r="AJ41" s="209"/>
      <c r="AK41" s="209"/>
      <c r="AL41" s="209"/>
      <c r="AM41" s="209"/>
      <c r="AN41" s="209"/>
      <c r="AO41" s="209"/>
    </row>
    <row r="42" spans="1:41" ht="81" customHeight="1" x14ac:dyDescent="0.25">
      <c r="A42" s="702"/>
      <c r="B42" s="703"/>
      <c r="C42" s="59" t="s">
        <v>50</v>
      </c>
      <c r="D42" s="60">
        <v>0</v>
      </c>
      <c r="E42" s="60">
        <v>0</v>
      </c>
      <c r="F42" s="60">
        <v>0</v>
      </c>
      <c r="G42" s="60">
        <v>0</v>
      </c>
      <c r="H42" s="60">
        <v>0</v>
      </c>
      <c r="I42" s="60">
        <v>0</v>
      </c>
      <c r="J42" s="60">
        <v>0</v>
      </c>
      <c r="K42" s="60">
        <v>0.3</v>
      </c>
      <c r="L42" s="60">
        <v>0.7</v>
      </c>
      <c r="M42" s="60">
        <v>0</v>
      </c>
      <c r="N42" s="60">
        <v>0</v>
      </c>
      <c r="O42" s="60">
        <v>0</v>
      </c>
      <c r="P42" s="58">
        <f t="shared" si="3"/>
        <v>1</v>
      </c>
      <c r="Q42" s="707"/>
      <c r="R42" s="708"/>
      <c r="S42" s="708"/>
      <c r="T42" s="708"/>
      <c r="U42" s="708"/>
      <c r="V42" s="708"/>
      <c r="W42" s="708"/>
      <c r="X42" s="709"/>
      <c r="Y42" s="711"/>
      <c r="Z42" s="711"/>
      <c r="AA42" s="711"/>
      <c r="AB42" s="711"/>
      <c r="AC42" s="711"/>
      <c r="AD42" s="711"/>
      <c r="AE42" s="711"/>
    </row>
    <row r="43" spans="1:41" ht="120" customHeight="1" x14ac:dyDescent="0.25">
      <c r="A43" s="702" t="s">
        <v>188</v>
      </c>
      <c r="B43" s="703">
        <v>0.02</v>
      </c>
      <c r="C43" s="56" t="s">
        <v>48</v>
      </c>
      <c r="D43" s="57">
        <v>0</v>
      </c>
      <c r="E43" s="57">
        <v>0</v>
      </c>
      <c r="F43" s="57">
        <v>0</v>
      </c>
      <c r="G43" s="57">
        <v>0</v>
      </c>
      <c r="H43" s="57">
        <v>0</v>
      </c>
      <c r="I43" s="57">
        <v>0</v>
      </c>
      <c r="J43" s="57">
        <v>0</v>
      </c>
      <c r="K43" s="57">
        <v>0.5</v>
      </c>
      <c r="L43" s="57">
        <v>0.3</v>
      </c>
      <c r="M43" s="57">
        <v>0.2</v>
      </c>
      <c r="N43" s="57">
        <v>0</v>
      </c>
      <c r="O43" s="57">
        <v>0</v>
      </c>
      <c r="P43" s="58">
        <f t="shared" si="3"/>
        <v>1</v>
      </c>
      <c r="Q43" s="712" t="s">
        <v>189</v>
      </c>
      <c r="R43" s="713"/>
      <c r="S43" s="713"/>
      <c r="T43" s="713"/>
      <c r="U43" s="713"/>
      <c r="V43" s="713"/>
      <c r="W43" s="713"/>
      <c r="X43" s="714"/>
      <c r="Y43" s="718" t="s">
        <v>190</v>
      </c>
      <c r="Z43" s="719"/>
      <c r="AA43" s="719"/>
      <c r="AB43" s="719"/>
      <c r="AC43" s="719"/>
      <c r="AD43" s="719"/>
      <c r="AE43" s="720"/>
    </row>
    <row r="44" spans="1:41" ht="102" customHeight="1" x14ac:dyDescent="0.25">
      <c r="A44" s="702"/>
      <c r="B44" s="703"/>
      <c r="C44" s="59" t="s">
        <v>50</v>
      </c>
      <c r="D44" s="60">
        <v>0</v>
      </c>
      <c r="E44" s="60">
        <v>0</v>
      </c>
      <c r="F44" s="60">
        <v>0</v>
      </c>
      <c r="G44" s="60">
        <v>0</v>
      </c>
      <c r="H44" s="60">
        <v>0</v>
      </c>
      <c r="I44" s="60">
        <v>0</v>
      </c>
      <c r="J44" s="60">
        <v>0</v>
      </c>
      <c r="K44" s="60">
        <v>0.5</v>
      </c>
      <c r="L44" s="60">
        <v>0.3</v>
      </c>
      <c r="M44" s="60">
        <v>0.2</v>
      </c>
      <c r="N44" s="60">
        <v>0</v>
      </c>
      <c r="O44" s="60">
        <v>0</v>
      </c>
      <c r="P44" s="58">
        <f t="shared" si="3"/>
        <v>1</v>
      </c>
      <c r="Q44" s="715"/>
      <c r="R44" s="716"/>
      <c r="S44" s="716"/>
      <c r="T44" s="716"/>
      <c r="U44" s="716"/>
      <c r="V44" s="716"/>
      <c r="W44" s="716"/>
      <c r="X44" s="717"/>
      <c r="Y44" s="721"/>
      <c r="Z44" s="722"/>
      <c r="AA44" s="722"/>
      <c r="AB44" s="722"/>
      <c r="AC44" s="722"/>
      <c r="AD44" s="722"/>
      <c r="AE44" s="723"/>
    </row>
    <row r="45" spans="1:41" ht="90" customHeight="1" x14ac:dyDescent="0.25">
      <c r="A45" s="702" t="s">
        <v>191</v>
      </c>
      <c r="B45" s="703">
        <v>0.03</v>
      </c>
      <c r="C45" s="56" t="s">
        <v>48</v>
      </c>
      <c r="D45" s="57">
        <v>0</v>
      </c>
      <c r="E45" s="57">
        <v>0</v>
      </c>
      <c r="F45" s="57">
        <v>0</v>
      </c>
      <c r="G45" s="57">
        <v>0</v>
      </c>
      <c r="H45" s="57">
        <v>0</v>
      </c>
      <c r="I45" s="57">
        <v>0</v>
      </c>
      <c r="J45" s="57">
        <v>0</v>
      </c>
      <c r="K45" s="57">
        <v>0</v>
      </c>
      <c r="L45" s="57">
        <v>0.25</v>
      </c>
      <c r="M45" s="57">
        <v>0.25</v>
      </c>
      <c r="N45" s="57">
        <v>0.25</v>
      </c>
      <c r="O45" s="57">
        <v>0.25</v>
      </c>
      <c r="P45" s="58">
        <f t="shared" si="3"/>
        <v>1</v>
      </c>
      <c r="Q45" s="724" t="s">
        <v>192</v>
      </c>
      <c r="R45" s="713"/>
      <c r="S45" s="713"/>
      <c r="T45" s="713"/>
      <c r="U45" s="713"/>
      <c r="V45" s="713"/>
      <c r="W45" s="713"/>
      <c r="X45" s="714"/>
      <c r="Y45" s="939" t="s">
        <v>193</v>
      </c>
      <c r="Z45" s="940"/>
      <c r="AA45" s="940"/>
      <c r="AB45" s="940"/>
      <c r="AC45" s="940"/>
      <c r="AD45" s="940"/>
      <c r="AE45" s="941"/>
    </row>
    <row r="46" spans="1:41" ht="66.599999999999994" customHeight="1" x14ac:dyDescent="0.25">
      <c r="A46" s="702"/>
      <c r="B46" s="703"/>
      <c r="C46" s="59" t="s">
        <v>50</v>
      </c>
      <c r="D46" s="60">
        <v>0</v>
      </c>
      <c r="E46" s="60">
        <v>0</v>
      </c>
      <c r="F46" s="60">
        <v>0</v>
      </c>
      <c r="G46" s="60">
        <v>0</v>
      </c>
      <c r="H46" s="60">
        <v>0</v>
      </c>
      <c r="I46" s="60">
        <v>0</v>
      </c>
      <c r="J46" s="60">
        <v>0</v>
      </c>
      <c r="K46" s="60">
        <v>0</v>
      </c>
      <c r="L46" s="60">
        <v>0.25</v>
      </c>
      <c r="M46" s="60">
        <v>0.25</v>
      </c>
      <c r="N46" s="60">
        <v>0.25</v>
      </c>
      <c r="O46" s="60">
        <v>0.25</v>
      </c>
      <c r="P46" s="58">
        <f t="shared" si="3"/>
        <v>1</v>
      </c>
      <c r="Q46" s="715"/>
      <c r="R46" s="716"/>
      <c r="S46" s="716"/>
      <c r="T46" s="716"/>
      <c r="U46" s="716"/>
      <c r="V46" s="716"/>
      <c r="W46" s="716"/>
      <c r="X46" s="717"/>
      <c r="Y46" s="942"/>
      <c r="Z46" s="943"/>
      <c r="AA46" s="943"/>
      <c r="AB46" s="943"/>
      <c r="AC46" s="943"/>
      <c r="AD46" s="943"/>
      <c r="AE46" s="944"/>
    </row>
    <row r="47" spans="1:41" ht="55.9" customHeight="1" x14ac:dyDescent="0.25">
      <c r="A47" s="702" t="s">
        <v>194</v>
      </c>
      <c r="B47" s="703">
        <v>0.02</v>
      </c>
      <c r="C47" s="56" t="s">
        <v>48</v>
      </c>
      <c r="D47" s="57">
        <v>0</v>
      </c>
      <c r="E47" s="57">
        <v>0</v>
      </c>
      <c r="F47" s="57">
        <v>0</v>
      </c>
      <c r="G47" s="57">
        <v>0</v>
      </c>
      <c r="H47" s="57">
        <v>0</v>
      </c>
      <c r="I47" s="57">
        <v>0</v>
      </c>
      <c r="J47" s="57">
        <v>0</v>
      </c>
      <c r="K47" s="57">
        <v>0</v>
      </c>
      <c r="L47" s="57">
        <v>0</v>
      </c>
      <c r="M47" s="57">
        <v>0</v>
      </c>
      <c r="N47" s="57">
        <v>0.5</v>
      </c>
      <c r="O47" s="57">
        <v>0.5</v>
      </c>
      <c r="P47" s="58">
        <f t="shared" si="3"/>
        <v>1</v>
      </c>
      <c r="Q47" s="704" t="s">
        <v>195</v>
      </c>
      <c r="R47" s="705"/>
      <c r="S47" s="705"/>
      <c r="T47" s="705"/>
      <c r="U47" s="705"/>
      <c r="V47" s="705"/>
      <c r="W47" s="705"/>
      <c r="X47" s="706"/>
      <c r="Y47" s="704" t="s">
        <v>196</v>
      </c>
      <c r="Z47" s="705"/>
      <c r="AA47" s="705"/>
      <c r="AB47" s="705"/>
      <c r="AC47" s="705"/>
      <c r="AD47" s="705"/>
      <c r="AE47" s="727"/>
    </row>
    <row r="48" spans="1:41" ht="55.9" customHeight="1" thickBot="1" x14ac:dyDescent="0.3">
      <c r="A48" s="725"/>
      <c r="B48" s="726"/>
      <c r="C48" s="55" t="s">
        <v>50</v>
      </c>
      <c r="D48" s="60">
        <v>0</v>
      </c>
      <c r="E48" s="60">
        <v>0</v>
      </c>
      <c r="F48" s="60">
        <v>0</v>
      </c>
      <c r="G48" s="60">
        <v>0</v>
      </c>
      <c r="H48" s="60">
        <v>0</v>
      </c>
      <c r="I48" s="60">
        <v>0</v>
      </c>
      <c r="J48" s="60">
        <v>0</v>
      </c>
      <c r="K48" s="61">
        <v>0</v>
      </c>
      <c r="L48" s="61">
        <v>0</v>
      </c>
      <c r="M48" s="61">
        <v>0</v>
      </c>
      <c r="N48" s="61">
        <v>0.5</v>
      </c>
      <c r="O48" s="61">
        <v>0.5</v>
      </c>
      <c r="P48" s="62">
        <f t="shared" si="3"/>
        <v>1</v>
      </c>
      <c r="Q48" s="707"/>
      <c r="R48" s="708"/>
      <c r="S48" s="708"/>
      <c r="T48" s="708"/>
      <c r="U48" s="708"/>
      <c r="V48" s="708"/>
      <c r="W48" s="708"/>
      <c r="X48" s="709"/>
      <c r="Y48" s="707"/>
      <c r="Z48" s="708"/>
      <c r="AA48" s="708"/>
      <c r="AB48" s="708"/>
      <c r="AC48" s="708"/>
      <c r="AD48" s="708"/>
      <c r="AE48" s="728"/>
    </row>
    <row r="49" spans="1:31" ht="15" customHeight="1" x14ac:dyDescent="0.25">
      <c r="A49" s="125" t="s">
        <v>197</v>
      </c>
      <c r="Q49" s="210"/>
      <c r="R49" s="210"/>
      <c r="S49" s="210"/>
      <c r="T49" s="210"/>
      <c r="U49" s="210"/>
      <c r="V49" s="210"/>
      <c r="W49" s="210"/>
      <c r="X49" s="210"/>
      <c r="Y49" s="210"/>
      <c r="Z49" s="210"/>
      <c r="AA49" s="210"/>
      <c r="AB49" s="210"/>
      <c r="AC49" s="210"/>
      <c r="AD49" s="210"/>
      <c r="AE49" s="210"/>
    </row>
    <row r="50" spans="1:31" x14ac:dyDescent="0.25">
      <c r="Q50" s="210"/>
      <c r="R50" s="210"/>
      <c r="S50" s="210"/>
      <c r="T50" s="210"/>
      <c r="U50" s="210"/>
      <c r="V50" s="210"/>
      <c r="W50" s="210"/>
      <c r="X50" s="210"/>
      <c r="Y50" s="210"/>
      <c r="Z50" s="210"/>
      <c r="AA50" s="210"/>
      <c r="AB50" s="210"/>
      <c r="AC50" s="210"/>
      <c r="AD50" s="210"/>
      <c r="AE50" s="210"/>
    </row>
    <row r="51" spans="1:31" x14ac:dyDescent="0.25">
      <c r="Q51" s="210"/>
      <c r="R51" s="210"/>
      <c r="S51" s="210"/>
      <c r="T51" s="210"/>
      <c r="U51" s="210"/>
      <c r="V51" s="210"/>
      <c r="W51" s="210"/>
      <c r="X51" s="210"/>
      <c r="Y51" s="210"/>
      <c r="Z51" s="210"/>
      <c r="AA51" s="210"/>
      <c r="AB51" s="210"/>
      <c r="AC51" s="210"/>
      <c r="AD51" s="210"/>
      <c r="AE51" s="210"/>
    </row>
    <row r="52" spans="1:31" x14ac:dyDescent="0.25">
      <c r="Q52" s="210"/>
      <c r="R52" s="210"/>
      <c r="S52" s="210"/>
      <c r="T52" s="210"/>
      <c r="U52" s="210"/>
      <c r="V52" s="210"/>
      <c r="W52" s="210"/>
      <c r="X52" s="210"/>
      <c r="Y52" s="210"/>
      <c r="Z52" s="210"/>
      <c r="AA52" s="210"/>
      <c r="AB52" s="210"/>
      <c r="AC52" s="210"/>
      <c r="AD52" s="210"/>
      <c r="AE52" s="210"/>
    </row>
    <row r="53" spans="1:31" x14ac:dyDescent="0.25">
      <c r="Q53" s="210"/>
      <c r="R53" s="210"/>
      <c r="S53" s="210"/>
      <c r="T53" s="210"/>
      <c r="U53" s="210"/>
      <c r="V53" s="210"/>
      <c r="W53" s="210"/>
      <c r="X53" s="210"/>
      <c r="Y53" s="210"/>
      <c r="Z53" s="210"/>
      <c r="AA53" s="210"/>
      <c r="AB53" s="210"/>
      <c r="AC53" s="210"/>
      <c r="AD53" s="210"/>
      <c r="AE53" s="210"/>
    </row>
    <row r="54" spans="1:31" ht="75" hidden="1" customHeight="1" thickBot="1" x14ac:dyDescent="0.3">
      <c r="Q54" s="210"/>
      <c r="R54" s="210"/>
      <c r="S54" s="210"/>
      <c r="T54" s="210"/>
      <c r="U54" s="210"/>
      <c r="V54" s="210"/>
      <c r="W54" s="210"/>
      <c r="X54" s="210"/>
      <c r="Y54" s="210"/>
      <c r="Z54" s="210"/>
      <c r="AA54" s="210"/>
      <c r="AB54" s="210"/>
      <c r="AC54" s="210"/>
      <c r="AD54" s="210"/>
      <c r="AE54" s="210"/>
    </row>
    <row r="55" spans="1:31" s="214" customFormat="1" ht="15" hidden="1" x14ac:dyDescent="0.25">
      <c r="A55" s="578" t="s">
        <v>44</v>
      </c>
      <c r="B55" s="580" t="s">
        <v>167</v>
      </c>
      <c r="C55" s="582" t="s">
        <v>169</v>
      </c>
      <c r="D55" s="583"/>
      <c r="E55" s="583"/>
      <c r="F55" s="583"/>
      <c r="G55" s="583"/>
      <c r="H55" s="583"/>
      <c r="I55" s="583"/>
      <c r="J55" s="583"/>
      <c r="K55" s="583"/>
      <c r="L55" s="583"/>
      <c r="M55" s="583"/>
      <c r="N55" s="583"/>
      <c r="O55" s="583"/>
      <c r="P55" s="584"/>
      <c r="Q55" s="211"/>
      <c r="R55" s="211"/>
      <c r="S55" s="212"/>
      <c r="T55" s="212"/>
      <c r="U55" s="212"/>
      <c r="V55" s="212"/>
      <c r="W55" s="212"/>
      <c r="X55" s="212"/>
      <c r="Y55" s="212"/>
      <c r="Z55" s="212"/>
      <c r="AA55" s="212"/>
      <c r="AB55" s="212"/>
      <c r="AC55" s="212"/>
      <c r="AD55" s="212"/>
      <c r="AE55" s="213"/>
    </row>
    <row r="56" spans="1:31" s="214" customFormat="1" ht="21" hidden="1" x14ac:dyDescent="0.25">
      <c r="A56" s="579"/>
      <c r="B56" s="581"/>
      <c r="C56" s="215" t="s">
        <v>168</v>
      </c>
      <c r="D56" s="215" t="s">
        <v>171</v>
      </c>
      <c r="E56" s="215" t="s">
        <v>172</v>
      </c>
      <c r="F56" s="215" t="s">
        <v>173</v>
      </c>
      <c r="G56" s="215" t="s">
        <v>174</v>
      </c>
      <c r="H56" s="215" t="s">
        <v>175</v>
      </c>
      <c r="I56" s="215" t="s">
        <v>176</v>
      </c>
      <c r="J56" s="215" t="s">
        <v>177</v>
      </c>
      <c r="K56" s="215" t="s">
        <v>178</v>
      </c>
      <c r="L56" s="215" t="s">
        <v>179</v>
      </c>
      <c r="M56" s="215" t="s">
        <v>180</v>
      </c>
      <c r="N56" s="215" t="s">
        <v>181</v>
      </c>
      <c r="O56" s="215" t="s">
        <v>182</v>
      </c>
      <c r="P56" s="216" t="s">
        <v>183</v>
      </c>
      <c r="Q56" s="211"/>
      <c r="R56" s="211"/>
      <c r="S56" s="212"/>
      <c r="T56" s="212"/>
      <c r="U56" s="212"/>
      <c r="V56" s="212"/>
      <c r="W56" s="212"/>
      <c r="X56" s="212"/>
      <c r="Y56" s="212"/>
      <c r="Z56" s="212"/>
      <c r="AA56" s="212"/>
      <c r="AB56" s="212"/>
      <c r="AC56" s="212"/>
      <c r="AD56" s="212"/>
      <c r="AE56" s="213"/>
    </row>
    <row r="57" spans="1:31" s="214" customFormat="1" ht="18" hidden="1" customHeight="1" x14ac:dyDescent="0.25">
      <c r="A57" s="574" t="str">
        <f>A41</f>
        <v>1. Desarrollar una guía estructurada que sirva como referencia para la creación de documentos técnicos enfocados en la formulación de estrategias de transformación cultural.</v>
      </c>
      <c r="B57" s="576">
        <f>B41</f>
        <v>0.03</v>
      </c>
      <c r="C57" s="217" t="s">
        <v>48</v>
      </c>
      <c r="D57" s="218">
        <f>D41*$B$41/$P$41</f>
        <v>0</v>
      </c>
      <c r="E57" s="218">
        <f t="shared" ref="E57:O58" si="4">E41*$B$41/$P$41</f>
        <v>0</v>
      </c>
      <c r="F57" s="218">
        <f t="shared" si="4"/>
        <v>0</v>
      </c>
      <c r="G57" s="218">
        <f t="shared" si="4"/>
        <v>0</v>
      </c>
      <c r="H57" s="218">
        <f t="shared" si="4"/>
        <v>0</v>
      </c>
      <c r="I57" s="218">
        <f t="shared" si="4"/>
        <v>0</v>
      </c>
      <c r="J57" s="218">
        <f t="shared" si="4"/>
        <v>0</v>
      </c>
      <c r="K57" s="218">
        <f t="shared" si="4"/>
        <v>8.9999999999999993E-3</v>
      </c>
      <c r="L57" s="218">
        <f t="shared" si="4"/>
        <v>2.0999999999999998E-2</v>
      </c>
      <c r="M57" s="218">
        <f t="shared" si="4"/>
        <v>0</v>
      </c>
      <c r="N57" s="218">
        <f t="shared" si="4"/>
        <v>0</v>
      </c>
      <c r="O57" s="218">
        <f t="shared" si="4"/>
        <v>0</v>
      </c>
      <c r="P57" s="219">
        <f>SUM(D57:O57)</f>
        <v>0.03</v>
      </c>
      <c r="Q57" s="220">
        <v>0.05</v>
      </c>
      <c r="R57" s="221">
        <f t="shared" ref="R57:R68" si="5">+P57-Q57</f>
        <v>-2.0000000000000004E-2</v>
      </c>
      <c r="S57" s="212"/>
      <c r="T57" s="212"/>
      <c r="U57" s="212"/>
      <c r="V57" s="212"/>
      <c r="W57" s="212"/>
      <c r="X57" s="212"/>
      <c r="Y57" s="212"/>
      <c r="Z57" s="212"/>
      <c r="AA57" s="212"/>
      <c r="AB57" s="212"/>
      <c r="AC57" s="212"/>
      <c r="AD57" s="212"/>
      <c r="AE57" s="213"/>
    </row>
    <row r="58" spans="1:31" s="214" customFormat="1" ht="18" hidden="1" customHeight="1" x14ac:dyDescent="0.25">
      <c r="A58" s="575"/>
      <c r="B58" s="577"/>
      <c r="C58" s="222" t="s">
        <v>50</v>
      </c>
      <c r="D58" s="223">
        <f>D42*$B$41/$P$41</f>
        <v>0</v>
      </c>
      <c r="E58" s="223">
        <f t="shared" si="4"/>
        <v>0</v>
      </c>
      <c r="F58" s="223">
        <f t="shared" si="4"/>
        <v>0</v>
      </c>
      <c r="G58" s="223">
        <f t="shared" si="4"/>
        <v>0</v>
      </c>
      <c r="H58" s="223">
        <f t="shared" si="4"/>
        <v>0</v>
      </c>
      <c r="I58" s="223">
        <f t="shared" si="4"/>
        <v>0</v>
      </c>
      <c r="J58" s="223">
        <f t="shared" si="4"/>
        <v>0</v>
      </c>
      <c r="K58" s="223">
        <f>K42*$B$41/$P$41</f>
        <v>8.9999999999999993E-3</v>
      </c>
      <c r="L58" s="223">
        <f t="shared" si="4"/>
        <v>2.0999999999999998E-2</v>
      </c>
      <c r="M58" s="223">
        <f t="shared" si="4"/>
        <v>0</v>
      </c>
      <c r="N58" s="223">
        <f t="shared" si="4"/>
        <v>0</v>
      </c>
      <c r="O58" s="223">
        <f t="shared" si="4"/>
        <v>0</v>
      </c>
      <c r="P58" s="224">
        <f>SUM(D58:O58)</f>
        <v>0.03</v>
      </c>
      <c r="Q58" s="225">
        <f>+P58</f>
        <v>0.03</v>
      </c>
      <c r="R58" s="221">
        <f t="shared" si="5"/>
        <v>0</v>
      </c>
      <c r="S58" s="212"/>
      <c r="T58" s="212"/>
      <c r="U58" s="212"/>
      <c r="V58" s="212"/>
      <c r="W58" s="212"/>
      <c r="X58" s="212"/>
      <c r="Y58" s="212"/>
      <c r="Z58" s="212"/>
      <c r="AA58" s="212"/>
      <c r="AB58" s="212"/>
      <c r="AC58" s="212"/>
      <c r="AD58" s="212"/>
      <c r="AE58" s="213"/>
    </row>
    <row r="59" spans="1:31" s="214" customFormat="1" ht="18" hidden="1" customHeight="1" x14ac:dyDescent="0.25">
      <c r="A59" s="574" t="str">
        <f t="shared" ref="A59:B59" si="6">A43</f>
        <v xml:space="preserve">2. Adelantar dos diagnósticos para identificar las barreras culturales, sociales, legales y económicas que impiden la redistribución equitativa del cuidado, y sustentan las violencias de género  aplicando los respectivos modelos de cambio cultural y comportamental. </v>
      </c>
      <c r="B59" s="576">
        <f t="shared" si="6"/>
        <v>0.02</v>
      </c>
      <c r="C59" s="217" t="s">
        <v>48</v>
      </c>
      <c r="D59" s="218">
        <f>D43*$B$43/$P$43</f>
        <v>0</v>
      </c>
      <c r="E59" s="218">
        <f t="shared" ref="E59:O60" si="7">E43*$B$43/$P$43</f>
        <v>0</v>
      </c>
      <c r="F59" s="218">
        <f t="shared" si="7"/>
        <v>0</v>
      </c>
      <c r="G59" s="218">
        <f t="shared" si="7"/>
        <v>0</v>
      </c>
      <c r="H59" s="218">
        <f t="shared" si="7"/>
        <v>0</v>
      </c>
      <c r="I59" s="218">
        <f t="shared" si="7"/>
        <v>0</v>
      </c>
      <c r="J59" s="218">
        <f t="shared" si="7"/>
        <v>0</v>
      </c>
      <c r="K59" s="218">
        <f t="shared" si="7"/>
        <v>0.01</v>
      </c>
      <c r="L59" s="218">
        <f t="shared" si="7"/>
        <v>6.0000000000000001E-3</v>
      </c>
      <c r="M59" s="218">
        <f t="shared" si="7"/>
        <v>4.0000000000000001E-3</v>
      </c>
      <c r="N59" s="218">
        <f t="shared" si="7"/>
        <v>0</v>
      </c>
      <c r="O59" s="218">
        <f t="shared" si="7"/>
        <v>0</v>
      </c>
      <c r="P59" s="219">
        <f>SUM(D59:O59)</f>
        <v>0.02</v>
      </c>
      <c r="Q59" s="220">
        <v>2.5000000000000001E-2</v>
      </c>
      <c r="R59" s="221">
        <f t="shared" si="5"/>
        <v>-5.000000000000001E-3</v>
      </c>
      <c r="S59" s="212"/>
      <c r="T59" s="212"/>
      <c r="U59" s="212"/>
      <c r="V59" s="212"/>
      <c r="W59" s="212"/>
      <c r="X59" s="212"/>
      <c r="Y59" s="212"/>
      <c r="Z59" s="212"/>
      <c r="AA59" s="212"/>
      <c r="AB59" s="212"/>
      <c r="AC59" s="212"/>
      <c r="AD59" s="212"/>
      <c r="AE59" s="213"/>
    </row>
    <row r="60" spans="1:31" s="214" customFormat="1" ht="18" hidden="1" customHeight="1" x14ac:dyDescent="0.25">
      <c r="A60" s="575"/>
      <c r="B60" s="577"/>
      <c r="C60" s="222" t="s">
        <v>50</v>
      </c>
      <c r="D60" s="223">
        <f>D44*$B$43/$P$43</f>
        <v>0</v>
      </c>
      <c r="E60" s="223">
        <f t="shared" si="7"/>
        <v>0</v>
      </c>
      <c r="F60" s="223">
        <f t="shared" si="7"/>
        <v>0</v>
      </c>
      <c r="G60" s="223">
        <f t="shared" si="7"/>
        <v>0</v>
      </c>
      <c r="H60" s="223">
        <f t="shared" si="7"/>
        <v>0</v>
      </c>
      <c r="I60" s="223">
        <f t="shared" si="7"/>
        <v>0</v>
      </c>
      <c r="J60" s="223">
        <f t="shared" si="7"/>
        <v>0</v>
      </c>
      <c r="K60" s="223">
        <f t="shared" si="7"/>
        <v>0.01</v>
      </c>
      <c r="L60" s="223">
        <f t="shared" si="7"/>
        <v>6.0000000000000001E-3</v>
      </c>
      <c r="M60" s="223">
        <f t="shared" si="7"/>
        <v>4.0000000000000001E-3</v>
      </c>
      <c r="N60" s="223">
        <f t="shared" si="7"/>
        <v>0</v>
      </c>
      <c r="O60" s="223">
        <f t="shared" si="7"/>
        <v>0</v>
      </c>
      <c r="P60" s="224">
        <f t="shared" ref="P60:P64" si="8">SUM(D60:O60)</f>
        <v>0.02</v>
      </c>
      <c r="Q60" s="225">
        <f>+P60</f>
        <v>0.02</v>
      </c>
      <c r="R60" s="221">
        <f t="shared" si="5"/>
        <v>0</v>
      </c>
      <c r="S60" s="212"/>
      <c r="T60" s="212"/>
      <c r="U60" s="212"/>
      <c r="V60" s="212"/>
      <c r="W60" s="212"/>
      <c r="X60" s="212"/>
      <c r="Y60" s="212"/>
      <c r="Z60" s="212"/>
      <c r="AA60" s="212"/>
      <c r="AB60" s="212"/>
      <c r="AC60" s="212"/>
      <c r="AD60" s="212"/>
      <c r="AE60" s="213"/>
    </row>
    <row r="61" spans="1:31" s="214" customFormat="1" ht="18" hidden="1" customHeight="1" x14ac:dyDescent="0.25">
      <c r="A61" s="574" t="str">
        <f t="shared" ref="A61:B61" si="9">A45</f>
        <v>3. Planificar la implementación de las estrategias, incluyendo la coordinación con otras dependencias, entidades, organizaciones locales y comunitarias. Establecer alianzas y definir roles y responsabilidades.</v>
      </c>
      <c r="B61" s="576">
        <f t="shared" si="9"/>
        <v>0.03</v>
      </c>
      <c r="C61" s="217" t="s">
        <v>48</v>
      </c>
      <c r="D61" s="218">
        <f>D45*$B$45/$P$45</f>
        <v>0</v>
      </c>
      <c r="E61" s="218">
        <f t="shared" ref="E61:O62" si="10">E45*$B$45/$P$45</f>
        <v>0</v>
      </c>
      <c r="F61" s="218">
        <f t="shared" si="10"/>
        <v>0</v>
      </c>
      <c r="G61" s="218">
        <f t="shared" si="10"/>
        <v>0</v>
      </c>
      <c r="H61" s="218">
        <f t="shared" si="10"/>
        <v>0</v>
      </c>
      <c r="I61" s="218">
        <f t="shared" si="10"/>
        <v>0</v>
      </c>
      <c r="J61" s="218">
        <f t="shared" si="10"/>
        <v>0</v>
      </c>
      <c r="K61" s="218">
        <f t="shared" si="10"/>
        <v>0</v>
      </c>
      <c r="L61" s="218">
        <f t="shared" si="10"/>
        <v>7.4999999999999997E-3</v>
      </c>
      <c r="M61" s="218">
        <f t="shared" si="10"/>
        <v>7.4999999999999997E-3</v>
      </c>
      <c r="N61" s="218">
        <f t="shared" si="10"/>
        <v>7.4999999999999997E-3</v>
      </c>
      <c r="O61" s="218">
        <f t="shared" si="10"/>
        <v>7.4999999999999997E-3</v>
      </c>
      <c r="P61" s="219">
        <f>SUM(D61:O61)</f>
        <v>0.03</v>
      </c>
      <c r="Q61" s="220">
        <v>2.5000000000000001E-2</v>
      </c>
      <c r="R61" s="221">
        <f t="shared" si="5"/>
        <v>4.9999999999999975E-3</v>
      </c>
      <c r="S61" s="212"/>
      <c r="T61" s="212"/>
      <c r="U61" s="212"/>
      <c r="V61" s="212"/>
      <c r="W61" s="212"/>
      <c r="X61" s="212"/>
      <c r="Y61" s="212"/>
      <c r="Z61" s="212"/>
      <c r="AA61" s="212"/>
      <c r="AB61" s="212"/>
      <c r="AC61" s="212"/>
      <c r="AD61" s="212"/>
      <c r="AE61" s="213"/>
    </row>
    <row r="62" spans="1:31" s="214" customFormat="1" ht="18" hidden="1" customHeight="1" x14ac:dyDescent="0.25">
      <c r="A62" s="575"/>
      <c r="B62" s="577"/>
      <c r="C62" s="222" t="s">
        <v>50</v>
      </c>
      <c r="D62" s="226">
        <f>D46*$B$45/$P$45</f>
        <v>0</v>
      </c>
      <c r="E62" s="226">
        <f t="shared" si="10"/>
        <v>0</v>
      </c>
      <c r="F62" s="226">
        <f t="shared" si="10"/>
        <v>0</v>
      </c>
      <c r="G62" s="226">
        <f t="shared" si="10"/>
        <v>0</v>
      </c>
      <c r="H62" s="226">
        <f t="shared" si="10"/>
        <v>0</v>
      </c>
      <c r="I62" s="226">
        <f t="shared" si="10"/>
        <v>0</v>
      </c>
      <c r="J62" s="226">
        <f t="shared" si="10"/>
        <v>0</v>
      </c>
      <c r="K62" s="226">
        <f t="shared" si="10"/>
        <v>0</v>
      </c>
      <c r="L62" s="226">
        <f t="shared" si="10"/>
        <v>7.4999999999999997E-3</v>
      </c>
      <c r="M62" s="226">
        <f t="shared" si="10"/>
        <v>7.4999999999999997E-3</v>
      </c>
      <c r="N62" s="226">
        <f t="shared" si="10"/>
        <v>7.4999999999999997E-3</v>
      </c>
      <c r="O62" s="226">
        <f t="shared" si="10"/>
        <v>7.4999999999999997E-3</v>
      </c>
      <c r="P62" s="224">
        <f t="shared" si="8"/>
        <v>0.03</v>
      </c>
      <c r="Q62" s="225">
        <f>+P62</f>
        <v>0.03</v>
      </c>
      <c r="R62" s="221">
        <f t="shared" si="5"/>
        <v>0</v>
      </c>
      <c r="S62" s="212"/>
      <c r="T62" s="212"/>
      <c r="U62" s="212"/>
      <c r="V62" s="212"/>
      <c r="W62" s="212"/>
      <c r="X62" s="212"/>
      <c r="Y62" s="212"/>
      <c r="Z62" s="212"/>
      <c r="AA62" s="212"/>
      <c r="AB62" s="212"/>
      <c r="AC62" s="212"/>
      <c r="AD62" s="212"/>
      <c r="AE62" s="213"/>
    </row>
    <row r="63" spans="1:31" s="214" customFormat="1" ht="18" hidden="1" customHeight="1" x14ac:dyDescent="0.25">
      <c r="A63" s="574" t="str">
        <f t="shared" ref="A63:B63" si="11">A47</f>
        <v>4. Desarrollar un informe de balance general que detalle y evalúe las acciones implementadas bajo la estrategia de transformación cultural durante el año 2024.</v>
      </c>
      <c r="B63" s="576">
        <f t="shared" si="11"/>
        <v>0.02</v>
      </c>
      <c r="C63" s="217" t="s">
        <v>48</v>
      </c>
      <c r="D63" s="218">
        <f>D47*$B$47/$P$47</f>
        <v>0</v>
      </c>
      <c r="E63" s="218">
        <f t="shared" ref="E63:O63" si="12">E47*$B$47/$P$47</f>
        <v>0</v>
      </c>
      <c r="F63" s="218">
        <f t="shared" si="12"/>
        <v>0</v>
      </c>
      <c r="G63" s="218">
        <f t="shared" si="12"/>
        <v>0</v>
      </c>
      <c r="H63" s="218">
        <f t="shared" si="12"/>
        <v>0</v>
      </c>
      <c r="I63" s="218">
        <f t="shared" si="12"/>
        <v>0</v>
      </c>
      <c r="J63" s="218">
        <f t="shared" si="12"/>
        <v>0</v>
      </c>
      <c r="K63" s="218">
        <f t="shared" si="12"/>
        <v>0</v>
      </c>
      <c r="L63" s="218">
        <f t="shared" si="12"/>
        <v>0</v>
      </c>
      <c r="M63" s="218">
        <f t="shared" si="12"/>
        <v>0</v>
      </c>
      <c r="N63" s="218">
        <f t="shared" si="12"/>
        <v>0.01</v>
      </c>
      <c r="O63" s="218">
        <f t="shared" si="12"/>
        <v>0.01</v>
      </c>
      <c r="P63" s="219">
        <f>SUM(D63:O63)</f>
        <v>0.02</v>
      </c>
      <c r="Q63" s="220"/>
      <c r="R63" s="221">
        <f t="shared" si="5"/>
        <v>0.02</v>
      </c>
      <c r="S63" s="212"/>
      <c r="T63" s="212"/>
      <c r="U63" s="212"/>
      <c r="V63" s="212"/>
      <c r="W63" s="212"/>
      <c r="X63" s="212"/>
      <c r="Y63" s="212"/>
      <c r="Z63" s="212"/>
      <c r="AA63" s="212"/>
      <c r="AB63" s="212"/>
      <c r="AC63" s="212"/>
      <c r="AD63" s="212"/>
      <c r="AE63" s="213"/>
    </row>
    <row r="64" spans="1:31" s="214" customFormat="1" ht="18" hidden="1" customHeight="1" thickBot="1" x14ac:dyDescent="0.3">
      <c r="A64" s="575"/>
      <c r="B64" s="577"/>
      <c r="C64" s="227" t="s">
        <v>50</v>
      </c>
      <c r="D64" s="226">
        <f>D48*$B$47/$P$47</f>
        <v>0</v>
      </c>
      <c r="E64" s="226">
        <f t="shared" ref="E64:O64" si="13">E48*$B$47/$P$47</f>
        <v>0</v>
      </c>
      <c r="F64" s="226">
        <f t="shared" si="13"/>
        <v>0</v>
      </c>
      <c r="G64" s="226">
        <f t="shared" si="13"/>
        <v>0</v>
      </c>
      <c r="H64" s="226">
        <f t="shared" si="13"/>
        <v>0</v>
      </c>
      <c r="I64" s="226">
        <f t="shared" si="13"/>
        <v>0</v>
      </c>
      <c r="J64" s="226">
        <f t="shared" si="13"/>
        <v>0</v>
      </c>
      <c r="K64" s="226">
        <f t="shared" si="13"/>
        <v>0</v>
      </c>
      <c r="L64" s="226">
        <f t="shared" si="13"/>
        <v>0</v>
      </c>
      <c r="M64" s="226">
        <f t="shared" si="13"/>
        <v>0</v>
      </c>
      <c r="N64" s="226">
        <f t="shared" si="13"/>
        <v>0.01</v>
      </c>
      <c r="O64" s="226">
        <f t="shared" si="13"/>
        <v>0.01</v>
      </c>
      <c r="P64" s="224">
        <f t="shared" si="8"/>
        <v>0.02</v>
      </c>
      <c r="Q64" s="225"/>
      <c r="R64" s="221">
        <f t="shared" si="5"/>
        <v>0.02</v>
      </c>
      <c r="S64" s="212"/>
      <c r="T64" s="212"/>
      <c r="U64" s="212"/>
      <c r="V64" s="212"/>
      <c r="W64" s="212"/>
      <c r="X64" s="212"/>
      <c r="Y64" s="212"/>
      <c r="Z64" s="212"/>
      <c r="AA64" s="212"/>
      <c r="AB64" s="212"/>
      <c r="AC64" s="212"/>
      <c r="AD64" s="212"/>
      <c r="AE64" s="213"/>
    </row>
    <row r="65" spans="1:31" s="214" customFormat="1" ht="15" hidden="1" x14ac:dyDescent="0.25">
      <c r="A65" s="570"/>
      <c r="B65" s="572"/>
      <c r="C65" s="228"/>
      <c r="D65" s="218"/>
      <c r="E65" s="218"/>
      <c r="F65" s="218"/>
      <c r="G65" s="218"/>
      <c r="H65" s="218"/>
      <c r="I65" s="218"/>
      <c r="J65" s="218"/>
      <c r="K65" s="218"/>
      <c r="L65" s="218"/>
      <c r="M65" s="218"/>
      <c r="N65" s="218"/>
      <c r="O65" s="218"/>
      <c r="P65" s="229"/>
      <c r="Q65" s="220"/>
      <c r="R65" s="221">
        <f t="shared" si="5"/>
        <v>0</v>
      </c>
      <c r="S65" s="212"/>
      <c r="T65" s="212"/>
      <c r="U65" s="212"/>
      <c r="V65" s="212"/>
      <c r="W65" s="212"/>
      <c r="X65" s="212"/>
      <c r="Y65" s="212"/>
      <c r="Z65" s="212"/>
      <c r="AA65" s="212"/>
      <c r="AB65" s="212"/>
      <c r="AC65" s="212"/>
      <c r="AD65" s="212"/>
      <c r="AE65" s="213"/>
    </row>
    <row r="66" spans="1:31" s="214" customFormat="1" ht="15" hidden="1" x14ac:dyDescent="0.25">
      <c r="A66" s="571"/>
      <c r="B66" s="573"/>
      <c r="C66" s="228"/>
      <c r="D66" s="232"/>
      <c r="E66" s="232"/>
      <c r="F66" s="232"/>
      <c r="G66" s="232"/>
      <c r="H66" s="232"/>
      <c r="I66" s="232"/>
      <c r="J66" s="232"/>
      <c r="K66" s="232"/>
      <c r="L66" s="232"/>
      <c r="M66" s="232"/>
      <c r="N66" s="232"/>
      <c r="O66" s="232"/>
      <c r="P66" s="229"/>
      <c r="Q66" s="225"/>
      <c r="R66" s="221">
        <f t="shared" si="5"/>
        <v>0</v>
      </c>
      <c r="S66" s="212"/>
      <c r="T66" s="212"/>
      <c r="U66" s="212"/>
      <c r="V66" s="212"/>
      <c r="W66" s="212"/>
      <c r="X66" s="212"/>
      <c r="Y66" s="212"/>
      <c r="Z66" s="212"/>
      <c r="AA66" s="212"/>
      <c r="AB66" s="212"/>
      <c r="AC66" s="212"/>
      <c r="AD66" s="212"/>
      <c r="AE66" s="213"/>
    </row>
    <row r="67" spans="1:31" s="214" customFormat="1" ht="15" hidden="1" x14ac:dyDescent="0.25">
      <c r="A67" s="570"/>
      <c r="B67" s="572"/>
      <c r="C67" s="228"/>
      <c r="D67" s="218"/>
      <c r="E67" s="218"/>
      <c r="F67" s="218"/>
      <c r="G67" s="218"/>
      <c r="H67" s="218"/>
      <c r="I67" s="218"/>
      <c r="J67" s="218"/>
      <c r="K67" s="218"/>
      <c r="L67" s="218"/>
      <c r="M67" s="218"/>
      <c r="N67" s="218"/>
      <c r="O67" s="218"/>
      <c r="P67" s="229"/>
      <c r="Q67" s="220"/>
      <c r="R67" s="221">
        <f t="shared" si="5"/>
        <v>0</v>
      </c>
      <c r="S67" s="212"/>
      <c r="T67" s="212"/>
      <c r="U67" s="212"/>
      <c r="V67" s="212"/>
      <c r="W67" s="212"/>
      <c r="X67" s="212"/>
      <c r="Y67" s="212"/>
      <c r="Z67" s="212"/>
      <c r="AA67" s="212"/>
      <c r="AB67" s="212"/>
      <c r="AC67" s="212"/>
      <c r="AD67" s="212"/>
      <c r="AE67" s="213"/>
    </row>
    <row r="68" spans="1:31" s="214" customFormat="1" ht="15" hidden="1" x14ac:dyDescent="0.25">
      <c r="A68" s="571"/>
      <c r="B68" s="573"/>
      <c r="C68" s="228"/>
      <c r="D68" s="232"/>
      <c r="E68" s="232"/>
      <c r="F68" s="232"/>
      <c r="G68" s="232"/>
      <c r="H68" s="232"/>
      <c r="I68" s="232"/>
      <c r="J68" s="232"/>
      <c r="K68" s="232"/>
      <c r="L68" s="232"/>
      <c r="M68" s="232"/>
      <c r="N68" s="232"/>
      <c r="O68" s="232"/>
      <c r="P68" s="229"/>
      <c r="Q68" s="225"/>
      <c r="R68" s="221">
        <f t="shared" si="5"/>
        <v>0</v>
      </c>
      <c r="S68" s="212"/>
      <c r="T68" s="212"/>
      <c r="U68" s="212"/>
      <c r="V68" s="212"/>
      <c r="W68" s="212"/>
      <c r="X68" s="212"/>
      <c r="Y68" s="212"/>
      <c r="Z68" s="212"/>
      <c r="AA68" s="212"/>
      <c r="AB68" s="212"/>
      <c r="AC68" s="212"/>
      <c r="AD68" s="212"/>
      <c r="AE68" s="213"/>
    </row>
    <row r="69" spans="1:31" s="214" customFormat="1" ht="15" hidden="1" x14ac:dyDescent="0.25">
      <c r="A69" s="570"/>
      <c r="B69" s="572"/>
      <c r="C69" s="228"/>
      <c r="D69" s="218"/>
      <c r="E69" s="218"/>
      <c r="F69" s="218"/>
      <c r="G69" s="218"/>
      <c r="H69" s="218"/>
      <c r="I69" s="218"/>
      <c r="J69" s="218"/>
      <c r="K69" s="218"/>
      <c r="L69" s="218"/>
      <c r="M69" s="218"/>
      <c r="N69" s="218"/>
      <c r="O69" s="218"/>
      <c r="P69" s="229"/>
      <c r="Q69" s="220"/>
      <c r="R69" s="221"/>
      <c r="S69" s="212"/>
      <c r="T69" s="212"/>
      <c r="U69" s="212"/>
      <c r="V69" s="212"/>
      <c r="W69" s="212"/>
      <c r="X69" s="212"/>
      <c r="Y69" s="212"/>
      <c r="Z69" s="212"/>
      <c r="AA69" s="212"/>
      <c r="AB69" s="212"/>
      <c r="AC69" s="212"/>
      <c r="AD69" s="212"/>
      <c r="AE69" s="213"/>
    </row>
    <row r="70" spans="1:31" s="214" customFormat="1" ht="15" hidden="1" x14ac:dyDescent="0.25">
      <c r="A70" s="571"/>
      <c r="B70" s="573"/>
      <c r="C70" s="228"/>
      <c r="D70" s="232"/>
      <c r="E70" s="232"/>
      <c r="F70" s="232"/>
      <c r="G70" s="232"/>
      <c r="H70" s="232"/>
      <c r="I70" s="232"/>
      <c r="J70" s="232"/>
      <c r="K70" s="232"/>
      <c r="L70" s="232"/>
      <c r="M70" s="232"/>
      <c r="N70" s="232"/>
      <c r="O70" s="232"/>
      <c r="P70" s="229"/>
      <c r="Q70" s="225"/>
      <c r="R70" s="221"/>
      <c r="S70" s="212"/>
      <c r="T70" s="212"/>
      <c r="U70" s="212"/>
      <c r="V70" s="212"/>
      <c r="W70" s="212"/>
      <c r="X70" s="212"/>
      <c r="Y70" s="212"/>
      <c r="Z70" s="212"/>
      <c r="AA70" s="212"/>
      <c r="AB70" s="212"/>
      <c r="AC70" s="212"/>
      <c r="AD70" s="212"/>
      <c r="AE70" s="213"/>
    </row>
    <row r="71" spans="1:31" s="214" customFormat="1" ht="15" hidden="1" x14ac:dyDescent="0.25">
      <c r="A71" s="211"/>
      <c r="B71" s="233"/>
      <c r="C71" s="234"/>
      <c r="D71" s="235">
        <f>D58+D60+D62+D64</f>
        <v>0</v>
      </c>
      <c r="E71" s="235">
        <f t="shared" ref="E71:O71" si="14">E58+E60+E62+E64</f>
        <v>0</v>
      </c>
      <c r="F71" s="235">
        <f t="shared" si="14"/>
        <v>0</v>
      </c>
      <c r="G71" s="235">
        <f t="shared" si="14"/>
        <v>0</v>
      </c>
      <c r="H71" s="235">
        <f t="shared" si="14"/>
        <v>0</v>
      </c>
      <c r="I71" s="235">
        <f t="shared" si="14"/>
        <v>0</v>
      </c>
      <c r="J71" s="235">
        <f t="shared" si="14"/>
        <v>0</v>
      </c>
      <c r="K71" s="235">
        <f t="shared" si="14"/>
        <v>1.9E-2</v>
      </c>
      <c r="L71" s="235">
        <f t="shared" si="14"/>
        <v>3.4499999999999996E-2</v>
      </c>
      <c r="M71" s="235">
        <f t="shared" si="14"/>
        <v>1.15E-2</v>
      </c>
      <c r="N71" s="235">
        <f t="shared" si="14"/>
        <v>1.7500000000000002E-2</v>
      </c>
      <c r="O71" s="235">
        <f t="shared" si="14"/>
        <v>1.7500000000000002E-2</v>
      </c>
      <c r="P71" s="235">
        <f>P58+P60+P62+P64</f>
        <v>0.1</v>
      </c>
      <c r="Q71" s="211"/>
      <c r="R71" s="221">
        <f>+P71-Q71</f>
        <v>0.1</v>
      </c>
      <c r="S71" s="212"/>
      <c r="T71" s="212"/>
      <c r="U71" s="212"/>
      <c r="V71" s="212"/>
      <c r="W71" s="212"/>
      <c r="X71" s="212"/>
      <c r="Y71" s="212"/>
      <c r="Z71" s="212"/>
      <c r="AA71" s="212"/>
      <c r="AB71" s="212"/>
      <c r="AC71" s="212"/>
      <c r="AD71" s="212"/>
      <c r="AE71" s="213"/>
    </row>
    <row r="72" spans="1:31" s="214" customFormat="1" ht="15" hidden="1" x14ac:dyDescent="0.25">
      <c r="A72" s="211"/>
      <c r="B72" s="236"/>
      <c r="C72" s="237" t="s">
        <v>50</v>
      </c>
      <c r="D72" s="238">
        <f>D71*3/$B$35</f>
        <v>0</v>
      </c>
      <c r="E72" s="238">
        <f t="shared" ref="E72:O72" si="15">E71*3/$B$35</f>
        <v>0</v>
      </c>
      <c r="F72" s="238">
        <f t="shared" si="15"/>
        <v>0</v>
      </c>
      <c r="G72" s="238">
        <f t="shared" si="15"/>
        <v>0</v>
      </c>
      <c r="H72" s="238">
        <f t="shared" si="15"/>
        <v>0</v>
      </c>
      <c r="I72" s="238">
        <f t="shared" si="15"/>
        <v>0</v>
      </c>
      <c r="J72" s="238">
        <f t="shared" si="15"/>
        <v>0</v>
      </c>
      <c r="K72" s="238">
        <f t="shared" si="15"/>
        <v>0.56999999999999995</v>
      </c>
      <c r="L72" s="238">
        <f t="shared" si="15"/>
        <v>1.0349999999999997</v>
      </c>
      <c r="M72" s="238">
        <f t="shared" si="15"/>
        <v>0.34500000000000003</v>
      </c>
      <c r="N72" s="238">
        <f t="shared" si="15"/>
        <v>0.52500000000000002</v>
      </c>
      <c r="O72" s="238">
        <f t="shared" si="15"/>
        <v>0.52500000000000002</v>
      </c>
      <c r="P72" s="239">
        <f>SUM(D72:O72)</f>
        <v>2.9999999999999996</v>
      </c>
      <c r="Q72" s="240"/>
      <c r="R72" s="211"/>
      <c r="S72" s="212"/>
      <c r="T72" s="212"/>
      <c r="U72" s="212"/>
      <c r="V72" s="212"/>
      <c r="W72" s="212"/>
      <c r="X72" s="212"/>
      <c r="Y72" s="212"/>
      <c r="Z72" s="212"/>
      <c r="AA72" s="212"/>
      <c r="AB72" s="212"/>
      <c r="AC72" s="212"/>
      <c r="AD72" s="212"/>
      <c r="AE72" s="213"/>
    </row>
    <row r="73" spans="1:31" s="214" customFormat="1" ht="15" hidden="1" x14ac:dyDescent="0.25">
      <c r="A73" s="240"/>
      <c r="B73" s="241"/>
      <c r="C73" s="241"/>
      <c r="D73" s="241"/>
      <c r="E73" s="241"/>
      <c r="F73" s="241"/>
      <c r="G73" s="241"/>
      <c r="H73" s="241"/>
      <c r="I73" s="241"/>
      <c r="J73" s="241"/>
      <c r="K73" s="241"/>
      <c r="L73" s="241"/>
      <c r="M73" s="241"/>
      <c r="N73" s="241"/>
      <c r="O73" s="241"/>
      <c r="P73" s="241"/>
      <c r="Q73" s="240"/>
      <c r="R73" s="240"/>
      <c r="S73" s="212"/>
      <c r="T73" s="212"/>
      <c r="U73" s="212"/>
      <c r="V73" s="212"/>
      <c r="W73" s="212"/>
      <c r="X73" s="212"/>
      <c r="Y73" s="212"/>
      <c r="Z73" s="212"/>
      <c r="AA73" s="212"/>
      <c r="AB73" s="212"/>
      <c r="AC73" s="212"/>
      <c r="AD73" s="212"/>
      <c r="AE73" s="213"/>
    </row>
    <row r="74" spans="1:31" s="214" customFormat="1" ht="15" hidden="1" x14ac:dyDescent="0.25">
      <c r="A74" s="220"/>
      <c r="B74" s="242"/>
      <c r="C74" s="242"/>
      <c r="D74" s="235">
        <f>+D57+D59+D61+D63</f>
        <v>0</v>
      </c>
      <c r="E74" s="235">
        <f t="shared" ref="E74:O74" si="16">+E57+E59+E61+E63</f>
        <v>0</v>
      </c>
      <c r="F74" s="235">
        <f t="shared" si="16"/>
        <v>0</v>
      </c>
      <c r="G74" s="235">
        <f t="shared" si="16"/>
        <v>0</v>
      </c>
      <c r="H74" s="235">
        <f t="shared" si="16"/>
        <v>0</v>
      </c>
      <c r="I74" s="235">
        <f t="shared" si="16"/>
        <v>0</v>
      </c>
      <c r="J74" s="235">
        <f t="shared" si="16"/>
        <v>0</v>
      </c>
      <c r="K74" s="235">
        <f t="shared" si="16"/>
        <v>1.9E-2</v>
      </c>
      <c r="L74" s="235">
        <f t="shared" si="16"/>
        <v>3.4499999999999996E-2</v>
      </c>
      <c r="M74" s="235">
        <f t="shared" si="16"/>
        <v>1.15E-2</v>
      </c>
      <c r="N74" s="235">
        <f t="shared" si="16"/>
        <v>1.7500000000000002E-2</v>
      </c>
      <c r="O74" s="235">
        <f t="shared" si="16"/>
        <v>1.7500000000000002E-2</v>
      </c>
      <c r="P74" s="235">
        <f t="shared" ref="P74" si="17">+P57+P59+P61+P63</f>
        <v>0.1</v>
      </c>
      <c r="Q74" s="220"/>
      <c r="R74" s="220"/>
      <c r="S74" s="212"/>
      <c r="T74" s="212"/>
      <c r="U74" s="212"/>
      <c r="V74" s="212"/>
      <c r="W74" s="212"/>
      <c r="X74" s="212"/>
      <c r="Y74" s="212"/>
      <c r="Z74" s="212"/>
      <c r="AA74" s="212"/>
      <c r="AB74" s="212"/>
      <c r="AC74" s="212"/>
      <c r="AD74" s="212"/>
      <c r="AE74" s="213"/>
    </row>
    <row r="75" spans="1:31" s="214" customFormat="1" ht="15" hidden="1" x14ac:dyDescent="0.25">
      <c r="A75" s="220"/>
      <c r="B75" s="242"/>
      <c r="C75" s="237" t="s">
        <v>48</v>
      </c>
      <c r="D75" s="238">
        <f>D74*3/$B$35</f>
        <v>0</v>
      </c>
      <c r="E75" s="238">
        <f t="shared" ref="E75:O75" si="18">E74*3/$B$35</f>
        <v>0</v>
      </c>
      <c r="F75" s="238">
        <f t="shared" si="18"/>
        <v>0</v>
      </c>
      <c r="G75" s="238">
        <f t="shared" si="18"/>
        <v>0</v>
      </c>
      <c r="H75" s="238">
        <f t="shared" si="18"/>
        <v>0</v>
      </c>
      <c r="I75" s="238">
        <f t="shared" si="18"/>
        <v>0</v>
      </c>
      <c r="J75" s="238">
        <f t="shared" si="18"/>
        <v>0</v>
      </c>
      <c r="K75" s="238">
        <f t="shared" si="18"/>
        <v>0.56999999999999995</v>
      </c>
      <c r="L75" s="238">
        <f t="shared" si="18"/>
        <v>1.0349999999999997</v>
      </c>
      <c r="M75" s="238">
        <f t="shared" si="18"/>
        <v>0.34500000000000003</v>
      </c>
      <c r="N75" s="238">
        <f t="shared" si="18"/>
        <v>0.52500000000000002</v>
      </c>
      <c r="O75" s="238">
        <f t="shared" si="18"/>
        <v>0.52500000000000002</v>
      </c>
      <c r="P75" s="239">
        <f>SUM(D75:O75)</f>
        <v>2.9999999999999996</v>
      </c>
      <c r="Q75" s="220"/>
      <c r="R75" s="220"/>
      <c r="S75" s="212"/>
      <c r="T75" s="212"/>
      <c r="U75" s="212"/>
      <c r="V75" s="212"/>
      <c r="W75" s="212"/>
      <c r="X75" s="212"/>
      <c r="Y75" s="212"/>
      <c r="Z75" s="212"/>
      <c r="AA75" s="212"/>
      <c r="AB75" s="212"/>
      <c r="AC75" s="212"/>
      <c r="AD75" s="212"/>
      <c r="AE75" s="213"/>
    </row>
    <row r="76" spans="1:31" s="214" customFormat="1" ht="15" hidden="1" x14ac:dyDescent="0.25">
      <c r="A76" s="212"/>
      <c r="Q76" s="212"/>
      <c r="R76" s="212"/>
      <c r="S76" s="212"/>
      <c r="T76" s="212"/>
      <c r="U76" s="212"/>
      <c r="V76" s="212"/>
      <c r="W76" s="212"/>
      <c r="X76" s="212"/>
      <c r="Y76" s="212"/>
      <c r="Z76" s="212"/>
      <c r="AA76" s="212"/>
      <c r="AB76" s="212"/>
      <c r="AC76" s="212"/>
      <c r="AD76" s="212"/>
      <c r="AE76" s="213"/>
    </row>
    <row r="77" spans="1:31" s="214" customFormat="1" ht="15" hidden="1" x14ac:dyDescent="0.25">
      <c r="A77" s="212"/>
      <c r="Q77" s="212"/>
      <c r="R77" s="212"/>
      <c r="S77" s="212"/>
      <c r="T77" s="212"/>
      <c r="U77" s="212"/>
      <c r="V77" s="212"/>
      <c r="W77" s="212"/>
      <c r="X77" s="212"/>
      <c r="Y77" s="212"/>
      <c r="Z77" s="212"/>
      <c r="AA77" s="212"/>
      <c r="AB77" s="212"/>
      <c r="AC77" s="212"/>
      <c r="AD77" s="212"/>
      <c r="AE77" s="213"/>
    </row>
    <row r="78" spans="1:31" s="214" customFormat="1" ht="15" hidden="1" x14ac:dyDescent="0.25">
      <c r="A78" s="212"/>
      <c r="Q78" s="212"/>
      <c r="R78" s="212"/>
      <c r="S78" s="212"/>
      <c r="T78" s="212"/>
      <c r="U78" s="212"/>
      <c r="V78" s="212"/>
      <c r="W78" s="212"/>
      <c r="X78" s="212"/>
      <c r="Y78" s="212"/>
      <c r="Z78" s="212"/>
      <c r="AA78" s="212"/>
      <c r="AB78" s="212"/>
      <c r="AC78" s="212"/>
      <c r="AD78" s="212"/>
      <c r="AE78" s="213"/>
    </row>
    <row r="79" spans="1:31" hidden="1" x14ac:dyDescent="0.25">
      <c r="Q79" s="210"/>
      <c r="R79" s="210"/>
      <c r="S79" s="210"/>
      <c r="T79" s="210"/>
      <c r="U79" s="210"/>
      <c r="V79" s="210"/>
      <c r="W79" s="210"/>
      <c r="X79" s="210"/>
      <c r="Y79" s="210"/>
      <c r="Z79" s="210"/>
      <c r="AA79" s="210"/>
      <c r="AB79" s="210"/>
      <c r="AC79" s="210"/>
      <c r="AD79" s="210"/>
      <c r="AE79" s="210"/>
    </row>
    <row r="80" spans="1:31" x14ac:dyDescent="0.25">
      <c r="Q80" s="210"/>
      <c r="R80" s="210"/>
      <c r="S80" s="210"/>
      <c r="T80" s="210"/>
      <c r="U80" s="210"/>
      <c r="V80" s="210"/>
      <c r="W80" s="210"/>
      <c r="X80" s="210"/>
      <c r="Y80" s="210"/>
      <c r="Z80" s="210"/>
      <c r="AA80" s="210"/>
      <c r="AB80" s="210"/>
      <c r="AC80" s="210"/>
      <c r="AD80" s="210"/>
      <c r="AE80" s="210"/>
    </row>
    <row r="81" spans="12:31" x14ac:dyDescent="0.25">
      <c r="Q81" s="210"/>
      <c r="R81" s="210"/>
      <c r="S81" s="210"/>
      <c r="T81" s="210"/>
      <c r="U81" s="210"/>
      <c r="V81" s="210"/>
      <c r="W81" s="210"/>
      <c r="X81" s="210"/>
      <c r="Y81" s="210"/>
      <c r="Z81" s="210"/>
      <c r="AA81" s="210"/>
      <c r="AB81" s="210"/>
      <c r="AC81" s="210"/>
      <c r="AD81" s="210"/>
      <c r="AE81" s="210"/>
    </row>
    <row r="82" spans="12:31" x14ac:dyDescent="0.25">
      <c r="Q82" s="210"/>
      <c r="R82" s="210"/>
      <c r="S82" s="210"/>
      <c r="T82" s="210"/>
      <c r="U82" s="210"/>
      <c r="V82" s="210"/>
      <c r="W82" s="210"/>
      <c r="X82" s="210"/>
      <c r="Y82" s="210"/>
      <c r="Z82" s="210"/>
      <c r="AA82" s="210"/>
      <c r="AB82" s="210"/>
      <c r="AC82" s="210"/>
      <c r="AD82" s="210"/>
      <c r="AE82" s="210"/>
    </row>
    <row r="83" spans="12:31" x14ac:dyDescent="0.25">
      <c r="Q83" s="210"/>
      <c r="R83" s="210"/>
      <c r="S83" s="210"/>
      <c r="T83" s="210"/>
      <c r="U83" s="210"/>
      <c r="V83" s="210"/>
      <c r="W83" s="210"/>
      <c r="X83" s="210"/>
      <c r="Y83" s="210"/>
      <c r="Z83" s="210"/>
      <c r="AA83" s="210"/>
      <c r="AB83" s="210"/>
      <c r="AC83" s="210"/>
      <c r="AD83" s="210"/>
      <c r="AE83" s="210"/>
    </row>
    <row r="84" spans="12:31" x14ac:dyDescent="0.25">
      <c r="Q84" s="210"/>
      <c r="R84" s="210"/>
      <c r="S84" s="210"/>
      <c r="T84" s="210"/>
      <c r="U84" s="210"/>
      <c r="V84" s="210"/>
      <c r="W84" s="210"/>
      <c r="X84" s="210"/>
      <c r="Y84" s="210"/>
      <c r="Z84" s="210"/>
      <c r="AA84" s="210"/>
      <c r="AB84" s="210"/>
      <c r="AC84" s="210"/>
      <c r="AD84" s="210"/>
      <c r="AE84" s="210"/>
    </row>
    <row r="96" spans="12:31" x14ac:dyDescent="0.25">
      <c r="L96" s="125">
        <v>31</v>
      </c>
      <c r="M96" s="125">
        <v>7.5</v>
      </c>
      <c r="N96" s="125">
        <v>7.5</v>
      </c>
      <c r="O96" s="125">
        <v>17.5</v>
      </c>
      <c r="P96" s="125">
        <v>17.5</v>
      </c>
    </row>
  </sheetData>
  <mergeCells count="101">
    <mergeCell ref="A43:A44"/>
    <mergeCell ref="B43:B44"/>
    <mergeCell ref="Q43:X44"/>
    <mergeCell ref="Y43:AE44"/>
    <mergeCell ref="A45:A46"/>
    <mergeCell ref="B45:B46"/>
    <mergeCell ref="Q45:X46"/>
    <mergeCell ref="Y45:AE46"/>
    <mergeCell ref="A47:A48"/>
    <mergeCell ref="B47:B48"/>
    <mergeCell ref="Q47:X48"/>
    <mergeCell ref="Y47:AE48"/>
    <mergeCell ref="Q39:AE39"/>
    <mergeCell ref="Q40:X40"/>
    <mergeCell ref="Y40:AE40"/>
    <mergeCell ref="A35:A36"/>
    <mergeCell ref="B35:B36"/>
    <mergeCell ref="Q35:T36"/>
    <mergeCell ref="U35:X36"/>
    <mergeCell ref="Y35:AB36"/>
    <mergeCell ref="A41:A42"/>
    <mergeCell ref="B41:B42"/>
    <mergeCell ref="Q41:X42"/>
    <mergeCell ref="Y41:AE42"/>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AA15:AE15"/>
    <mergeCell ref="O7:P7"/>
    <mergeCell ref="M8:N8"/>
    <mergeCell ref="O8:P8"/>
    <mergeCell ref="M9:N9"/>
    <mergeCell ref="O9:P9"/>
    <mergeCell ref="A15:B15"/>
    <mergeCell ref="C15:K15"/>
    <mergeCell ref="L15:Q15"/>
    <mergeCell ref="R15:X15"/>
    <mergeCell ref="Y15:Z1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G35:AJ36"/>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C35:AE36"/>
    <mergeCell ref="A38:AE38"/>
    <mergeCell ref="A39:A40"/>
    <mergeCell ref="B39:B40"/>
    <mergeCell ref="C39:C40"/>
    <mergeCell ref="D39:P39"/>
  </mergeCells>
  <dataValidations count="3">
    <dataValidation type="list" allowBlank="1" showInputMessage="1" showErrorMessage="1" sqref="C7" xr:uid="{39538307-F343-48D1-A5B2-EBFF1DC531F2}">
      <formula1>$B$21:$M$21</formula1>
    </dataValidation>
    <dataValidation type="textLength" operator="lessThanOrEqual" allowBlank="1" showInputMessage="1" showErrorMessage="1" errorTitle="Máximo 2.000 caracteres" error="Máximo 2.000 caracteres" promptTitle="2.000 caracteres" sqref="Q30:Q31" xr:uid="{68D3F2C7-9CA0-4B83-A491-133FD41EE2AD}">
      <formula1>2000</formula1>
    </dataValidation>
    <dataValidation type="textLength" operator="lessThanOrEqual" allowBlank="1" showInputMessage="1" showErrorMessage="1" errorTitle="Máximo 2.000 caracteres" error="Máximo 2.000 caracteres" sqref="AC35 Q35 Q47 Q45 Q41 Q43 U35 AG35" xr:uid="{14A3AC6F-AE52-4CC4-97AB-014BB2E52FAB}">
      <formula1>2000</formula1>
    </dataValidation>
  </dataValidations>
  <hyperlinks>
    <hyperlink ref="Y41" r:id="rId1" display="Agosto _x000a_https://secretariadistritald.sharepoint.com/:f:/s/BogotCaminaSegura/ErEYkwm3ZTJHgHmDcbYV18ABhV2_Xm_hLA5SR1cNmQ7m6g?e=chq82o_x000a__x000a_Septiembre _x000a_https://secretariadistritald.sharepoint.com/:x:/s/BogotCaminaSegura/EaDU3BJQhNpJv49HYDBPXrAB32MnXH7VttTZG2jupg" xr:uid="{0D1EF0C7-7AF5-43DE-8494-090110B7DEF1}"/>
    <hyperlink ref="Y43" r:id="rId2" display="Agosto _x000a_https://secretariadistritald.sharepoint.com/:f:/s/BogotCaminaSegura/EjqAGpGrq4FOjG9Opvdc9yoBUeNBDQZiQUOhsXHdCXtTeQ?e=Sg7VNj_x000a__x000a_Septiembre._x000a_https://secretariadistritald.sharepoint.com/:b:/s/BogotCaminaSegura/EcOOl3MsjxdHiwJpPbmv7F0B8cCGq1_P9VbGx8RFKw" xr:uid="{DFF4A4E8-D2B1-415A-9BB4-B00C26A3E0F1}"/>
  </hyperlinks>
  <printOptions horizontalCentered="1"/>
  <pageMargins left="0.39370078740157483" right="0.39370078740157483" top="0.39370078740157483" bottom="0.39370078740157483" header="0" footer="0"/>
  <pageSetup paperSize="9" scale="21"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ED4D352F-9517-4FB7-9C80-630FAA8A0349}">
          <x14:formula1>
            <xm:f>listas!$C$2:$C$20</xm:f>
          </x14:formula1>
          <xm:sqref>AA15:AE15</xm:sqref>
        </x14:dataValidation>
        <x14:dataValidation type="list" allowBlank="1" showInputMessage="1" showErrorMessage="1" xr:uid="{7EC779E5-8252-4901-A58F-0DD7D9E4F33E}">
          <x14:formula1>
            <xm:f>listas!$B$2:$B$8</xm:f>
          </x14:formula1>
          <xm:sqref>R15:X15</xm:sqref>
        </x14:dataValidation>
        <x14:dataValidation type="list" allowBlank="1" showInputMessage="1" showErrorMessage="1" xr:uid="{EF9DE93E-B784-4311-8E85-55607BEF5690}">
          <x14:formula1>
            <xm:f>listas!$A$2:$A$6</xm:f>
          </x14:formula1>
          <xm:sqref>C15:K15</xm:sqref>
        </x14:dataValidation>
        <x14:dataValidation type="list" allowBlank="1" showInputMessage="1" showErrorMessage="1" xr:uid="{7F67B074-10FD-4807-A2D6-C0F3B30859A4}">
          <x14:formula1>
            <xm:f>listas!$D$2:$D$15</xm:f>
          </x14:formula1>
          <xm:sqref>C11:AE13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E674EC"/>
    <pageSetUpPr fitToPage="1"/>
  </sheetPr>
  <dimension ref="A1:AO84"/>
  <sheetViews>
    <sheetView showGridLines="0" view="pageBreakPreview" topLeftCell="A7" zoomScale="70" zoomScaleNormal="60" zoomScaleSheetLayoutView="70" workbookViewId="0">
      <selection activeCell="Y45" sqref="Y45:AE46"/>
    </sheetView>
  </sheetViews>
  <sheetFormatPr baseColWidth="10" defaultColWidth="10.85546875" defaultRowHeight="14.25" x14ac:dyDescent="0.25"/>
  <cols>
    <col min="1" max="1" width="47.140625" style="125" customWidth="1"/>
    <col min="2" max="2" width="18.28515625" style="183" customWidth="1"/>
    <col min="3" max="14" width="20.7109375" style="125" customWidth="1"/>
    <col min="15" max="15" width="20.5703125" style="125" customWidth="1"/>
    <col min="16" max="16" width="32.42578125" style="125" customWidth="1"/>
    <col min="17" max="27" width="18.140625" style="125" customWidth="1"/>
    <col min="28" max="28" width="22.7109375" style="125" customWidth="1"/>
    <col min="29" max="29" width="19" style="125" customWidth="1"/>
    <col min="30" max="30" width="19.42578125" style="125" customWidth="1"/>
    <col min="31" max="31" width="20.5703125" style="125" customWidth="1"/>
    <col min="32" max="32" width="22.85546875" style="125" customWidth="1"/>
    <col min="33" max="33" width="18.42578125" style="125" bestFit="1" customWidth="1"/>
    <col min="34" max="34" width="8.42578125" style="125" customWidth="1"/>
    <col min="35" max="35" width="18.42578125" style="125" bestFit="1" customWidth="1"/>
    <col min="36" max="36" width="5.7109375" style="125" customWidth="1"/>
    <col min="37" max="37" width="18.42578125" style="125" bestFit="1" customWidth="1"/>
    <col min="38" max="38" width="4.7109375" style="125" customWidth="1"/>
    <col min="39" max="39" width="23" style="125" bestFit="1" customWidth="1"/>
    <col min="40" max="40" width="10.85546875" style="125"/>
    <col min="41" max="41" width="18.42578125" style="125" bestFit="1" customWidth="1"/>
    <col min="42" max="42" width="16.140625" style="125" customWidth="1"/>
    <col min="43" max="16384" width="10.85546875" style="125"/>
  </cols>
  <sheetData>
    <row r="1" spans="1:31" ht="32.25" customHeight="1" thickBot="1" x14ac:dyDescent="0.3">
      <c r="A1" s="601"/>
      <c r="B1" s="604" t="s">
        <v>121</v>
      </c>
      <c r="C1" s="605"/>
      <c r="D1" s="605"/>
      <c r="E1" s="605"/>
      <c r="F1" s="605"/>
      <c r="G1" s="605"/>
      <c r="H1" s="605"/>
      <c r="I1" s="605"/>
      <c r="J1" s="605"/>
      <c r="K1" s="605"/>
      <c r="L1" s="605"/>
      <c r="M1" s="605"/>
      <c r="N1" s="605"/>
      <c r="O1" s="605"/>
      <c r="P1" s="605"/>
      <c r="Q1" s="605"/>
      <c r="R1" s="605"/>
      <c r="S1" s="605"/>
      <c r="T1" s="605"/>
      <c r="U1" s="605"/>
      <c r="V1" s="605"/>
      <c r="W1" s="605"/>
      <c r="X1" s="605"/>
      <c r="Y1" s="605"/>
      <c r="Z1" s="605"/>
      <c r="AA1" s="606"/>
      <c r="AB1" s="776" t="s">
        <v>122</v>
      </c>
      <c r="AC1" s="777"/>
      <c r="AD1" s="777"/>
      <c r="AE1" s="778"/>
    </row>
    <row r="2" spans="1:31" ht="30.75" customHeight="1" thickBot="1" x14ac:dyDescent="0.3">
      <c r="A2" s="602"/>
      <c r="B2" s="604" t="s">
        <v>123</v>
      </c>
      <c r="C2" s="605"/>
      <c r="D2" s="605"/>
      <c r="E2" s="605"/>
      <c r="F2" s="605"/>
      <c r="G2" s="605"/>
      <c r="H2" s="605"/>
      <c r="I2" s="605"/>
      <c r="J2" s="605"/>
      <c r="K2" s="605"/>
      <c r="L2" s="605"/>
      <c r="M2" s="605"/>
      <c r="N2" s="605"/>
      <c r="O2" s="605"/>
      <c r="P2" s="605"/>
      <c r="Q2" s="605"/>
      <c r="R2" s="605"/>
      <c r="S2" s="605"/>
      <c r="T2" s="605"/>
      <c r="U2" s="605"/>
      <c r="V2" s="605"/>
      <c r="W2" s="605"/>
      <c r="X2" s="605"/>
      <c r="Y2" s="605"/>
      <c r="Z2" s="605"/>
      <c r="AA2" s="606"/>
      <c r="AB2" s="776" t="s">
        <v>124</v>
      </c>
      <c r="AC2" s="777"/>
      <c r="AD2" s="777"/>
      <c r="AE2" s="778"/>
    </row>
    <row r="3" spans="1:31" ht="24" customHeight="1" thickBot="1" x14ac:dyDescent="0.3">
      <c r="A3" s="602"/>
      <c r="B3" s="610" t="s">
        <v>125</v>
      </c>
      <c r="C3" s="611"/>
      <c r="D3" s="611"/>
      <c r="E3" s="611"/>
      <c r="F3" s="611"/>
      <c r="G3" s="611"/>
      <c r="H3" s="611"/>
      <c r="I3" s="611"/>
      <c r="J3" s="611"/>
      <c r="K3" s="611"/>
      <c r="L3" s="611"/>
      <c r="M3" s="611"/>
      <c r="N3" s="611"/>
      <c r="O3" s="611"/>
      <c r="P3" s="611"/>
      <c r="Q3" s="611"/>
      <c r="R3" s="611"/>
      <c r="S3" s="611"/>
      <c r="T3" s="611"/>
      <c r="U3" s="611"/>
      <c r="V3" s="611"/>
      <c r="W3" s="611"/>
      <c r="X3" s="611"/>
      <c r="Y3" s="611"/>
      <c r="Z3" s="611"/>
      <c r="AA3" s="612"/>
      <c r="AB3" s="776" t="s">
        <v>126</v>
      </c>
      <c r="AC3" s="777"/>
      <c r="AD3" s="777"/>
      <c r="AE3" s="778"/>
    </row>
    <row r="4" spans="1:31" ht="21.75" customHeight="1" thickBot="1" x14ac:dyDescent="0.3">
      <c r="A4" s="603"/>
      <c r="B4" s="613"/>
      <c r="C4" s="614"/>
      <c r="D4" s="614"/>
      <c r="E4" s="614"/>
      <c r="F4" s="614"/>
      <c r="G4" s="614"/>
      <c r="H4" s="614"/>
      <c r="I4" s="614"/>
      <c r="J4" s="614"/>
      <c r="K4" s="614"/>
      <c r="L4" s="614"/>
      <c r="M4" s="614"/>
      <c r="N4" s="614"/>
      <c r="O4" s="614"/>
      <c r="P4" s="614"/>
      <c r="Q4" s="614"/>
      <c r="R4" s="614"/>
      <c r="S4" s="614"/>
      <c r="T4" s="614"/>
      <c r="U4" s="614"/>
      <c r="V4" s="614"/>
      <c r="W4" s="614"/>
      <c r="X4" s="614"/>
      <c r="Y4" s="614"/>
      <c r="Z4" s="614"/>
      <c r="AA4" s="615"/>
      <c r="AB4" s="776" t="s">
        <v>127</v>
      </c>
      <c r="AC4" s="777"/>
      <c r="AD4" s="777"/>
      <c r="AE4" s="778"/>
    </row>
    <row r="5" spans="1:31" ht="9" customHeight="1" thickBot="1" x14ac:dyDescent="0.3">
      <c r="A5" s="17"/>
      <c r="B5" s="16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31" ht="9" customHeight="1" thickBot="1" x14ac:dyDescent="0.3">
      <c r="A6" s="23"/>
      <c r="B6" s="34"/>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31" ht="13.9" customHeight="1" x14ac:dyDescent="0.25">
      <c r="A7" s="616" t="s">
        <v>4</v>
      </c>
      <c r="B7" s="617"/>
      <c r="C7" s="628" t="s">
        <v>128</v>
      </c>
      <c r="D7" s="631" t="s">
        <v>6</v>
      </c>
      <c r="E7" s="632"/>
      <c r="F7" s="632"/>
      <c r="G7" s="632"/>
      <c r="H7" s="633"/>
      <c r="I7" s="640">
        <v>45667</v>
      </c>
      <c r="J7" s="641"/>
      <c r="K7" s="631" t="s">
        <v>8</v>
      </c>
      <c r="L7" s="633"/>
      <c r="M7" s="646" t="s">
        <v>129</v>
      </c>
      <c r="N7" s="647"/>
      <c r="O7" s="651"/>
      <c r="P7" s="652"/>
      <c r="Q7" s="20"/>
      <c r="R7" s="20"/>
      <c r="S7" s="20"/>
      <c r="T7" s="20"/>
      <c r="U7" s="20"/>
      <c r="V7" s="20"/>
      <c r="W7" s="20"/>
      <c r="X7" s="20"/>
      <c r="Y7" s="20"/>
      <c r="Z7" s="20"/>
      <c r="AA7" s="20"/>
      <c r="AB7" s="20"/>
      <c r="AD7" s="21"/>
      <c r="AE7" s="22"/>
    </row>
    <row r="8" spans="1:31" ht="13.9" customHeight="1" x14ac:dyDescent="0.25">
      <c r="A8" s="618"/>
      <c r="B8" s="619"/>
      <c r="C8" s="629"/>
      <c r="D8" s="634"/>
      <c r="E8" s="635"/>
      <c r="F8" s="635"/>
      <c r="G8" s="635"/>
      <c r="H8" s="636"/>
      <c r="I8" s="642"/>
      <c r="J8" s="643"/>
      <c r="K8" s="634"/>
      <c r="L8" s="636"/>
      <c r="M8" s="653" t="s">
        <v>130</v>
      </c>
      <c r="N8" s="654"/>
      <c r="O8" s="655" t="s">
        <v>131</v>
      </c>
      <c r="P8" s="656"/>
      <c r="Q8" s="20"/>
      <c r="R8" s="20"/>
      <c r="S8" s="20"/>
      <c r="T8" s="20"/>
      <c r="U8" s="20"/>
      <c r="V8" s="20"/>
      <c r="W8" s="20"/>
      <c r="X8" s="20"/>
      <c r="Y8" s="20"/>
      <c r="Z8" s="20"/>
      <c r="AA8" s="20"/>
      <c r="AB8" s="20"/>
      <c r="AD8" s="21"/>
      <c r="AE8" s="22"/>
    </row>
    <row r="9" spans="1:31" ht="14.45" customHeight="1" thickBot="1" x14ac:dyDescent="0.3">
      <c r="A9" s="620"/>
      <c r="B9" s="621"/>
      <c r="C9" s="630"/>
      <c r="D9" s="637"/>
      <c r="E9" s="638"/>
      <c r="F9" s="638"/>
      <c r="G9" s="638"/>
      <c r="H9" s="639"/>
      <c r="I9" s="644"/>
      <c r="J9" s="645"/>
      <c r="K9" s="637"/>
      <c r="L9" s="639"/>
      <c r="M9" s="657" t="s">
        <v>132</v>
      </c>
      <c r="N9" s="658"/>
      <c r="O9" s="659" t="s">
        <v>131</v>
      </c>
      <c r="P9" s="660"/>
      <c r="Q9" s="20"/>
      <c r="R9" s="20"/>
      <c r="S9" s="20"/>
      <c r="T9" s="20"/>
      <c r="U9" s="20"/>
      <c r="V9" s="20"/>
      <c r="W9" s="20"/>
      <c r="X9" s="20"/>
      <c r="Y9" s="20"/>
      <c r="Z9" s="20"/>
      <c r="AA9" s="20"/>
      <c r="AB9" s="20"/>
      <c r="AD9" s="21"/>
      <c r="AE9" s="22"/>
    </row>
    <row r="10" spans="1:31" ht="15" customHeight="1" thickBot="1" x14ac:dyDescent="0.3">
      <c r="A10" s="24"/>
      <c r="B10" s="26"/>
      <c r="C10" s="25"/>
      <c r="D10" s="26"/>
      <c r="E10" s="26"/>
      <c r="F10" s="26"/>
      <c r="G10" s="26"/>
      <c r="H10" s="26"/>
      <c r="I10" s="181"/>
      <c r="J10" s="181"/>
      <c r="K10" s="26"/>
      <c r="L10" s="26"/>
      <c r="M10" s="182"/>
      <c r="N10" s="182"/>
      <c r="O10" s="183"/>
      <c r="P10" s="183"/>
      <c r="Q10" s="25"/>
      <c r="R10" s="25"/>
      <c r="S10" s="25"/>
      <c r="T10" s="25"/>
      <c r="U10" s="25"/>
      <c r="V10" s="25"/>
      <c r="W10" s="25"/>
      <c r="X10" s="25"/>
      <c r="Y10" s="25"/>
      <c r="Z10" s="25"/>
      <c r="AA10" s="25"/>
      <c r="AB10" s="25"/>
      <c r="AD10" s="28"/>
      <c r="AE10" s="29"/>
    </row>
    <row r="11" spans="1:31" ht="15" customHeight="1" x14ac:dyDescent="0.25">
      <c r="A11" s="616" t="s">
        <v>10</v>
      </c>
      <c r="B11" s="617"/>
      <c r="C11" s="589" t="s">
        <v>133</v>
      </c>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1"/>
    </row>
    <row r="12" spans="1:31" ht="15" customHeight="1" x14ac:dyDescent="0.25">
      <c r="A12" s="618"/>
      <c r="B12" s="619"/>
      <c r="C12" s="622"/>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4"/>
    </row>
    <row r="13" spans="1:31" ht="15" customHeight="1" thickBot="1" x14ac:dyDescent="0.3">
      <c r="A13" s="620"/>
      <c r="B13" s="621"/>
      <c r="C13" s="625"/>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7"/>
    </row>
    <row r="14" spans="1:31"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31" ht="39" customHeight="1" thickBot="1" x14ac:dyDescent="0.3">
      <c r="A15" s="661" t="s">
        <v>12</v>
      </c>
      <c r="B15" s="662"/>
      <c r="C15" s="663" t="s">
        <v>134</v>
      </c>
      <c r="D15" s="664"/>
      <c r="E15" s="664"/>
      <c r="F15" s="664"/>
      <c r="G15" s="664"/>
      <c r="H15" s="664"/>
      <c r="I15" s="664"/>
      <c r="J15" s="664"/>
      <c r="K15" s="665"/>
      <c r="L15" s="666" t="s">
        <v>14</v>
      </c>
      <c r="M15" s="667"/>
      <c r="N15" s="667"/>
      <c r="O15" s="667"/>
      <c r="P15" s="667"/>
      <c r="Q15" s="668"/>
      <c r="R15" s="669" t="s">
        <v>135</v>
      </c>
      <c r="S15" s="670"/>
      <c r="T15" s="670"/>
      <c r="U15" s="670"/>
      <c r="V15" s="670"/>
      <c r="W15" s="670"/>
      <c r="X15" s="671"/>
      <c r="Y15" s="666" t="s">
        <v>15</v>
      </c>
      <c r="Z15" s="668"/>
      <c r="AA15" s="648" t="s">
        <v>136</v>
      </c>
      <c r="AB15" s="649"/>
      <c r="AC15" s="649"/>
      <c r="AD15" s="649"/>
      <c r="AE15" s="650"/>
    </row>
    <row r="16" spans="1:31" ht="9" customHeight="1" thickBot="1" x14ac:dyDescent="0.3">
      <c r="A16" s="23"/>
      <c r="B16" s="34"/>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D16" s="21"/>
      <c r="AE16" s="22"/>
    </row>
    <row r="17" spans="1:33" s="36" customFormat="1" ht="37.5" customHeight="1" thickBot="1" x14ac:dyDescent="0.3">
      <c r="A17" s="661" t="s">
        <v>17</v>
      </c>
      <c r="B17" s="662"/>
      <c r="C17" s="648" t="s">
        <v>198</v>
      </c>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50"/>
    </row>
    <row r="18" spans="1:33" ht="16.5" customHeight="1" thickBot="1" x14ac:dyDescent="0.3">
      <c r="A18" s="184"/>
      <c r="B18" s="246"/>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3" ht="32.1" customHeight="1" thickBot="1" x14ac:dyDescent="0.3">
      <c r="A19" s="666" t="s">
        <v>138</v>
      </c>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8"/>
      <c r="AF19" s="187"/>
    </row>
    <row r="20" spans="1:33" ht="32.1" customHeight="1" thickBot="1" x14ac:dyDescent="0.3">
      <c r="A20" s="37" t="s">
        <v>19</v>
      </c>
      <c r="B20" s="637" t="s">
        <v>139</v>
      </c>
      <c r="C20" s="638"/>
      <c r="D20" s="638"/>
      <c r="E20" s="638"/>
      <c r="F20" s="638"/>
      <c r="G20" s="638"/>
      <c r="H20" s="638"/>
      <c r="I20" s="638"/>
      <c r="J20" s="638"/>
      <c r="K20" s="638"/>
      <c r="L20" s="638"/>
      <c r="M20" s="638"/>
      <c r="N20" s="638"/>
      <c r="O20" s="639"/>
      <c r="P20" s="666" t="s">
        <v>140</v>
      </c>
      <c r="Q20" s="667"/>
      <c r="R20" s="667"/>
      <c r="S20" s="667"/>
      <c r="T20" s="667"/>
      <c r="U20" s="667"/>
      <c r="V20" s="667"/>
      <c r="W20" s="667"/>
      <c r="X20" s="667"/>
      <c r="Y20" s="667"/>
      <c r="Z20" s="667"/>
      <c r="AA20" s="667"/>
      <c r="AB20" s="667"/>
      <c r="AC20" s="667"/>
      <c r="AD20" s="667"/>
      <c r="AE20" s="668"/>
      <c r="AF20" s="187"/>
    </row>
    <row r="21" spans="1:33" ht="32.1" customHeight="1" thickBot="1" x14ac:dyDescent="0.3">
      <c r="A21" s="24"/>
      <c r="B21" s="38" t="s">
        <v>141</v>
      </c>
      <c r="C21" s="39" t="s">
        <v>142</v>
      </c>
      <c r="D21" s="39" t="s">
        <v>143</v>
      </c>
      <c r="E21" s="39" t="s">
        <v>144</v>
      </c>
      <c r="F21" s="39" t="s">
        <v>145</v>
      </c>
      <c r="G21" s="39" t="s">
        <v>146</v>
      </c>
      <c r="H21" s="39" t="s">
        <v>147</v>
      </c>
      <c r="I21" s="39" t="s">
        <v>148</v>
      </c>
      <c r="J21" s="39" t="s">
        <v>149</v>
      </c>
      <c r="K21" s="39" t="s">
        <v>150</v>
      </c>
      <c r="L21" s="39" t="s">
        <v>151</v>
      </c>
      <c r="M21" s="39" t="s">
        <v>128</v>
      </c>
      <c r="N21" s="39" t="s">
        <v>102</v>
      </c>
      <c r="O21" s="40" t="s">
        <v>100</v>
      </c>
      <c r="P21" s="41"/>
      <c r="Q21" s="37" t="s">
        <v>141</v>
      </c>
      <c r="R21" s="42" t="s">
        <v>142</v>
      </c>
      <c r="S21" s="42" t="s">
        <v>143</v>
      </c>
      <c r="T21" s="42" t="s">
        <v>144</v>
      </c>
      <c r="U21" s="42" t="s">
        <v>145</v>
      </c>
      <c r="V21" s="42" t="s">
        <v>146</v>
      </c>
      <c r="W21" s="42" t="s">
        <v>147</v>
      </c>
      <c r="X21" s="42" t="s">
        <v>148</v>
      </c>
      <c r="Y21" s="42" t="s">
        <v>149</v>
      </c>
      <c r="Z21" s="42" t="s">
        <v>150</v>
      </c>
      <c r="AA21" s="42" t="s">
        <v>151</v>
      </c>
      <c r="AB21" s="42" t="s">
        <v>128</v>
      </c>
      <c r="AC21" s="42" t="s">
        <v>102</v>
      </c>
      <c r="AD21" s="43" t="s">
        <v>152</v>
      </c>
      <c r="AE21" s="43" t="s">
        <v>153</v>
      </c>
      <c r="AF21" s="188"/>
    </row>
    <row r="22" spans="1:33" ht="32.1" customHeight="1" x14ac:dyDescent="0.25">
      <c r="A22" s="44" t="s">
        <v>31</v>
      </c>
      <c r="B22" s="247"/>
      <c r="C22" s="190"/>
      <c r="D22" s="190"/>
      <c r="E22" s="190"/>
      <c r="F22" s="190"/>
      <c r="G22" s="190"/>
      <c r="H22" s="190"/>
      <c r="I22" s="190"/>
      <c r="J22" s="190"/>
      <c r="K22" s="190"/>
      <c r="L22" s="190"/>
      <c r="M22" s="190"/>
      <c r="N22" s="190">
        <f>SUM(B22:M22)</f>
        <v>0</v>
      </c>
      <c r="O22" s="191"/>
      <c r="P22" s="44" t="s">
        <v>27</v>
      </c>
      <c r="Q22" s="192">
        <v>0</v>
      </c>
      <c r="R22" s="193">
        <v>0</v>
      </c>
      <c r="S22" s="193">
        <v>0</v>
      </c>
      <c r="T22" s="193">
        <v>0</v>
      </c>
      <c r="U22" s="193">
        <v>0</v>
      </c>
      <c r="V22" s="193">
        <v>0</v>
      </c>
      <c r="W22" s="193">
        <v>0</v>
      </c>
      <c r="X22" s="194">
        <v>354757112</v>
      </c>
      <c r="Y22" s="194">
        <v>0</v>
      </c>
      <c r="Z22" s="194"/>
      <c r="AA22" s="194">
        <v>0</v>
      </c>
      <c r="AB22" s="194">
        <v>55351975</v>
      </c>
      <c r="AC22" s="540">
        <f>SUM(Q22:AB22)</f>
        <v>410109087</v>
      </c>
      <c r="AD22" s="272"/>
      <c r="AE22" s="195"/>
      <c r="AF22" s="188"/>
    </row>
    <row r="23" spans="1:33" ht="32.1" customHeight="1" x14ac:dyDescent="0.25">
      <c r="A23" s="45" t="s">
        <v>21</v>
      </c>
      <c r="B23" s="248"/>
      <c r="C23" s="197"/>
      <c r="D23" s="197"/>
      <c r="E23" s="197"/>
      <c r="F23" s="197"/>
      <c r="G23" s="197"/>
      <c r="H23" s="197"/>
      <c r="I23" s="197"/>
      <c r="J23" s="197"/>
      <c r="K23" s="197"/>
      <c r="L23" s="197"/>
      <c r="M23" s="197"/>
      <c r="N23" s="197">
        <f>SUM(B23:M23)</f>
        <v>0</v>
      </c>
      <c r="O23" s="198" t="str">
        <f>IFERROR(N23/(SUMIF(B23:M23,"&gt;0",B22:M22))," ")</f>
        <v xml:space="preserve"> </v>
      </c>
      <c r="P23" s="45" t="s">
        <v>29</v>
      </c>
      <c r="Q23" s="196">
        <v>0</v>
      </c>
      <c r="R23" s="197">
        <v>0</v>
      </c>
      <c r="S23" s="197">
        <v>0</v>
      </c>
      <c r="T23" s="197">
        <v>0</v>
      </c>
      <c r="U23" s="197">
        <v>0</v>
      </c>
      <c r="V23" s="197">
        <v>0</v>
      </c>
      <c r="W23" s="197">
        <v>0</v>
      </c>
      <c r="X23" s="199">
        <v>334634016</v>
      </c>
      <c r="Y23" s="199">
        <v>0</v>
      </c>
      <c r="Z23" s="199">
        <v>17372010</v>
      </c>
      <c r="AA23" s="199">
        <v>25681941</v>
      </c>
      <c r="AB23" s="199">
        <v>32285890</v>
      </c>
      <c r="AC23" s="199">
        <f>SUM(X23:AB23)</f>
        <v>409973857</v>
      </c>
      <c r="AD23" s="273">
        <f>AC23/SUM(Q22:AB22)</f>
        <v>0.99967025846467039</v>
      </c>
      <c r="AE23" s="200">
        <f>AC23/AC22</f>
        <v>0.99967025846467039</v>
      </c>
      <c r="AF23" s="188"/>
    </row>
    <row r="24" spans="1:33" ht="32.1" customHeight="1" x14ac:dyDescent="0.25">
      <c r="A24" s="45" t="s">
        <v>23</v>
      </c>
      <c r="B24" s="248">
        <f t="shared" ref="B24:M24" si="0">+B22-B23</f>
        <v>0</v>
      </c>
      <c r="C24" s="197">
        <f t="shared" si="0"/>
        <v>0</v>
      </c>
      <c r="D24" s="197">
        <f t="shared" si="0"/>
        <v>0</v>
      </c>
      <c r="E24" s="197">
        <f t="shared" si="0"/>
        <v>0</v>
      </c>
      <c r="F24" s="197">
        <f t="shared" si="0"/>
        <v>0</v>
      </c>
      <c r="G24" s="197">
        <f t="shared" si="0"/>
        <v>0</v>
      </c>
      <c r="H24" s="197">
        <f t="shared" si="0"/>
        <v>0</v>
      </c>
      <c r="I24" s="197">
        <f t="shared" si="0"/>
        <v>0</v>
      </c>
      <c r="J24" s="197">
        <f t="shared" si="0"/>
        <v>0</v>
      </c>
      <c r="K24" s="197">
        <f t="shared" si="0"/>
        <v>0</v>
      </c>
      <c r="L24" s="197">
        <f t="shared" si="0"/>
        <v>0</v>
      </c>
      <c r="M24" s="197">
        <f t="shared" si="0"/>
        <v>0</v>
      </c>
      <c r="N24" s="197">
        <f>SUM(B24:M24)</f>
        <v>0</v>
      </c>
      <c r="O24" s="201"/>
      <c r="P24" s="45" t="s">
        <v>31</v>
      </c>
      <c r="Q24" s="196">
        <v>0</v>
      </c>
      <c r="R24" s="197">
        <v>0</v>
      </c>
      <c r="S24" s="197">
        <v>0</v>
      </c>
      <c r="T24" s="197">
        <v>0</v>
      </c>
      <c r="U24" s="197">
        <v>0</v>
      </c>
      <c r="V24" s="197">
        <v>0</v>
      </c>
      <c r="W24" s="197">
        <v>0</v>
      </c>
      <c r="X24" s="199">
        <v>0</v>
      </c>
      <c r="Y24" s="199">
        <v>53369312</v>
      </c>
      <c r="Z24" s="199">
        <v>75346950</v>
      </c>
      <c r="AA24" s="199">
        <v>75346950</v>
      </c>
      <c r="AB24" s="199">
        <v>110724014</v>
      </c>
      <c r="AC24" s="541">
        <f>SUM(Q24:AB24)</f>
        <v>314787226</v>
      </c>
      <c r="AD24" s="274"/>
      <c r="AE24" s="202"/>
      <c r="AF24" s="188"/>
      <c r="AG24" s="513"/>
    </row>
    <row r="25" spans="1:33" ht="32.1" customHeight="1" thickBot="1" x14ac:dyDescent="0.3">
      <c r="A25" s="46" t="s">
        <v>25</v>
      </c>
      <c r="B25" s="249"/>
      <c r="C25" s="204"/>
      <c r="D25" s="204"/>
      <c r="E25" s="204"/>
      <c r="F25" s="204"/>
      <c r="G25" s="204"/>
      <c r="H25" s="204"/>
      <c r="I25" s="204"/>
      <c r="J25" s="204"/>
      <c r="K25" s="204"/>
      <c r="L25" s="204"/>
      <c r="M25" s="204"/>
      <c r="N25" s="204">
        <f>SUM(B25:M25)</f>
        <v>0</v>
      </c>
      <c r="O25" s="205" t="str">
        <f>IFERROR(N25/(SUMIF(B25:M25,"&gt;0",B24:M24))," ")</f>
        <v xml:space="preserve"> </v>
      </c>
      <c r="P25" s="46" t="s">
        <v>25</v>
      </c>
      <c r="Q25" s="203">
        <v>0</v>
      </c>
      <c r="R25" s="204">
        <v>0</v>
      </c>
      <c r="S25" s="204">
        <v>0</v>
      </c>
      <c r="T25" s="204">
        <v>0</v>
      </c>
      <c r="U25" s="204">
        <v>0</v>
      </c>
      <c r="V25" s="204">
        <v>0</v>
      </c>
      <c r="W25" s="204">
        <v>0</v>
      </c>
      <c r="X25" s="204">
        <v>0</v>
      </c>
      <c r="Y25" s="204">
        <v>32741317</v>
      </c>
      <c r="Z25" s="204">
        <v>65846950</v>
      </c>
      <c r="AA25" s="204">
        <v>68541721</v>
      </c>
      <c r="AB25" s="204">
        <v>147657238</v>
      </c>
      <c r="AC25" s="542">
        <f>+SUM(Q25:AB25)</f>
        <v>314787226</v>
      </c>
      <c r="AD25" s="275">
        <f>AC25/SUM(Q24:AB24)</f>
        <v>1</v>
      </c>
      <c r="AE25" s="206">
        <f>AC25/AC24</f>
        <v>1</v>
      </c>
      <c r="AF25" s="188"/>
      <c r="AG25" s="513"/>
    </row>
    <row r="26" spans="1:33" s="207" customFormat="1" ht="16.5" customHeight="1" thickBot="1" x14ac:dyDescent="0.25">
      <c r="B26" s="250"/>
    </row>
    <row r="27" spans="1:33" ht="33.950000000000003" customHeight="1" x14ac:dyDescent="0.25">
      <c r="A27" s="673" t="s">
        <v>154</v>
      </c>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5"/>
    </row>
    <row r="28" spans="1:33" ht="15" customHeight="1" x14ac:dyDescent="0.25">
      <c r="A28" s="593" t="s">
        <v>34</v>
      </c>
      <c r="B28" s="595" t="s">
        <v>36</v>
      </c>
      <c r="C28" s="595"/>
      <c r="D28" s="595" t="s">
        <v>155</v>
      </c>
      <c r="E28" s="595"/>
      <c r="F28" s="595"/>
      <c r="G28" s="595"/>
      <c r="H28" s="595"/>
      <c r="I28" s="595"/>
      <c r="J28" s="595"/>
      <c r="K28" s="595"/>
      <c r="L28" s="595"/>
      <c r="M28" s="595"/>
      <c r="N28" s="595"/>
      <c r="O28" s="595"/>
      <c r="P28" s="595" t="s">
        <v>102</v>
      </c>
      <c r="Q28" s="595" t="s">
        <v>156</v>
      </c>
      <c r="R28" s="595"/>
      <c r="S28" s="595"/>
      <c r="T28" s="595"/>
      <c r="U28" s="595"/>
      <c r="V28" s="595"/>
      <c r="W28" s="595"/>
      <c r="X28" s="595"/>
      <c r="Y28" s="595" t="s">
        <v>157</v>
      </c>
      <c r="Z28" s="595"/>
      <c r="AA28" s="595"/>
      <c r="AB28" s="595"/>
      <c r="AC28" s="595"/>
      <c r="AD28" s="595"/>
      <c r="AE28" s="676"/>
    </row>
    <row r="29" spans="1:33" ht="27" customHeight="1" x14ac:dyDescent="0.25">
      <c r="A29" s="593"/>
      <c r="B29" s="595"/>
      <c r="C29" s="595"/>
      <c r="D29" s="48" t="s">
        <v>141</v>
      </c>
      <c r="E29" s="48" t="s">
        <v>142</v>
      </c>
      <c r="F29" s="48" t="s">
        <v>143</v>
      </c>
      <c r="G29" s="48" t="s">
        <v>144</v>
      </c>
      <c r="H29" s="48" t="s">
        <v>145</v>
      </c>
      <c r="I29" s="48" t="s">
        <v>146</v>
      </c>
      <c r="J29" s="48" t="s">
        <v>147</v>
      </c>
      <c r="K29" s="48" t="s">
        <v>148</v>
      </c>
      <c r="L29" s="48" t="s">
        <v>149</v>
      </c>
      <c r="M29" s="48" t="s">
        <v>150</v>
      </c>
      <c r="N29" s="48" t="s">
        <v>151</v>
      </c>
      <c r="O29" s="48" t="s">
        <v>128</v>
      </c>
      <c r="P29" s="595"/>
      <c r="Q29" s="595"/>
      <c r="R29" s="595"/>
      <c r="S29" s="595"/>
      <c r="T29" s="595"/>
      <c r="U29" s="595"/>
      <c r="V29" s="595"/>
      <c r="W29" s="595"/>
      <c r="X29" s="595"/>
      <c r="Y29" s="595"/>
      <c r="Z29" s="595"/>
      <c r="AA29" s="595"/>
      <c r="AB29" s="595"/>
      <c r="AC29" s="595"/>
      <c r="AD29" s="595"/>
      <c r="AE29" s="676"/>
    </row>
    <row r="30" spans="1:33" ht="42" customHeight="1" thickBot="1" x14ac:dyDescent="0.3">
      <c r="A30" s="49"/>
      <c r="B30" s="677"/>
      <c r="C30" s="677"/>
      <c r="D30" s="16"/>
      <c r="E30" s="16"/>
      <c r="F30" s="16"/>
      <c r="G30" s="16"/>
      <c r="H30" s="16"/>
      <c r="I30" s="16"/>
      <c r="J30" s="16"/>
      <c r="K30" s="16"/>
      <c r="L30" s="16"/>
      <c r="M30" s="16"/>
      <c r="N30" s="16"/>
      <c r="O30" s="16"/>
      <c r="P30" s="50">
        <f>SUM(D30:O30)</f>
        <v>0</v>
      </c>
      <c r="Q30" s="678" t="s">
        <v>158</v>
      </c>
      <c r="R30" s="678"/>
      <c r="S30" s="678"/>
      <c r="T30" s="678"/>
      <c r="U30" s="678"/>
      <c r="V30" s="678"/>
      <c r="W30" s="678"/>
      <c r="X30" s="678"/>
      <c r="Y30" s="678" t="s">
        <v>43</v>
      </c>
      <c r="Z30" s="678"/>
      <c r="AA30" s="678"/>
      <c r="AB30" s="678"/>
      <c r="AC30" s="678"/>
      <c r="AD30" s="678"/>
      <c r="AE30" s="679"/>
    </row>
    <row r="31" spans="1:33" ht="12" customHeight="1" thickBot="1" x14ac:dyDescent="0.3">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3" ht="45" customHeight="1" x14ac:dyDescent="0.25">
      <c r="A32" s="589" t="s">
        <v>159</v>
      </c>
      <c r="B32" s="590"/>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1"/>
    </row>
    <row r="33" spans="1:41" ht="23.1" customHeight="1" x14ac:dyDescent="0.25">
      <c r="A33" s="593" t="s">
        <v>44</v>
      </c>
      <c r="B33" s="595" t="s">
        <v>46</v>
      </c>
      <c r="C33" s="595" t="s">
        <v>36</v>
      </c>
      <c r="D33" s="595" t="s">
        <v>160</v>
      </c>
      <c r="E33" s="595"/>
      <c r="F33" s="595"/>
      <c r="G33" s="595"/>
      <c r="H33" s="595"/>
      <c r="I33" s="595"/>
      <c r="J33" s="595"/>
      <c r="K33" s="595"/>
      <c r="L33" s="595"/>
      <c r="M33" s="595"/>
      <c r="N33" s="595"/>
      <c r="O33" s="595"/>
      <c r="P33" s="595"/>
      <c r="Q33" s="595" t="s">
        <v>161</v>
      </c>
      <c r="R33" s="595"/>
      <c r="S33" s="595"/>
      <c r="T33" s="595"/>
      <c r="U33" s="595"/>
      <c r="V33" s="595"/>
      <c r="W33" s="595"/>
      <c r="X33" s="595"/>
      <c r="Y33" s="595"/>
      <c r="Z33" s="595"/>
      <c r="AA33" s="595"/>
      <c r="AB33" s="595"/>
      <c r="AC33" s="595"/>
      <c r="AD33" s="595"/>
      <c r="AE33" s="676"/>
      <c r="AG33" s="128"/>
      <c r="AH33" s="128"/>
      <c r="AI33" s="128"/>
      <c r="AJ33" s="128"/>
      <c r="AK33" s="128"/>
      <c r="AL33" s="128"/>
      <c r="AM33" s="128"/>
      <c r="AN33" s="128"/>
      <c r="AO33" s="128"/>
    </row>
    <row r="34" spans="1:41" ht="27" customHeight="1" x14ac:dyDescent="0.25">
      <c r="A34" s="593"/>
      <c r="B34" s="595"/>
      <c r="C34" s="680"/>
      <c r="D34" s="48" t="s">
        <v>141</v>
      </c>
      <c r="E34" s="48" t="s">
        <v>142</v>
      </c>
      <c r="F34" s="48" t="s">
        <v>143</v>
      </c>
      <c r="G34" s="48" t="s">
        <v>144</v>
      </c>
      <c r="H34" s="48" t="s">
        <v>145</v>
      </c>
      <c r="I34" s="48" t="s">
        <v>146</v>
      </c>
      <c r="J34" s="48" t="s">
        <v>147</v>
      </c>
      <c r="K34" s="48" t="s">
        <v>148</v>
      </c>
      <c r="L34" s="48" t="s">
        <v>149</v>
      </c>
      <c r="M34" s="48" t="s">
        <v>150</v>
      </c>
      <c r="N34" s="48" t="s">
        <v>151</v>
      </c>
      <c r="O34" s="48" t="s">
        <v>128</v>
      </c>
      <c r="P34" s="48" t="s">
        <v>102</v>
      </c>
      <c r="Q34" s="681" t="s">
        <v>52</v>
      </c>
      <c r="R34" s="682"/>
      <c r="S34" s="682"/>
      <c r="T34" s="683"/>
      <c r="U34" s="595" t="s">
        <v>54</v>
      </c>
      <c r="V34" s="595"/>
      <c r="W34" s="595"/>
      <c r="X34" s="595"/>
      <c r="Y34" s="595" t="s">
        <v>56</v>
      </c>
      <c r="Z34" s="595"/>
      <c r="AA34" s="595"/>
      <c r="AB34" s="595"/>
      <c r="AC34" s="595" t="s">
        <v>58</v>
      </c>
      <c r="AD34" s="595"/>
      <c r="AE34" s="676"/>
      <c r="AG34" s="128"/>
      <c r="AH34" s="128"/>
      <c r="AI34" s="128"/>
      <c r="AJ34" s="128"/>
      <c r="AK34" s="128"/>
      <c r="AL34" s="128"/>
      <c r="AM34" s="128"/>
      <c r="AN34" s="128"/>
      <c r="AO34" s="128"/>
    </row>
    <row r="35" spans="1:41" ht="214.15" customHeight="1" x14ac:dyDescent="0.25">
      <c r="A35" s="686" t="str">
        <f>+C17</f>
        <v>Implementar 3 acciones de transformación cultural que promuevan la redistribución equitativa de las labores del cuidado en Bogotá. (Producto MGA - Servicio de promoción de la garantía de derechos)</v>
      </c>
      <c r="B35" s="688">
        <v>0.69</v>
      </c>
      <c r="C35" s="54" t="s">
        <v>48</v>
      </c>
      <c r="D35" s="162">
        <v>0</v>
      </c>
      <c r="E35" s="162">
        <v>0</v>
      </c>
      <c r="F35" s="162">
        <v>0</v>
      </c>
      <c r="G35" s="162">
        <v>0</v>
      </c>
      <c r="H35" s="162">
        <v>0</v>
      </c>
      <c r="I35" s="162">
        <v>0</v>
      </c>
      <c r="J35" s="162">
        <v>0</v>
      </c>
      <c r="K35" s="162">
        <f>+K82</f>
        <v>4.0579710144927547E-2</v>
      </c>
      <c r="L35" s="162">
        <f t="shared" ref="L35:O35" si="1">+L82</f>
        <v>0.17971014492753629</v>
      </c>
      <c r="M35" s="162">
        <f t="shared" si="1"/>
        <v>0.25797101449275367</v>
      </c>
      <c r="N35" s="162">
        <f t="shared" si="1"/>
        <v>0.29420289855072468</v>
      </c>
      <c r="O35" s="162">
        <f t="shared" si="1"/>
        <v>0.227536231884058</v>
      </c>
      <c r="P35" s="164">
        <f>SUM(D35:O35)</f>
        <v>1.0000000000000002</v>
      </c>
      <c r="Q35" s="756" t="s">
        <v>199</v>
      </c>
      <c r="R35" s="757"/>
      <c r="S35" s="757"/>
      <c r="T35" s="758"/>
      <c r="U35" s="762" t="s">
        <v>200</v>
      </c>
      <c r="V35" s="763"/>
      <c r="W35" s="763"/>
      <c r="X35" s="764"/>
      <c r="Y35" s="768"/>
      <c r="Z35" s="769"/>
      <c r="AA35" s="769"/>
      <c r="AB35" s="770"/>
      <c r="AC35" s="762" t="s">
        <v>201</v>
      </c>
      <c r="AD35" s="763"/>
      <c r="AE35" s="774"/>
      <c r="AG35" s="128"/>
      <c r="AH35" s="128"/>
      <c r="AI35" s="128"/>
      <c r="AJ35" s="128"/>
      <c r="AK35" s="128"/>
      <c r="AL35" s="128"/>
      <c r="AM35" s="128"/>
      <c r="AN35" s="128"/>
      <c r="AO35" s="128"/>
    </row>
    <row r="36" spans="1:41" ht="214.15" customHeight="1" thickBot="1" x14ac:dyDescent="0.3">
      <c r="A36" s="687"/>
      <c r="B36" s="689"/>
      <c r="C36" s="55" t="s">
        <v>50</v>
      </c>
      <c r="D36" s="165">
        <v>0</v>
      </c>
      <c r="E36" s="165">
        <v>0</v>
      </c>
      <c r="F36" s="165">
        <v>0</v>
      </c>
      <c r="G36" s="165">
        <v>0</v>
      </c>
      <c r="H36" s="165">
        <v>0</v>
      </c>
      <c r="I36" s="165">
        <v>0</v>
      </c>
      <c r="J36" s="165">
        <v>0</v>
      </c>
      <c r="K36" s="165">
        <f>+K79</f>
        <v>4.0579710144927547E-2</v>
      </c>
      <c r="L36" s="165">
        <f t="shared" ref="L36:O36" si="2">+L79</f>
        <v>0.17971014492753629</v>
      </c>
      <c r="M36" s="165">
        <f t="shared" si="2"/>
        <v>0.25797101449275367</v>
      </c>
      <c r="N36" s="165">
        <f t="shared" si="2"/>
        <v>0.29420289855072468</v>
      </c>
      <c r="O36" s="165">
        <f t="shared" si="2"/>
        <v>0.227536231884058</v>
      </c>
      <c r="P36" s="163">
        <f>SUM(D36:O36)</f>
        <v>1.0000000000000002</v>
      </c>
      <c r="Q36" s="759"/>
      <c r="R36" s="760"/>
      <c r="S36" s="760"/>
      <c r="T36" s="761"/>
      <c r="U36" s="765"/>
      <c r="V36" s="766"/>
      <c r="W36" s="766"/>
      <c r="X36" s="767"/>
      <c r="Y36" s="771"/>
      <c r="Z36" s="772"/>
      <c r="AA36" s="772"/>
      <c r="AB36" s="773"/>
      <c r="AC36" s="765"/>
      <c r="AD36" s="766"/>
      <c r="AE36" s="775"/>
      <c r="AG36" s="128"/>
      <c r="AH36" s="128"/>
      <c r="AI36" s="128"/>
      <c r="AJ36" s="128"/>
      <c r="AK36" s="128"/>
      <c r="AL36" s="128"/>
      <c r="AM36" s="128"/>
      <c r="AN36" s="128"/>
      <c r="AO36" s="128"/>
    </row>
    <row r="37" spans="1:41" s="207" customFormat="1" ht="17.25" customHeight="1" x14ac:dyDescent="0.2">
      <c r="B37" s="250"/>
    </row>
    <row r="38" spans="1:41" ht="45" customHeight="1" x14ac:dyDescent="0.25">
      <c r="A38" s="589" t="s">
        <v>166</v>
      </c>
      <c r="B38" s="590"/>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1"/>
      <c r="AG38" s="128"/>
      <c r="AH38" s="128"/>
      <c r="AI38" s="128"/>
      <c r="AJ38" s="128"/>
      <c r="AK38" s="128"/>
      <c r="AL38" s="128"/>
      <c r="AM38" s="128"/>
      <c r="AN38" s="128"/>
      <c r="AO38" s="128"/>
    </row>
    <row r="39" spans="1:41" ht="26.1" customHeight="1" x14ac:dyDescent="0.25">
      <c r="A39" s="592" t="s">
        <v>60</v>
      </c>
      <c r="B39" s="594" t="s">
        <v>167</v>
      </c>
      <c r="C39" s="596" t="s">
        <v>168</v>
      </c>
      <c r="D39" s="598" t="s">
        <v>169</v>
      </c>
      <c r="E39" s="599"/>
      <c r="F39" s="599"/>
      <c r="G39" s="599"/>
      <c r="H39" s="599"/>
      <c r="I39" s="599"/>
      <c r="J39" s="599"/>
      <c r="K39" s="599"/>
      <c r="L39" s="599"/>
      <c r="M39" s="599"/>
      <c r="N39" s="599"/>
      <c r="O39" s="599"/>
      <c r="P39" s="600"/>
      <c r="Q39" s="594" t="s">
        <v>170</v>
      </c>
      <c r="R39" s="594"/>
      <c r="S39" s="594"/>
      <c r="T39" s="594"/>
      <c r="U39" s="594"/>
      <c r="V39" s="594"/>
      <c r="W39" s="594"/>
      <c r="X39" s="594"/>
      <c r="Y39" s="594"/>
      <c r="Z39" s="594"/>
      <c r="AA39" s="594"/>
      <c r="AB39" s="594"/>
      <c r="AC39" s="594"/>
      <c r="AD39" s="594"/>
      <c r="AE39" s="684"/>
      <c r="AG39" s="128"/>
      <c r="AH39" s="128"/>
      <c r="AI39" s="128"/>
      <c r="AJ39" s="128"/>
      <c r="AK39" s="128"/>
      <c r="AL39" s="128"/>
      <c r="AM39" s="128"/>
      <c r="AN39" s="128"/>
      <c r="AO39" s="128"/>
    </row>
    <row r="40" spans="1:41" ht="26.1" customHeight="1" x14ac:dyDescent="0.25">
      <c r="A40" s="593"/>
      <c r="B40" s="595"/>
      <c r="C40" s="597"/>
      <c r="D40" s="48" t="s">
        <v>171</v>
      </c>
      <c r="E40" s="48" t="s">
        <v>172</v>
      </c>
      <c r="F40" s="48" t="s">
        <v>173</v>
      </c>
      <c r="G40" s="48" t="s">
        <v>174</v>
      </c>
      <c r="H40" s="48" t="s">
        <v>175</v>
      </c>
      <c r="I40" s="48" t="s">
        <v>176</v>
      </c>
      <c r="J40" s="48" t="s">
        <v>177</v>
      </c>
      <c r="K40" s="48" t="s">
        <v>178</v>
      </c>
      <c r="L40" s="48" t="s">
        <v>179</v>
      </c>
      <c r="M40" s="48" t="s">
        <v>180</v>
      </c>
      <c r="N40" s="48" t="s">
        <v>181</v>
      </c>
      <c r="O40" s="48" t="s">
        <v>182</v>
      </c>
      <c r="P40" s="48" t="s">
        <v>183</v>
      </c>
      <c r="Q40" s="681" t="s">
        <v>184</v>
      </c>
      <c r="R40" s="682"/>
      <c r="S40" s="682"/>
      <c r="T40" s="682"/>
      <c r="U40" s="682"/>
      <c r="V40" s="682"/>
      <c r="W40" s="682"/>
      <c r="X40" s="683"/>
      <c r="Y40" s="748" t="s">
        <v>68</v>
      </c>
      <c r="Z40" s="749"/>
      <c r="AA40" s="749"/>
      <c r="AB40" s="749"/>
      <c r="AC40" s="749"/>
      <c r="AD40" s="749"/>
      <c r="AE40" s="750"/>
      <c r="AG40" s="208"/>
      <c r="AH40" s="208"/>
      <c r="AI40" s="208"/>
      <c r="AJ40" s="208"/>
      <c r="AK40" s="208"/>
      <c r="AL40" s="208"/>
      <c r="AM40" s="208"/>
      <c r="AN40" s="208"/>
      <c r="AO40" s="208"/>
    </row>
    <row r="41" spans="1:41" ht="90.75" customHeight="1" x14ac:dyDescent="0.25">
      <c r="A41" s="702" t="s">
        <v>202</v>
      </c>
      <c r="B41" s="703">
        <v>0.1</v>
      </c>
      <c r="C41" s="56" t="s">
        <v>48</v>
      </c>
      <c r="D41" s="57">
        <v>0</v>
      </c>
      <c r="E41" s="57">
        <v>0</v>
      </c>
      <c r="F41" s="57">
        <v>0</v>
      </c>
      <c r="G41" s="57">
        <v>0</v>
      </c>
      <c r="H41" s="57">
        <v>0</v>
      </c>
      <c r="I41" s="57">
        <v>0</v>
      </c>
      <c r="J41" s="57">
        <v>0</v>
      </c>
      <c r="K41" s="57">
        <v>0.2</v>
      </c>
      <c r="L41" s="57">
        <v>0.2</v>
      </c>
      <c r="M41" s="57">
        <v>0.2</v>
      </c>
      <c r="N41" s="57">
        <v>0.2</v>
      </c>
      <c r="O41" s="57">
        <v>0.2</v>
      </c>
      <c r="P41" s="58">
        <f t="shared" ref="P41:P52" si="3">SUM(D41:O41)</f>
        <v>1</v>
      </c>
      <c r="Q41" s="724" t="s">
        <v>203</v>
      </c>
      <c r="R41" s="713"/>
      <c r="S41" s="713"/>
      <c r="T41" s="713"/>
      <c r="U41" s="713"/>
      <c r="V41" s="713"/>
      <c r="W41" s="713"/>
      <c r="X41" s="713"/>
      <c r="Y41" s="751" t="s">
        <v>204</v>
      </c>
      <c r="Z41" s="752"/>
      <c r="AA41" s="752"/>
      <c r="AB41" s="752"/>
      <c r="AC41" s="752"/>
      <c r="AD41" s="752"/>
      <c r="AE41" s="752"/>
      <c r="AG41" s="209"/>
      <c r="AH41" s="209"/>
      <c r="AI41" s="209"/>
      <c r="AJ41" s="209"/>
      <c r="AK41" s="209"/>
      <c r="AL41" s="209"/>
      <c r="AM41" s="209"/>
      <c r="AN41" s="209"/>
      <c r="AO41" s="209"/>
    </row>
    <row r="42" spans="1:41" ht="112.5" customHeight="1" x14ac:dyDescent="0.25">
      <c r="A42" s="702"/>
      <c r="B42" s="703"/>
      <c r="C42" s="59" t="s">
        <v>50</v>
      </c>
      <c r="D42" s="60">
        <v>0</v>
      </c>
      <c r="E42" s="60">
        <v>0</v>
      </c>
      <c r="F42" s="60">
        <v>0</v>
      </c>
      <c r="G42" s="60">
        <v>0</v>
      </c>
      <c r="H42" s="60">
        <v>0</v>
      </c>
      <c r="I42" s="60">
        <v>0</v>
      </c>
      <c r="J42" s="60">
        <v>0</v>
      </c>
      <c r="K42" s="60">
        <v>0.2</v>
      </c>
      <c r="L42" s="60">
        <v>0.2</v>
      </c>
      <c r="M42" s="60">
        <v>0.2</v>
      </c>
      <c r="N42" s="60">
        <v>0.2</v>
      </c>
      <c r="O42" s="60">
        <v>0.2</v>
      </c>
      <c r="P42" s="58">
        <f t="shared" si="3"/>
        <v>1</v>
      </c>
      <c r="Q42" s="715"/>
      <c r="R42" s="716"/>
      <c r="S42" s="716"/>
      <c r="T42" s="716"/>
      <c r="U42" s="716"/>
      <c r="V42" s="716"/>
      <c r="W42" s="716"/>
      <c r="X42" s="716"/>
      <c r="Y42" s="752"/>
      <c r="Z42" s="752"/>
      <c r="AA42" s="752"/>
      <c r="AB42" s="752"/>
      <c r="AC42" s="752"/>
      <c r="AD42" s="752"/>
      <c r="AE42" s="752"/>
    </row>
    <row r="43" spans="1:41" ht="55.15" customHeight="1" x14ac:dyDescent="0.25">
      <c r="A43" s="702" t="s">
        <v>205</v>
      </c>
      <c r="B43" s="703">
        <v>0.32</v>
      </c>
      <c r="C43" s="56" t="s">
        <v>48</v>
      </c>
      <c r="D43" s="57">
        <v>0</v>
      </c>
      <c r="E43" s="57">
        <v>0</v>
      </c>
      <c r="F43" s="57">
        <v>0</v>
      </c>
      <c r="G43" s="57">
        <v>0</v>
      </c>
      <c r="H43" s="57">
        <v>0</v>
      </c>
      <c r="I43" s="57">
        <v>0</v>
      </c>
      <c r="J43" s="57">
        <v>0</v>
      </c>
      <c r="K43" s="57">
        <v>0</v>
      </c>
      <c r="L43" s="57">
        <v>0.3</v>
      </c>
      <c r="M43" s="57">
        <v>0.3</v>
      </c>
      <c r="N43" s="57">
        <v>0.3</v>
      </c>
      <c r="O43" s="57">
        <v>0.1</v>
      </c>
      <c r="P43" s="58">
        <f t="shared" si="3"/>
        <v>0.99999999999999989</v>
      </c>
      <c r="Q43" s="724" t="s">
        <v>206</v>
      </c>
      <c r="R43" s="713"/>
      <c r="S43" s="713"/>
      <c r="T43" s="713"/>
      <c r="U43" s="713"/>
      <c r="V43" s="713"/>
      <c r="W43" s="713"/>
      <c r="X43" s="713"/>
      <c r="Y43" s="753" t="s">
        <v>207</v>
      </c>
      <c r="Z43" s="753"/>
      <c r="AA43" s="753"/>
      <c r="AB43" s="753"/>
      <c r="AC43" s="753"/>
      <c r="AD43" s="753"/>
      <c r="AE43" s="753"/>
    </row>
    <row r="44" spans="1:41" ht="55.15" customHeight="1" x14ac:dyDescent="0.25">
      <c r="A44" s="702"/>
      <c r="B44" s="703"/>
      <c r="C44" s="59" t="s">
        <v>50</v>
      </c>
      <c r="D44" s="60">
        <v>0</v>
      </c>
      <c r="E44" s="60">
        <v>0</v>
      </c>
      <c r="F44" s="60">
        <v>0</v>
      </c>
      <c r="G44" s="60">
        <v>0</v>
      </c>
      <c r="H44" s="60">
        <v>0</v>
      </c>
      <c r="I44" s="60">
        <v>0</v>
      </c>
      <c r="J44" s="60">
        <v>0</v>
      </c>
      <c r="K44" s="60">
        <v>0</v>
      </c>
      <c r="L44" s="60">
        <v>0.3</v>
      </c>
      <c r="M44" s="60">
        <v>0.3</v>
      </c>
      <c r="N44" s="60">
        <v>0.3</v>
      </c>
      <c r="O44" s="60">
        <v>0.1</v>
      </c>
      <c r="P44" s="58">
        <f t="shared" si="3"/>
        <v>0.99999999999999989</v>
      </c>
      <c r="Q44" s="715"/>
      <c r="R44" s="716"/>
      <c r="S44" s="716"/>
      <c r="T44" s="716"/>
      <c r="U44" s="716"/>
      <c r="V44" s="716"/>
      <c r="W44" s="716"/>
      <c r="X44" s="716"/>
      <c r="Y44" s="753"/>
      <c r="Z44" s="753"/>
      <c r="AA44" s="753"/>
      <c r="AB44" s="753"/>
      <c r="AC44" s="753"/>
      <c r="AD44" s="753"/>
      <c r="AE44" s="753"/>
    </row>
    <row r="45" spans="1:41" ht="81.599999999999994" customHeight="1" x14ac:dyDescent="0.25">
      <c r="A45" s="744" t="s">
        <v>208</v>
      </c>
      <c r="B45" s="703">
        <v>0.18</v>
      </c>
      <c r="C45" s="56" t="s">
        <v>48</v>
      </c>
      <c r="D45" s="151">
        <v>0</v>
      </c>
      <c r="E45" s="57">
        <v>0</v>
      </c>
      <c r="F45" s="57">
        <v>0</v>
      </c>
      <c r="G45" s="57">
        <v>0</v>
      </c>
      <c r="H45" s="57">
        <v>0</v>
      </c>
      <c r="I45" s="57">
        <v>0</v>
      </c>
      <c r="J45" s="57">
        <v>0</v>
      </c>
      <c r="K45" s="57">
        <v>0</v>
      </c>
      <c r="L45" s="57">
        <v>0</v>
      </c>
      <c r="M45" s="57">
        <v>0.3</v>
      </c>
      <c r="N45" s="57">
        <v>0.3</v>
      </c>
      <c r="O45" s="57">
        <v>0.4</v>
      </c>
      <c r="P45" s="58">
        <f t="shared" si="3"/>
        <v>1</v>
      </c>
      <c r="Q45" s="724" t="s">
        <v>209</v>
      </c>
      <c r="R45" s="713"/>
      <c r="S45" s="713"/>
      <c r="T45" s="713"/>
      <c r="U45" s="713"/>
      <c r="V45" s="713"/>
      <c r="W45" s="713"/>
      <c r="X45" s="754"/>
      <c r="Y45" s="945" t="s">
        <v>210</v>
      </c>
      <c r="Z45" s="945"/>
      <c r="AA45" s="945"/>
      <c r="AB45" s="945"/>
      <c r="AC45" s="945"/>
      <c r="AD45" s="945"/>
      <c r="AE45" s="945"/>
    </row>
    <row r="46" spans="1:41" ht="81.599999999999994" customHeight="1" x14ac:dyDescent="0.25">
      <c r="A46" s="745"/>
      <c r="B46" s="703"/>
      <c r="C46" s="59" t="s">
        <v>50</v>
      </c>
      <c r="D46" s="60">
        <v>0</v>
      </c>
      <c r="E46" s="60">
        <v>0</v>
      </c>
      <c r="F46" s="60">
        <v>0</v>
      </c>
      <c r="G46" s="60">
        <v>0</v>
      </c>
      <c r="H46" s="60">
        <v>0</v>
      </c>
      <c r="I46" s="60">
        <v>0</v>
      </c>
      <c r="J46" s="60">
        <v>0</v>
      </c>
      <c r="K46" s="60">
        <v>0</v>
      </c>
      <c r="L46" s="60">
        <v>0</v>
      </c>
      <c r="M46" s="60">
        <v>0.3</v>
      </c>
      <c r="N46" s="60">
        <v>0.3</v>
      </c>
      <c r="O46" s="60">
        <v>0.4</v>
      </c>
      <c r="P46" s="58">
        <f t="shared" si="3"/>
        <v>1</v>
      </c>
      <c r="Q46" s="715"/>
      <c r="R46" s="716"/>
      <c r="S46" s="716"/>
      <c r="T46" s="716"/>
      <c r="U46" s="716"/>
      <c r="V46" s="716"/>
      <c r="W46" s="716"/>
      <c r="X46" s="755"/>
      <c r="Y46" s="946"/>
      <c r="Z46" s="946"/>
      <c r="AA46" s="946"/>
      <c r="AB46" s="946"/>
      <c r="AC46" s="946"/>
      <c r="AD46" s="946"/>
      <c r="AE46" s="946"/>
    </row>
    <row r="47" spans="1:41" ht="55.15" customHeight="1" x14ac:dyDescent="0.25">
      <c r="A47" s="738" t="s">
        <v>211</v>
      </c>
      <c r="B47" s="703">
        <v>0.05</v>
      </c>
      <c r="C47" s="149" t="s">
        <v>48</v>
      </c>
      <c r="D47" s="151">
        <v>0</v>
      </c>
      <c r="E47" s="57">
        <v>0</v>
      </c>
      <c r="F47" s="57">
        <v>0</v>
      </c>
      <c r="G47" s="57">
        <v>0</v>
      </c>
      <c r="H47" s="57">
        <v>0</v>
      </c>
      <c r="I47" s="57">
        <v>0</v>
      </c>
      <c r="J47" s="57">
        <v>0</v>
      </c>
      <c r="K47" s="57">
        <v>0</v>
      </c>
      <c r="L47" s="57">
        <v>0</v>
      </c>
      <c r="M47" s="57">
        <v>0</v>
      </c>
      <c r="N47" s="57">
        <v>0.5</v>
      </c>
      <c r="O47" s="57">
        <v>0.5</v>
      </c>
      <c r="P47" s="58">
        <f t="shared" si="3"/>
        <v>1</v>
      </c>
      <c r="Q47" s="704" t="s">
        <v>212</v>
      </c>
      <c r="R47" s="705"/>
      <c r="S47" s="705"/>
      <c r="T47" s="705"/>
      <c r="U47" s="705"/>
      <c r="V47" s="705"/>
      <c r="W47" s="705"/>
      <c r="X47" s="746"/>
      <c r="Y47" s="711" t="s">
        <v>213</v>
      </c>
      <c r="Z47" s="711"/>
      <c r="AA47" s="711"/>
      <c r="AB47" s="711"/>
      <c r="AC47" s="711"/>
      <c r="AD47" s="711"/>
      <c r="AE47" s="711"/>
    </row>
    <row r="48" spans="1:41" ht="55.15" customHeight="1" x14ac:dyDescent="0.25">
      <c r="A48" s="739"/>
      <c r="B48" s="703"/>
      <c r="C48" s="150" t="s">
        <v>50</v>
      </c>
      <c r="D48" s="60">
        <v>0</v>
      </c>
      <c r="E48" s="60">
        <v>0</v>
      </c>
      <c r="F48" s="60">
        <v>0</v>
      </c>
      <c r="G48" s="60">
        <v>0</v>
      </c>
      <c r="H48" s="60">
        <v>0</v>
      </c>
      <c r="I48" s="60">
        <v>0</v>
      </c>
      <c r="J48" s="60">
        <v>0</v>
      </c>
      <c r="K48" s="148">
        <v>0</v>
      </c>
      <c r="L48" s="148">
        <v>0</v>
      </c>
      <c r="M48" s="148">
        <v>0</v>
      </c>
      <c r="N48" s="148">
        <v>0.5</v>
      </c>
      <c r="O48" s="148">
        <v>0.5</v>
      </c>
      <c r="P48" s="138">
        <f t="shared" si="3"/>
        <v>1</v>
      </c>
      <c r="Q48" s="707"/>
      <c r="R48" s="708"/>
      <c r="S48" s="708"/>
      <c r="T48" s="708"/>
      <c r="U48" s="708"/>
      <c r="V48" s="708"/>
      <c r="W48" s="708"/>
      <c r="X48" s="747"/>
      <c r="Y48" s="711"/>
      <c r="Z48" s="711"/>
      <c r="AA48" s="711"/>
      <c r="AB48" s="711"/>
      <c r="AC48" s="711"/>
      <c r="AD48" s="711"/>
      <c r="AE48" s="711"/>
    </row>
    <row r="49" spans="1:31" ht="97.15" customHeight="1" x14ac:dyDescent="0.25">
      <c r="A49" s="785" t="s">
        <v>214</v>
      </c>
      <c r="B49" s="703">
        <v>0.02</v>
      </c>
      <c r="C49" s="149" t="s">
        <v>48</v>
      </c>
      <c r="D49" s="57">
        <v>0</v>
      </c>
      <c r="E49" s="57">
        <v>0</v>
      </c>
      <c r="F49" s="57">
        <v>0</v>
      </c>
      <c r="G49" s="57">
        <v>0</v>
      </c>
      <c r="H49" s="57">
        <v>0</v>
      </c>
      <c r="I49" s="57">
        <v>0</v>
      </c>
      <c r="J49" s="57">
        <v>0</v>
      </c>
      <c r="K49" s="57">
        <v>0.2</v>
      </c>
      <c r="L49" s="57">
        <v>0.2</v>
      </c>
      <c r="M49" s="57">
        <v>0.2</v>
      </c>
      <c r="N49" s="57">
        <v>0.2</v>
      </c>
      <c r="O49" s="57">
        <v>0.2</v>
      </c>
      <c r="P49" s="58">
        <f t="shared" si="3"/>
        <v>1</v>
      </c>
      <c r="Q49" s="696" t="s">
        <v>215</v>
      </c>
      <c r="R49" s="697"/>
      <c r="S49" s="697"/>
      <c r="T49" s="697"/>
      <c r="U49" s="697"/>
      <c r="V49" s="697"/>
      <c r="W49" s="697"/>
      <c r="X49" s="787"/>
      <c r="Y49" s="779" t="s">
        <v>216</v>
      </c>
      <c r="Z49" s="780"/>
      <c r="AA49" s="780"/>
      <c r="AB49" s="780"/>
      <c r="AC49" s="780"/>
      <c r="AD49" s="780"/>
      <c r="AE49" s="781"/>
    </row>
    <row r="50" spans="1:31" ht="97.15" customHeight="1" x14ac:dyDescent="0.25">
      <c r="A50" s="786"/>
      <c r="B50" s="703"/>
      <c r="C50" s="150" t="s">
        <v>50</v>
      </c>
      <c r="D50" s="60">
        <v>0</v>
      </c>
      <c r="E50" s="60">
        <v>0</v>
      </c>
      <c r="F50" s="60">
        <v>0</v>
      </c>
      <c r="G50" s="60">
        <v>0</v>
      </c>
      <c r="H50" s="60">
        <v>0</v>
      </c>
      <c r="I50" s="60">
        <v>0</v>
      </c>
      <c r="J50" s="60">
        <v>0</v>
      </c>
      <c r="K50" s="148">
        <v>0.2</v>
      </c>
      <c r="L50" s="148">
        <v>0.2</v>
      </c>
      <c r="M50" s="148">
        <v>0.2</v>
      </c>
      <c r="N50" s="148">
        <v>0.2</v>
      </c>
      <c r="O50" s="148">
        <v>0.2</v>
      </c>
      <c r="P50" s="138">
        <f t="shared" si="3"/>
        <v>1</v>
      </c>
      <c r="Q50" s="790"/>
      <c r="R50" s="788"/>
      <c r="S50" s="788"/>
      <c r="T50" s="788"/>
      <c r="U50" s="788"/>
      <c r="V50" s="788"/>
      <c r="W50" s="788"/>
      <c r="X50" s="789"/>
      <c r="Y50" s="782"/>
      <c r="Z50" s="783"/>
      <c r="AA50" s="783"/>
      <c r="AB50" s="783"/>
      <c r="AC50" s="783"/>
      <c r="AD50" s="783"/>
      <c r="AE50" s="784"/>
    </row>
    <row r="51" spans="1:31" ht="75.599999999999994" customHeight="1" x14ac:dyDescent="0.25">
      <c r="A51" s="785" t="s">
        <v>217</v>
      </c>
      <c r="B51" s="703">
        <v>0.02</v>
      </c>
      <c r="C51" s="149" t="s">
        <v>48</v>
      </c>
      <c r="D51" s="57">
        <v>0</v>
      </c>
      <c r="E51" s="57">
        <v>0</v>
      </c>
      <c r="F51" s="57">
        <v>0</v>
      </c>
      <c r="G51" s="57">
        <v>0</v>
      </c>
      <c r="H51" s="57">
        <v>0</v>
      </c>
      <c r="I51" s="57">
        <v>0</v>
      </c>
      <c r="J51" s="57">
        <v>0</v>
      </c>
      <c r="K51" s="57">
        <v>0.2</v>
      </c>
      <c r="L51" s="57">
        <v>0.2</v>
      </c>
      <c r="M51" s="57">
        <v>0.2</v>
      </c>
      <c r="N51" s="57">
        <v>0.2</v>
      </c>
      <c r="O51" s="57">
        <v>0.2</v>
      </c>
      <c r="P51" s="138">
        <f t="shared" si="3"/>
        <v>1</v>
      </c>
      <c r="Q51" s="696" t="s">
        <v>218</v>
      </c>
      <c r="R51" s="697"/>
      <c r="S51" s="697"/>
      <c r="T51" s="697"/>
      <c r="U51" s="697"/>
      <c r="V51" s="697"/>
      <c r="W51" s="697"/>
      <c r="X51" s="787"/>
      <c r="Y51" s="779" t="s">
        <v>219</v>
      </c>
      <c r="Z51" s="780"/>
      <c r="AA51" s="780"/>
      <c r="AB51" s="780"/>
      <c r="AC51" s="780"/>
      <c r="AD51" s="780"/>
      <c r="AE51" s="781"/>
    </row>
    <row r="52" spans="1:31" ht="75.599999999999994" customHeight="1" x14ac:dyDescent="0.25">
      <c r="A52" s="786"/>
      <c r="B52" s="703"/>
      <c r="C52" s="150" t="s">
        <v>50</v>
      </c>
      <c r="D52" s="60">
        <v>0</v>
      </c>
      <c r="E52" s="60">
        <v>0</v>
      </c>
      <c r="F52" s="60">
        <v>0</v>
      </c>
      <c r="G52" s="60">
        <v>0</v>
      </c>
      <c r="H52" s="60">
        <v>0</v>
      </c>
      <c r="I52" s="60">
        <v>0</v>
      </c>
      <c r="J52" s="60">
        <v>0</v>
      </c>
      <c r="K52" s="148">
        <v>0.2</v>
      </c>
      <c r="L52" s="148">
        <v>0.2</v>
      </c>
      <c r="M52" s="148">
        <v>0.2</v>
      </c>
      <c r="N52" s="148">
        <v>0.2</v>
      </c>
      <c r="O52" s="407">
        <v>0.2</v>
      </c>
      <c r="P52" s="406">
        <f t="shared" si="3"/>
        <v>1</v>
      </c>
      <c r="Q52" s="788"/>
      <c r="R52" s="788"/>
      <c r="S52" s="788"/>
      <c r="T52" s="788"/>
      <c r="U52" s="788"/>
      <c r="V52" s="788"/>
      <c r="W52" s="788"/>
      <c r="X52" s="789"/>
      <c r="Y52" s="782"/>
      <c r="Z52" s="783"/>
      <c r="AA52" s="783"/>
      <c r="AB52" s="783"/>
      <c r="AC52" s="783"/>
      <c r="AD52" s="783"/>
      <c r="AE52" s="784"/>
    </row>
    <row r="53" spans="1:31" ht="15" customHeight="1" x14ac:dyDescent="0.25">
      <c r="A53" s="125" t="s">
        <v>197</v>
      </c>
      <c r="B53" s="251">
        <f>SUM(B41:B51)</f>
        <v>0.69000000000000017</v>
      </c>
      <c r="Q53" s="210"/>
      <c r="R53" s="210"/>
      <c r="S53" s="210"/>
      <c r="T53" s="210"/>
      <c r="U53" s="210"/>
      <c r="V53" s="210"/>
      <c r="W53" s="210"/>
      <c r="X53" s="210"/>
      <c r="Y53" s="210"/>
      <c r="Z53" s="210"/>
      <c r="AA53" s="210"/>
      <c r="AB53" s="210"/>
      <c r="AC53" s="210"/>
      <c r="AD53" s="210"/>
      <c r="AE53" s="210"/>
    </row>
    <row r="54" spans="1:31" x14ac:dyDescent="0.25">
      <c r="Q54" s="210"/>
      <c r="R54" s="210"/>
      <c r="S54" s="210"/>
      <c r="T54" s="210"/>
      <c r="U54" s="210"/>
      <c r="V54" s="210"/>
      <c r="W54" s="210"/>
      <c r="X54" s="210"/>
      <c r="Y54" s="210"/>
      <c r="Z54" s="210"/>
      <c r="AA54" s="210"/>
      <c r="AB54" s="210"/>
      <c r="AC54" s="210"/>
      <c r="AD54" s="210"/>
      <c r="AE54" s="210"/>
    </row>
    <row r="55" spans="1:31" x14ac:dyDescent="0.25">
      <c r="B55" s="244"/>
      <c r="Q55" s="210"/>
      <c r="R55" s="210"/>
      <c r="S55" s="210"/>
      <c r="T55" s="210"/>
      <c r="U55" s="210"/>
      <c r="V55" s="210"/>
      <c r="W55" s="210"/>
      <c r="X55" s="210"/>
      <c r="Y55" s="210"/>
      <c r="Z55" s="210"/>
      <c r="AA55" s="210"/>
      <c r="AB55" s="210"/>
      <c r="AC55" s="210"/>
      <c r="AD55" s="210"/>
      <c r="AE55" s="210"/>
    </row>
    <row r="56" spans="1:31" x14ac:dyDescent="0.25">
      <c r="B56" s="244"/>
      <c r="Q56" s="210"/>
      <c r="R56" s="210"/>
      <c r="S56" s="210"/>
      <c r="T56" s="210"/>
      <c r="U56" s="210"/>
      <c r="V56" s="210"/>
      <c r="W56" s="210"/>
      <c r="X56" s="210"/>
      <c r="Y56" s="210"/>
      <c r="Z56" s="210"/>
      <c r="AA56" s="210"/>
      <c r="AB56" s="210"/>
      <c r="AC56" s="210"/>
      <c r="AD56" s="210"/>
      <c r="AE56" s="210"/>
    </row>
    <row r="57" spans="1:31" x14ac:dyDescent="0.25">
      <c r="C57" s="252"/>
      <c r="Q57" s="210"/>
      <c r="R57" s="210"/>
      <c r="S57" s="210"/>
      <c r="T57" s="210"/>
      <c r="U57" s="210"/>
      <c r="V57" s="210"/>
      <c r="W57" s="210"/>
      <c r="X57" s="210"/>
      <c r="Y57" s="210"/>
      <c r="Z57" s="210"/>
      <c r="AA57" s="210"/>
      <c r="AB57" s="210"/>
      <c r="AC57" s="210"/>
      <c r="AD57" s="210"/>
      <c r="AE57" s="210"/>
    </row>
    <row r="58" spans="1:31" hidden="1" x14ac:dyDescent="0.25">
      <c r="A58" s="740" t="s">
        <v>44</v>
      </c>
      <c r="B58" s="742" t="s">
        <v>167</v>
      </c>
      <c r="C58" s="729" t="s">
        <v>169</v>
      </c>
      <c r="D58" s="730"/>
      <c r="E58" s="730"/>
      <c r="F58" s="730"/>
      <c r="G58" s="730"/>
      <c r="H58" s="730"/>
      <c r="I58" s="730"/>
      <c r="J58" s="730"/>
      <c r="K58" s="730"/>
      <c r="L58" s="730"/>
      <c r="M58" s="730"/>
      <c r="N58" s="730"/>
      <c r="O58" s="730"/>
      <c r="P58" s="731"/>
      <c r="Q58" s="245"/>
      <c r="R58" s="245"/>
      <c r="S58" s="245"/>
      <c r="T58" s="245"/>
      <c r="U58" s="245"/>
      <c r="V58" s="245"/>
      <c r="W58" s="245"/>
      <c r="X58" s="245"/>
      <c r="Y58" s="245"/>
      <c r="Z58" s="245"/>
      <c r="AA58" s="245"/>
      <c r="AB58" s="245"/>
      <c r="AC58" s="245"/>
      <c r="AD58" s="245"/>
      <c r="AE58" s="210"/>
    </row>
    <row r="59" spans="1:31" ht="30" hidden="1" x14ac:dyDescent="0.25">
      <c r="A59" s="741"/>
      <c r="B59" s="743"/>
      <c r="C59" s="253" t="s">
        <v>168</v>
      </c>
      <c r="D59" s="253" t="s">
        <v>171</v>
      </c>
      <c r="E59" s="253" t="s">
        <v>172</v>
      </c>
      <c r="F59" s="253" t="s">
        <v>173</v>
      </c>
      <c r="G59" s="253" t="s">
        <v>174</v>
      </c>
      <c r="H59" s="253" t="s">
        <v>175</v>
      </c>
      <c r="I59" s="253" t="s">
        <v>176</v>
      </c>
      <c r="J59" s="253" t="s">
        <v>177</v>
      </c>
      <c r="K59" s="253" t="s">
        <v>178</v>
      </c>
      <c r="L59" s="253" t="s">
        <v>179</v>
      </c>
      <c r="M59" s="253" t="s">
        <v>180</v>
      </c>
      <c r="N59" s="253" t="s">
        <v>181</v>
      </c>
      <c r="O59" s="253" t="s">
        <v>182</v>
      </c>
      <c r="P59" s="254" t="s">
        <v>183</v>
      </c>
      <c r="Q59" s="245"/>
      <c r="R59" s="245"/>
      <c r="S59" s="245"/>
      <c r="T59" s="245"/>
      <c r="U59" s="245"/>
      <c r="V59" s="245"/>
      <c r="W59" s="245"/>
      <c r="X59" s="245"/>
      <c r="Y59" s="245"/>
      <c r="Z59" s="245"/>
      <c r="AA59" s="245"/>
      <c r="AB59" s="245"/>
      <c r="AC59" s="245"/>
      <c r="AD59" s="245"/>
      <c r="AE59" s="210"/>
    </row>
    <row r="60" spans="1:31" ht="18" hidden="1" customHeight="1" x14ac:dyDescent="0.25">
      <c r="A60" s="732" t="str">
        <f>+A41</f>
        <v>5. Diseñar dos estrategias de transformación cultural con matrices de consistencia y teorías del cambio (a partir de la línea base de investigación)</v>
      </c>
      <c r="B60" s="734">
        <f>+B41</f>
        <v>0.1</v>
      </c>
      <c r="C60" s="255" t="s">
        <v>48</v>
      </c>
      <c r="D60" s="256">
        <f>D41*$B$41/$P$41</f>
        <v>0</v>
      </c>
      <c r="E60" s="256">
        <f t="shared" ref="E60:O60" si="4">E41*$B$41/$P$41</f>
        <v>0</v>
      </c>
      <c r="F60" s="256">
        <f t="shared" si="4"/>
        <v>0</v>
      </c>
      <c r="G60" s="256">
        <f t="shared" si="4"/>
        <v>0</v>
      </c>
      <c r="H60" s="256">
        <f t="shared" si="4"/>
        <v>0</v>
      </c>
      <c r="I60" s="256">
        <f t="shared" si="4"/>
        <v>0</v>
      </c>
      <c r="J60" s="256">
        <f t="shared" si="4"/>
        <v>0</v>
      </c>
      <c r="K60" s="256">
        <f t="shared" si="4"/>
        <v>2.0000000000000004E-2</v>
      </c>
      <c r="L60" s="256">
        <f t="shared" si="4"/>
        <v>2.0000000000000004E-2</v>
      </c>
      <c r="M60" s="256">
        <f t="shared" si="4"/>
        <v>2.0000000000000004E-2</v>
      </c>
      <c r="N60" s="256">
        <f t="shared" si="4"/>
        <v>2.0000000000000004E-2</v>
      </c>
      <c r="O60" s="256">
        <f t="shared" si="4"/>
        <v>2.0000000000000004E-2</v>
      </c>
      <c r="P60" s="257">
        <f>SUM(D60:O60)</f>
        <v>0.10000000000000002</v>
      </c>
      <c r="Q60" s="245"/>
      <c r="R60" s="258"/>
      <c r="S60" s="245"/>
      <c r="T60" s="245"/>
      <c r="U60" s="245"/>
      <c r="V60" s="245"/>
      <c r="W60" s="245"/>
      <c r="X60" s="245"/>
      <c r="Y60" s="245"/>
      <c r="Z60" s="245"/>
      <c r="AA60" s="245"/>
      <c r="AB60" s="245"/>
      <c r="AC60" s="245"/>
      <c r="AD60" s="245"/>
      <c r="AE60" s="210"/>
    </row>
    <row r="61" spans="1:31" ht="18" hidden="1" customHeight="1" x14ac:dyDescent="0.25">
      <c r="A61" s="733"/>
      <c r="B61" s="735"/>
      <c r="C61" s="259" t="s">
        <v>50</v>
      </c>
      <c r="D61" s="260">
        <f>D42*$B$41/$P$41</f>
        <v>0</v>
      </c>
      <c r="E61" s="260">
        <f t="shared" ref="E61:O61" si="5">E42*$B$41/$P$41</f>
        <v>0</v>
      </c>
      <c r="F61" s="260">
        <f t="shared" si="5"/>
        <v>0</v>
      </c>
      <c r="G61" s="260">
        <f t="shared" si="5"/>
        <v>0</v>
      </c>
      <c r="H61" s="260">
        <f t="shared" si="5"/>
        <v>0</v>
      </c>
      <c r="I61" s="260">
        <f t="shared" si="5"/>
        <v>0</v>
      </c>
      <c r="J61" s="260">
        <f t="shared" si="5"/>
        <v>0</v>
      </c>
      <c r="K61" s="260">
        <f t="shared" si="5"/>
        <v>2.0000000000000004E-2</v>
      </c>
      <c r="L61" s="260">
        <f t="shared" si="5"/>
        <v>2.0000000000000004E-2</v>
      </c>
      <c r="M61" s="260">
        <f t="shared" si="5"/>
        <v>2.0000000000000004E-2</v>
      </c>
      <c r="N61" s="260">
        <f t="shared" si="5"/>
        <v>2.0000000000000004E-2</v>
      </c>
      <c r="O61" s="260">
        <f t="shared" si="5"/>
        <v>2.0000000000000004E-2</v>
      </c>
      <c r="P61" s="261">
        <f>SUM(D61:O61)</f>
        <v>0.10000000000000002</v>
      </c>
      <c r="Q61" s="258"/>
      <c r="R61" s="258"/>
      <c r="S61" s="245"/>
      <c r="T61" s="245"/>
      <c r="U61" s="245"/>
      <c r="V61" s="245"/>
      <c r="W61" s="245"/>
      <c r="X61" s="245"/>
      <c r="Y61" s="245"/>
      <c r="Z61" s="245"/>
      <c r="AA61" s="245"/>
      <c r="AB61" s="245"/>
      <c r="AC61" s="245"/>
      <c r="AD61" s="245"/>
      <c r="AE61" s="210"/>
    </row>
    <row r="62" spans="1:31" ht="18" hidden="1" customHeight="1" x14ac:dyDescent="0.25">
      <c r="A62" s="732" t="str">
        <f t="shared" ref="A62:B62" si="6">+A43</f>
        <v>6. Ejecutar el pilotaje de las estrategias en comunidades seleccionadas, realizar el seguimiento de su implementación y ajustar las estrategias basándose en los resultados obtenidos. Desarrollar las acciones narrativas y comunicativas de cada estrategia.</v>
      </c>
      <c r="B62" s="734">
        <f t="shared" si="6"/>
        <v>0.32</v>
      </c>
      <c r="C62" s="255" t="s">
        <v>48</v>
      </c>
      <c r="D62" s="256">
        <f>D43*$B$43/$P$43</f>
        <v>0</v>
      </c>
      <c r="E62" s="256">
        <f t="shared" ref="E62:O62" si="7">E43*$B$43/$P$43</f>
        <v>0</v>
      </c>
      <c r="F62" s="256">
        <f t="shared" si="7"/>
        <v>0</v>
      </c>
      <c r="G62" s="256">
        <f t="shared" si="7"/>
        <v>0</v>
      </c>
      <c r="H62" s="256">
        <f t="shared" si="7"/>
        <v>0</v>
      </c>
      <c r="I62" s="256">
        <f t="shared" si="7"/>
        <v>0</v>
      </c>
      <c r="J62" s="256">
        <f t="shared" si="7"/>
        <v>0</v>
      </c>
      <c r="K62" s="256">
        <f t="shared" si="7"/>
        <v>0</v>
      </c>
      <c r="L62" s="256">
        <f t="shared" si="7"/>
        <v>9.6000000000000016E-2</v>
      </c>
      <c r="M62" s="256">
        <f t="shared" si="7"/>
        <v>9.6000000000000016E-2</v>
      </c>
      <c r="N62" s="256">
        <f t="shared" si="7"/>
        <v>9.6000000000000016E-2</v>
      </c>
      <c r="O62" s="256">
        <f t="shared" si="7"/>
        <v>3.2000000000000008E-2</v>
      </c>
      <c r="P62" s="257">
        <f>SUM(D62:O62)</f>
        <v>0.32000000000000006</v>
      </c>
      <c r="Q62" s="245"/>
      <c r="R62" s="258"/>
      <c r="S62" s="245"/>
      <c r="T62" s="245"/>
      <c r="U62" s="245"/>
      <c r="V62" s="245"/>
      <c r="W62" s="245"/>
      <c r="X62" s="245"/>
      <c r="Y62" s="245"/>
      <c r="Z62" s="245"/>
      <c r="AA62" s="245"/>
      <c r="AB62" s="245"/>
      <c r="AC62" s="245"/>
      <c r="AD62" s="245"/>
      <c r="AE62" s="210"/>
    </row>
    <row r="63" spans="1:31" ht="18" hidden="1" customHeight="1" x14ac:dyDescent="0.25">
      <c r="A63" s="733"/>
      <c r="B63" s="735"/>
      <c r="C63" s="259" t="s">
        <v>50</v>
      </c>
      <c r="D63" s="260">
        <f>D44*$B$43/$P$43</f>
        <v>0</v>
      </c>
      <c r="E63" s="260">
        <f t="shared" ref="E63:O63" si="8">E44*$B$43/$P$43</f>
        <v>0</v>
      </c>
      <c r="F63" s="260">
        <f t="shared" si="8"/>
        <v>0</v>
      </c>
      <c r="G63" s="260">
        <f t="shared" si="8"/>
        <v>0</v>
      </c>
      <c r="H63" s="260">
        <f t="shared" si="8"/>
        <v>0</v>
      </c>
      <c r="I63" s="260">
        <f t="shared" si="8"/>
        <v>0</v>
      </c>
      <c r="J63" s="260">
        <f t="shared" si="8"/>
        <v>0</v>
      </c>
      <c r="K63" s="260">
        <f t="shared" si="8"/>
        <v>0</v>
      </c>
      <c r="L63" s="260">
        <f t="shared" si="8"/>
        <v>9.6000000000000016E-2</v>
      </c>
      <c r="M63" s="260">
        <f t="shared" si="8"/>
        <v>9.6000000000000016E-2</v>
      </c>
      <c r="N63" s="260">
        <f t="shared" si="8"/>
        <v>9.6000000000000016E-2</v>
      </c>
      <c r="O63" s="260">
        <f t="shared" si="8"/>
        <v>3.2000000000000008E-2</v>
      </c>
      <c r="P63" s="261">
        <f t="shared" ref="P63:P67" si="9">SUM(D63:O63)</f>
        <v>0.32000000000000006</v>
      </c>
      <c r="Q63" s="258"/>
      <c r="R63" s="258"/>
      <c r="S63" s="245"/>
      <c r="T63" s="245"/>
      <c r="U63" s="245"/>
      <c r="V63" s="245"/>
      <c r="W63" s="245"/>
      <c r="X63" s="245"/>
      <c r="Y63" s="245"/>
      <c r="Z63" s="245"/>
      <c r="AA63" s="245"/>
      <c r="AB63" s="245"/>
      <c r="AC63" s="245"/>
      <c r="AD63" s="245"/>
      <c r="AE63" s="210"/>
    </row>
    <row r="64" spans="1:31" ht="18" hidden="1" customHeight="1" x14ac:dyDescent="0.25">
      <c r="A64" s="732" t="str">
        <f t="shared" ref="A64:B64" si="10">+A45</f>
        <v>7. Elaborar documentos de formulación técnica que detallen el desarrollo y los resultados de las estrategias de transformación cultural. Incluir un balance de las acciones adelantadas y su impacto.</v>
      </c>
      <c r="B64" s="734">
        <f t="shared" si="10"/>
        <v>0.18</v>
      </c>
      <c r="C64" s="255" t="s">
        <v>48</v>
      </c>
      <c r="D64" s="256">
        <f>D45*$B$45/$P$45</f>
        <v>0</v>
      </c>
      <c r="E64" s="256">
        <f t="shared" ref="E64:O64" si="11">E45*$B$45/$P$45</f>
        <v>0</v>
      </c>
      <c r="F64" s="256">
        <f t="shared" si="11"/>
        <v>0</v>
      </c>
      <c r="G64" s="256">
        <f t="shared" si="11"/>
        <v>0</v>
      </c>
      <c r="H64" s="256">
        <f t="shared" si="11"/>
        <v>0</v>
      </c>
      <c r="I64" s="256">
        <f t="shared" si="11"/>
        <v>0</v>
      </c>
      <c r="J64" s="256">
        <f t="shared" si="11"/>
        <v>0</v>
      </c>
      <c r="K64" s="256">
        <f t="shared" si="11"/>
        <v>0</v>
      </c>
      <c r="L64" s="256">
        <f t="shared" si="11"/>
        <v>0</v>
      </c>
      <c r="M64" s="256">
        <f t="shared" si="11"/>
        <v>5.3999999999999999E-2</v>
      </c>
      <c r="N64" s="256">
        <f t="shared" si="11"/>
        <v>5.3999999999999999E-2</v>
      </c>
      <c r="O64" s="256">
        <f t="shared" si="11"/>
        <v>7.1999999999999995E-2</v>
      </c>
      <c r="P64" s="257">
        <f>SUM(D64:O64)</f>
        <v>0.18</v>
      </c>
      <c r="Q64" s="245"/>
      <c r="R64" s="258"/>
      <c r="S64" s="245"/>
      <c r="T64" s="245"/>
      <c r="U64" s="245"/>
      <c r="V64" s="245"/>
      <c r="W64" s="245"/>
      <c r="X64" s="245"/>
      <c r="Y64" s="245"/>
      <c r="Z64" s="245"/>
      <c r="AA64" s="245"/>
      <c r="AB64" s="245"/>
      <c r="AC64" s="245"/>
      <c r="AD64" s="245"/>
      <c r="AE64" s="210"/>
    </row>
    <row r="65" spans="1:31" ht="18" hidden="1" customHeight="1" x14ac:dyDescent="0.25">
      <c r="A65" s="733"/>
      <c r="B65" s="735"/>
      <c r="C65" s="259" t="s">
        <v>50</v>
      </c>
      <c r="D65" s="260">
        <f>D46*$B$45/$P$45</f>
        <v>0</v>
      </c>
      <c r="E65" s="260">
        <f t="shared" ref="E65:O65" si="12">E46*$B$45/$P$45</f>
        <v>0</v>
      </c>
      <c r="F65" s="260">
        <f t="shared" si="12"/>
        <v>0</v>
      </c>
      <c r="G65" s="260">
        <f t="shared" si="12"/>
        <v>0</v>
      </c>
      <c r="H65" s="260">
        <f t="shared" si="12"/>
        <v>0</v>
      </c>
      <c r="I65" s="260">
        <f t="shared" si="12"/>
        <v>0</v>
      </c>
      <c r="J65" s="260">
        <f t="shared" si="12"/>
        <v>0</v>
      </c>
      <c r="K65" s="260">
        <f t="shared" si="12"/>
        <v>0</v>
      </c>
      <c r="L65" s="260">
        <f t="shared" si="12"/>
        <v>0</v>
      </c>
      <c r="M65" s="260">
        <f t="shared" si="12"/>
        <v>5.3999999999999999E-2</v>
      </c>
      <c r="N65" s="260">
        <f t="shared" si="12"/>
        <v>5.3999999999999999E-2</v>
      </c>
      <c r="O65" s="260">
        <f t="shared" si="12"/>
        <v>7.1999999999999995E-2</v>
      </c>
      <c r="P65" s="261">
        <f t="shared" si="9"/>
        <v>0.18</v>
      </c>
      <c r="Q65" s="258"/>
      <c r="R65" s="258"/>
      <c r="S65" s="245"/>
      <c r="T65" s="245"/>
      <c r="U65" s="245"/>
      <c r="V65" s="245"/>
      <c r="W65" s="245"/>
      <c r="X65" s="245"/>
      <c r="Y65" s="245"/>
      <c r="Z65" s="245"/>
      <c r="AA65" s="245"/>
      <c r="AB65" s="245"/>
      <c r="AC65" s="245"/>
      <c r="AD65" s="245"/>
      <c r="AE65" s="210"/>
    </row>
    <row r="66" spans="1:31" ht="18" hidden="1" customHeight="1" x14ac:dyDescent="0.25">
      <c r="A66" s="732" t="str">
        <f t="shared" ref="A66:B66" si="13">+A47</f>
        <v>8. Evaluar de manera integral las estrategias implementadas, identificar áreas de mejora y planificar ajustes para futuras intervenciones.</v>
      </c>
      <c r="B66" s="734">
        <f t="shared" si="13"/>
        <v>0.05</v>
      </c>
      <c r="C66" s="255" t="s">
        <v>48</v>
      </c>
      <c r="D66" s="256">
        <f>D47*$B$47/$P$47</f>
        <v>0</v>
      </c>
      <c r="E66" s="256">
        <f t="shared" ref="E66:O66" si="14">E47*$B$47/$P$47</f>
        <v>0</v>
      </c>
      <c r="F66" s="256">
        <f t="shared" si="14"/>
        <v>0</v>
      </c>
      <c r="G66" s="256">
        <f t="shared" si="14"/>
        <v>0</v>
      </c>
      <c r="H66" s="256">
        <f t="shared" si="14"/>
        <v>0</v>
      </c>
      <c r="I66" s="256">
        <f t="shared" si="14"/>
        <v>0</v>
      </c>
      <c r="J66" s="256">
        <f t="shared" si="14"/>
        <v>0</v>
      </c>
      <c r="K66" s="256">
        <f t="shared" si="14"/>
        <v>0</v>
      </c>
      <c r="L66" s="256">
        <f t="shared" si="14"/>
        <v>0</v>
      </c>
      <c r="M66" s="256">
        <f t="shared" si="14"/>
        <v>0</v>
      </c>
      <c r="N66" s="256">
        <f t="shared" si="14"/>
        <v>2.5000000000000001E-2</v>
      </c>
      <c r="O66" s="256">
        <f t="shared" si="14"/>
        <v>2.5000000000000001E-2</v>
      </c>
      <c r="P66" s="257">
        <f>SUM(D66:O66)</f>
        <v>0.05</v>
      </c>
      <c r="Q66" s="245"/>
      <c r="R66" s="258"/>
      <c r="S66" s="245"/>
      <c r="T66" s="245"/>
      <c r="U66" s="245"/>
      <c r="V66" s="245"/>
      <c r="W66" s="245"/>
      <c r="X66" s="245"/>
      <c r="Y66" s="245"/>
      <c r="Z66" s="245"/>
      <c r="AA66" s="245"/>
      <c r="AB66" s="245"/>
      <c r="AC66" s="245"/>
      <c r="AD66" s="245"/>
      <c r="AE66" s="210"/>
    </row>
    <row r="67" spans="1:31" ht="18" hidden="1" customHeight="1" thickBot="1" x14ac:dyDescent="0.3">
      <c r="A67" s="733"/>
      <c r="B67" s="735"/>
      <c r="C67" s="262" t="s">
        <v>50</v>
      </c>
      <c r="D67" s="260">
        <f>D48*$B$47/$P$47</f>
        <v>0</v>
      </c>
      <c r="E67" s="260">
        <f t="shared" ref="E67:O67" si="15">E48*$B$47/$P$47</f>
        <v>0</v>
      </c>
      <c r="F67" s="260">
        <f t="shared" si="15"/>
        <v>0</v>
      </c>
      <c r="G67" s="260">
        <f t="shared" si="15"/>
        <v>0</v>
      </c>
      <c r="H67" s="260">
        <f t="shared" si="15"/>
        <v>0</v>
      </c>
      <c r="I67" s="260">
        <f t="shared" si="15"/>
        <v>0</v>
      </c>
      <c r="J67" s="260">
        <f t="shared" si="15"/>
        <v>0</v>
      </c>
      <c r="K67" s="260">
        <f t="shared" si="15"/>
        <v>0</v>
      </c>
      <c r="L67" s="260">
        <f t="shared" si="15"/>
        <v>0</v>
      </c>
      <c r="M67" s="260">
        <f t="shared" si="15"/>
        <v>0</v>
      </c>
      <c r="N67" s="260">
        <f t="shared" si="15"/>
        <v>2.5000000000000001E-2</v>
      </c>
      <c r="O67" s="260">
        <f t="shared" si="15"/>
        <v>2.5000000000000001E-2</v>
      </c>
      <c r="P67" s="261">
        <f t="shared" si="9"/>
        <v>0.05</v>
      </c>
      <c r="Q67" s="258"/>
      <c r="R67" s="258"/>
      <c r="S67" s="245"/>
      <c r="T67" s="245"/>
      <c r="U67" s="245"/>
      <c r="V67" s="245"/>
      <c r="W67" s="245"/>
      <c r="X67" s="245"/>
      <c r="Y67" s="245"/>
      <c r="Z67" s="245"/>
      <c r="AA67" s="245"/>
      <c r="AB67" s="245"/>
      <c r="AC67" s="245"/>
      <c r="AD67" s="245"/>
      <c r="AE67" s="210"/>
    </row>
    <row r="68" spans="1:31" ht="18" hidden="1" customHeight="1" x14ac:dyDescent="0.25">
      <c r="A68" s="732" t="str">
        <f t="shared" ref="A68:B68" si="16">+A49</f>
        <v>9. Realizar las acciones pertinentes para el desarrollo de la secretaría técnica del Consejo Consultivo de Mujeres de Bogotá, Mesa Coordinadora, Espacio Autónomo, Espacio Ampliado, según las funciones establecidas en el Decreto 364 de 2021.</v>
      </c>
      <c r="B68" s="734">
        <f t="shared" si="16"/>
        <v>0.02</v>
      </c>
      <c r="C68" s="255" t="s">
        <v>48</v>
      </c>
      <c r="D68" s="256">
        <f>D49*$B$49/$P$49</f>
        <v>0</v>
      </c>
      <c r="E68" s="256">
        <f t="shared" ref="E68:O68" si="17">E49*$B$49/$P$49</f>
        <v>0</v>
      </c>
      <c r="F68" s="256">
        <f t="shared" si="17"/>
        <v>0</v>
      </c>
      <c r="G68" s="256">
        <f t="shared" si="17"/>
        <v>0</v>
      </c>
      <c r="H68" s="256">
        <f t="shared" si="17"/>
        <v>0</v>
      </c>
      <c r="I68" s="256">
        <f t="shared" si="17"/>
        <v>0</v>
      </c>
      <c r="J68" s="256">
        <f t="shared" si="17"/>
        <v>0</v>
      </c>
      <c r="K68" s="256">
        <f t="shared" si="17"/>
        <v>4.0000000000000001E-3</v>
      </c>
      <c r="L68" s="256">
        <f t="shared" si="17"/>
        <v>4.0000000000000001E-3</v>
      </c>
      <c r="M68" s="256">
        <f t="shared" si="17"/>
        <v>4.0000000000000001E-3</v>
      </c>
      <c r="N68" s="256">
        <f t="shared" si="17"/>
        <v>4.0000000000000001E-3</v>
      </c>
      <c r="O68" s="256">
        <f t="shared" si="17"/>
        <v>4.0000000000000001E-3</v>
      </c>
      <c r="P68" s="257">
        <f>SUM(D68:O68)</f>
        <v>0.02</v>
      </c>
      <c r="Q68" s="245"/>
      <c r="R68" s="258"/>
      <c r="S68" s="245"/>
      <c r="T68" s="245"/>
      <c r="U68" s="245"/>
      <c r="V68" s="245"/>
      <c r="W68" s="245"/>
      <c r="X68" s="245"/>
      <c r="Y68" s="245"/>
      <c r="Z68" s="245"/>
      <c r="AA68" s="245"/>
      <c r="AB68" s="245"/>
      <c r="AC68" s="245"/>
      <c r="AD68" s="245"/>
      <c r="AE68" s="210"/>
    </row>
    <row r="69" spans="1:31" ht="18" hidden="1" customHeight="1" x14ac:dyDescent="0.25">
      <c r="A69" s="733"/>
      <c r="B69" s="735"/>
      <c r="C69" s="259" t="s">
        <v>50</v>
      </c>
      <c r="D69" s="260">
        <f>D50*$B$49/$P$49</f>
        <v>0</v>
      </c>
      <c r="E69" s="260">
        <f t="shared" ref="E69:O69" si="18">E50*$B$49/$P$49</f>
        <v>0</v>
      </c>
      <c r="F69" s="260">
        <f t="shared" si="18"/>
        <v>0</v>
      </c>
      <c r="G69" s="260">
        <f t="shared" si="18"/>
        <v>0</v>
      </c>
      <c r="H69" s="260">
        <f t="shared" si="18"/>
        <v>0</v>
      </c>
      <c r="I69" s="260">
        <f t="shared" si="18"/>
        <v>0</v>
      </c>
      <c r="J69" s="260">
        <f t="shared" si="18"/>
        <v>0</v>
      </c>
      <c r="K69" s="260">
        <f t="shared" si="18"/>
        <v>4.0000000000000001E-3</v>
      </c>
      <c r="L69" s="260">
        <f t="shared" si="18"/>
        <v>4.0000000000000001E-3</v>
      </c>
      <c r="M69" s="260">
        <f t="shared" si="18"/>
        <v>4.0000000000000001E-3</v>
      </c>
      <c r="N69" s="260">
        <f t="shared" si="18"/>
        <v>4.0000000000000001E-3</v>
      </c>
      <c r="O69" s="260">
        <f t="shared" si="18"/>
        <v>4.0000000000000001E-3</v>
      </c>
      <c r="P69" s="261">
        <f>SUM(D69:O69)</f>
        <v>0.02</v>
      </c>
      <c r="Q69" s="258"/>
      <c r="R69" s="258"/>
      <c r="S69" s="245"/>
      <c r="T69" s="245"/>
      <c r="U69" s="245"/>
      <c r="V69" s="245"/>
      <c r="W69" s="245"/>
      <c r="X69" s="245"/>
      <c r="Y69" s="245"/>
      <c r="Z69" s="245"/>
      <c r="AA69" s="245"/>
      <c r="AB69" s="245"/>
      <c r="AC69" s="245"/>
      <c r="AD69" s="245"/>
      <c r="AE69" s="210"/>
    </row>
    <row r="70" spans="1:31" ht="18" hidden="1" customHeight="1" x14ac:dyDescent="0.25">
      <c r="A70" s="732" t="str">
        <f t="shared" ref="A70:B70" si="19">+A51</f>
        <v>10. Acompañar técnicamente la transversalización del enfoque de género en el Concejo de Bogotá, con énfasis en las bancadas de mujeres de este órgano</v>
      </c>
      <c r="B70" s="734">
        <f t="shared" si="19"/>
        <v>0.02</v>
      </c>
      <c r="C70" s="255" t="s">
        <v>48</v>
      </c>
      <c r="D70" s="256">
        <f>D51*$B$51/$P$51</f>
        <v>0</v>
      </c>
      <c r="E70" s="256">
        <f t="shared" ref="E70:O70" si="20">E51*$B$51/$P$51</f>
        <v>0</v>
      </c>
      <c r="F70" s="256">
        <f t="shared" si="20"/>
        <v>0</v>
      </c>
      <c r="G70" s="256">
        <f t="shared" si="20"/>
        <v>0</v>
      </c>
      <c r="H70" s="256">
        <f t="shared" si="20"/>
        <v>0</v>
      </c>
      <c r="I70" s="256">
        <f t="shared" si="20"/>
        <v>0</v>
      </c>
      <c r="J70" s="256">
        <f t="shared" si="20"/>
        <v>0</v>
      </c>
      <c r="K70" s="256">
        <f t="shared" si="20"/>
        <v>4.0000000000000001E-3</v>
      </c>
      <c r="L70" s="256">
        <f t="shared" si="20"/>
        <v>4.0000000000000001E-3</v>
      </c>
      <c r="M70" s="256">
        <f t="shared" si="20"/>
        <v>4.0000000000000001E-3</v>
      </c>
      <c r="N70" s="256">
        <f t="shared" si="20"/>
        <v>4.0000000000000001E-3</v>
      </c>
      <c r="O70" s="256">
        <f t="shared" si="20"/>
        <v>4.0000000000000001E-3</v>
      </c>
      <c r="P70" s="257">
        <f>SUM(D70:O70)</f>
        <v>0.02</v>
      </c>
      <c r="Q70" s="245"/>
      <c r="R70" s="258"/>
      <c r="S70" s="245"/>
      <c r="T70" s="245"/>
      <c r="U70" s="245"/>
      <c r="V70" s="245"/>
      <c r="W70" s="245"/>
      <c r="X70" s="245"/>
      <c r="Y70" s="245"/>
      <c r="Z70" s="245"/>
      <c r="AA70" s="245"/>
      <c r="AB70" s="245"/>
      <c r="AC70" s="245"/>
      <c r="AD70" s="245"/>
      <c r="AE70" s="210"/>
    </row>
    <row r="71" spans="1:31" ht="18" hidden="1" customHeight="1" x14ac:dyDescent="0.25">
      <c r="A71" s="733"/>
      <c r="B71" s="735"/>
      <c r="C71" s="259" t="s">
        <v>50</v>
      </c>
      <c r="D71" s="260">
        <f>D52*$B$51/$P$51</f>
        <v>0</v>
      </c>
      <c r="E71" s="260">
        <f t="shared" ref="E71:O71" si="21">E52*$B$51/$P$51</f>
        <v>0</v>
      </c>
      <c r="F71" s="260">
        <f t="shared" si="21"/>
        <v>0</v>
      </c>
      <c r="G71" s="260">
        <f t="shared" si="21"/>
        <v>0</v>
      </c>
      <c r="H71" s="260">
        <f t="shared" si="21"/>
        <v>0</v>
      </c>
      <c r="I71" s="260">
        <f t="shared" si="21"/>
        <v>0</v>
      </c>
      <c r="J71" s="260">
        <f t="shared" si="21"/>
        <v>0</v>
      </c>
      <c r="K71" s="260">
        <f t="shared" si="21"/>
        <v>4.0000000000000001E-3</v>
      </c>
      <c r="L71" s="260">
        <f t="shared" si="21"/>
        <v>4.0000000000000001E-3</v>
      </c>
      <c r="M71" s="260">
        <f t="shared" si="21"/>
        <v>4.0000000000000001E-3</v>
      </c>
      <c r="N71" s="260">
        <f t="shared" si="21"/>
        <v>4.0000000000000001E-3</v>
      </c>
      <c r="O71" s="260">
        <f t="shared" si="21"/>
        <v>4.0000000000000001E-3</v>
      </c>
      <c r="P71" s="261">
        <f t="shared" ref="P71" si="22">SUM(D71:O71)</f>
        <v>0.02</v>
      </c>
      <c r="Q71" s="258"/>
      <c r="R71" s="258"/>
      <c r="S71" s="245"/>
      <c r="T71" s="245"/>
      <c r="U71" s="245"/>
      <c r="V71" s="245"/>
      <c r="W71" s="245"/>
      <c r="X71" s="245"/>
      <c r="Y71" s="245"/>
      <c r="Z71" s="245"/>
      <c r="AA71" s="245"/>
      <c r="AB71" s="245"/>
      <c r="AC71" s="245"/>
      <c r="AD71" s="245"/>
      <c r="AE71" s="210"/>
    </row>
    <row r="72" spans="1:31" ht="15" hidden="1" x14ac:dyDescent="0.25">
      <c r="A72" s="737"/>
      <c r="B72" s="736"/>
      <c r="C72" s="182"/>
      <c r="D72" s="256"/>
      <c r="E72" s="256"/>
      <c r="F72" s="256"/>
      <c r="G72" s="256"/>
      <c r="H72" s="256"/>
      <c r="I72" s="256"/>
      <c r="J72" s="256"/>
      <c r="K72" s="256"/>
      <c r="L72" s="256"/>
      <c r="M72" s="256"/>
      <c r="N72" s="256"/>
      <c r="O72" s="256"/>
      <c r="P72" s="263"/>
      <c r="Q72" s="245"/>
      <c r="R72" s="258"/>
      <c r="S72" s="245"/>
      <c r="T72" s="245"/>
      <c r="U72" s="245"/>
      <c r="V72" s="245"/>
      <c r="W72" s="245"/>
      <c r="X72" s="245"/>
      <c r="Y72" s="245"/>
      <c r="Z72" s="245"/>
      <c r="AA72" s="245"/>
      <c r="AB72" s="245"/>
      <c r="AC72" s="245"/>
      <c r="AD72" s="245"/>
      <c r="AE72" s="210"/>
    </row>
    <row r="73" spans="1:31" ht="15" hidden="1" x14ac:dyDescent="0.25">
      <c r="A73" s="737"/>
      <c r="B73" s="736"/>
      <c r="C73" s="182"/>
      <c r="D73" s="264"/>
      <c r="E73" s="264"/>
      <c r="F73" s="264"/>
      <c r="G73" s="264"/>
      <c r="H73" s="264"/>
      <c r="I73" s="264"/>
      <c r="J73" s="264"/>
      <c r="K73" s="264"/>
      <c r="L73" s="264"/>
      <c r="M73" s="264"/>
      <c r="N73" s="264"/>
      <c r="O73" s="264"/>
      <c r="P73" s="263"/>
      <c r="Q73" s="258"/>
      <c r="R73" s="258"/>
      <c r="S73" s="245"/>
      <c r="T73" s="245"/>
      <c r="U73" s="245"/>
      <c r="V73" s="245"/>
      <c r="W73" s="245"/>
      <c r="X73" s="245"/>
      <c r="Y73" s="245"/>
      <c r="Z73" s="245"/>
      <c r="AA73" s="245"/>
      <c r="AB73" s="245"/>
      <c r="AC73" s="245"/>
      <c r="AD73" s="245"/>
      <c r="AE73" s="210"/>
    </row>
    <row r="74" spans="1:31" ht="15" hidden="1" x14ac:dyDescent="0.25">
      <c r="A74" s="737"/>
      <c r="B74" s="736"/>
      <c r="C74" s="182"/>
      <c r="D74" s="256"/>
      <c r="E74" s="256"/>
      <c r="F74" s="256"/>
      <c r="G74" s="256"/>
      <c r="H74" s="256"/>
      <c r="I74" s="256"/>
      <c r="J74" s="256"/>
      <c r="K74" s="256"/>
      <c r="L74" s="256"/>
      <c r="M74" s="256"/>
      <c r="N74" s="256"/>
      <c r="O74" s="256"/>
      <c r="P74" s="263"/>
      <c r="Q74" s="245"/>
      <c r="R74" s="258"/>
      <c r="S74" s="245"/>
      <c r="T74" s="245"/>
      <c r="U74" s="245"/>
      <c r="V74" s="245"/>
      <c r="W74" s="245"/>
      <c r="X74" s="245"/>
      <c r="Y74" s="245"/>
      <c r="Z74" s="245"/>
      <c r="AA74" s="245"/>
      <c r="AB74" s="245"/>
      <c r="AC74" s="245"/>
      <c r="AD74" s="245"/>
      <c r="AE74" s="210"/>
    </row>
    <row r="75" spans="1:31" ht="15" hidden="1" x14ac:dyDescent="0.25">
      <c r="A75" s="737"/>
      <c r="B75" s="736"/>
      <c r="C75" s="182"/>
      <c r="D75" s="264"/>
      <c r="E75" s="264"/>
      <c r="F75" s="264"/>
      <c r="G75" s="264"/>
      <c r="H75" s="264"/>
      <c r="I75" s="264"/>
      <c r="J75" s="264"/>
      <c r="K75" s="264"/>
      <c r="L75" s="264"/>
      <c r="M75" s="264"/>
      <c r="N75" s="264"/>
      <c r="O75" s="264"/>
      <c r="P75" s="263"/>
      <c r="Q75" s="258"/>
      <c r="R75" s="258"/>
      <c r="S75" s="245"/>
      <c r="T75" s="245"/>
      <c r="U75" s="245"/>
      <c r="V75" s="245"/>
      <c r="W75" s="245"/>
      <c r="X75" s="245"/>
      <c r="Y75" s="245"/>
      <c r="Z75" s="245"/>
      <c r="AA75" s="245"/>
      <c r="AB75" s="245"/>
      <c r="AC75" s="245"/>
      <c r="AD75" s="245"/>
      <c r="AE75" s="210"/>
    </row>
    <row r="76" spans="1:31" ht="15" hidden="1" x14ac:dyDescent="0.25">
      <c r="A76" s="737"/>
      <c r="B76" s="736"/>
      <c r="C76" s="182"/>
      <c r="D76" s="256"/>
      <c r="E76" s="256"/>
      <c r="F76" s="256"/>
      <c r="G76" s="256"/>
      <c r="H76" s="256"/>
      <c r="I76" s="256"/>
      <c r="J76" s="256"/>
      <c r="K76" s="256"/>
      <c r="L76" s="256"/>
      <c r="M76" s="256"/>
      <c r="N76" s="256"/>
      <c r="O76" s="256"/>
      <c r="P76" s="263"/>
      <c r="Q76" s="245"/>
      <c r="R76" s="258"/>
      <c r="S76" s="245"/>
      <c r="T76" s="245"/>
      <c r="U76" s="245"/>
      <c r="V76" s="245"/>
      <c r="W76" s="245"/>
      <c r="X76" s="245"/>
      <c r="Y76" s="245"/>
      <c r="Z76" s="245"/>
      <c r="AA76" s="245"/>
      <c r="AB76" s="245"/>
      <c r="AC76" s="245"/>
      <c r="AD76" s="245"/>
      <c r="AE76" s="210"/>
    </row>
    <row r="77" spans="1:31" ht="15" hidden="1" x14ac:dyDescent="0.25">
      <c r="A77" s="737"/>
      <c r="B77" s="736"/>
      <c r="C77" s="182"/>
      <c r="D77" s="264"/>
      <c r="E77" s="264"/>
      <c r="F77" s="264"/>
      <c r="G77" s="264"/>
      <c r="H77" s="264"/>
      <c r="I77" s="264"/>
      <c r="J77" s="264"/>
      <c r="K77" s="264"/>
      <c r="L77" s="264"/>
      <c r="M77" s="264"/>
      <c r="N77" s="264"/>
      <c r="O77" s="264"/>
      <c r="P77" s="263"/>
      <c r="Q77" s="258"/>
      <c r="R77" s="258"/>
      <c r="S77" s="245"/>
      <c r="T77" s="245"/>
      <c r="U77" s="245"/>
      <c r="V77" s="245"/>
      <c r="W77" s="245"/>
      <c r="X77" s="245"/>
      <c r="Y77" s="245"/>
      <c r="Z77" s="245"/>
      <c r="AA77" s="245"/>
      <c r="AB77" s="245"/>
      <c r="AC77" s="245"/>
      <c r="AD77" s="245"/>
      <c r="AE77" s="210"/>
    </row>
    <row r="78" spans="1:31" ht="15" hidden="1" x14ac:dyDescent="0.25">
      <c r="A78" s="245"/>
      <c r="C78" s="265"/>
      <c r="D78" s="266">
        <f>+D61+D63+D65+D67+D69+D71</f>
        <v>0</v>
      </c>
      <c r="E78" s="266">
        <f t="shared" ref="E78:P78" si="23">+E61+E63+E65+E67+E69+E71</f>
        <v>0</v>
      </c>
      <c r="F78" s="266">
        <f t="shared" si="23"/>
        <v>0</v>
      </c>
      <c r="G78" s="266">
        <f t="shared" si="23"/>
        <v>0</v>
      </c>
      <c r="H78" s="266">
        <f t="shared" si="23"/>
        <v>0</v>
      </c>
      <c r="I78" s="266">
        <f t="shared" si="23"/>
        <v>0</v>
      </c>
      <c r="J78" s="266">
        <f t="shared" si="23"/>
        <v>0</v>
      </c>
      <c r="K78" s="266">
        <f t="shared" si="23"/>
        <v>2.8000000000000004E-2</v>
      </c>
      <c r="L78" s="266">
        <f t="shared" si="23"/>
        <v>0.12400000000000003</v>
      </c>
      <c r="M78" s="266">
        <f t="shared" si="23"/>
        <v>0.17800000000000002</v>
      </c>
      <c r="N78" s="266">
        <f t="shared" si="23"/>
        <v>0.20300000000000001</v>
      </c>
      <c r="O78" s="266">
        <f t="shared" si="23"/>
        <v>0.157</v>
      </c>
      <c r="P78" s="266">
        <f t="shared" si="23"/>
        <v>0.69000000000000017</v>
      </c>
      <c r="Q78" s="245"/>
      <c r="R78" s="258"/>
      <c r="S78" s="245"/>
      <c r="T78" s="245"/>
      <c r="U78" s="245"/>
      <c r="V78" s="245"/>
      <c r="W78" s="245"/>
      <c r="X78" s="245"/>
      <c r="Y78" s="245"/>
      <c r="Z78" s="245"/>
      <c r="AA78" s="245"/>
      <c r="AB78" s="245"/>
      <c r="AC78" s="245"/>
      <c r="AD78" s="245"/>
      <c r="AE78" s="210"/>
    </row>
    <row r="79" spans="1:31" ht="15" hidden="1" x14ac:dyDescent="0.25">
      <c r="A79" s="245"/>
      <c r="C79" s="267" t="s">
        <v>50</v>
      </c>
      <c r="D79" s="268">
        <f>D78*1/$B$35</f>
        <v>0</v>
      </c>
      <c r="E79" s="268">
        <f t="shared" ref="E79:O79" si="24">E78*1/$B$35</f>
        <v>0</v>
      </c>
      <c r="F79" s="268">
        <f t="shared" si="24"/>
        <v>0</v>
      </c>
      <c r="G79" s="268">
        <f t="shared" si="24"/>
        <v>0</v>
      </c>
      <c r="H79" s="268">
        <f t="shared" si="24"/>
        <v>0</v>
      </c>
      <c r="I79" s="268">
        <f t="shared" si="24"/>
        <v>0</v>
      </c>
      <c r="J79" s="268">
        <f t="shared" si="24"/>
        <v>0</v>
      </c>
      <c r="K79" s="268">
        <f t="shared" si="24"/>
        <v>4.0579710144927547E-2</v>
      </c>
      <c r="L79" s="268">
        <f t="shared" si="24"/>
        <v>0.17971014492753629</v>
      </c>
      <c r="M79" s="268">
        <f t="shared" si="24"/>
        <v>0.25797101449275367</v>
      </c>
      <c r="N79" s="268">
        <f t="shared" si="24"/>
        <v>0.29420289855072468</v>
      </c>
      <c r="O79" s="268">
        <f t="shared" si="24"/>
        <v>0.227536231884058</v>
      </c>
      <c r="P79" s="269">
        <f>SUM(D79:O79)</f>
        <v>1.0000000000000002</v>
      </c>
      <c r="Q79" s="245"/>
      <c r="R79" s="245"/>
      <c r="S79" s="245"/>
      <c r="T79" s="245"/>
      <c r="U79" s="245"/>
      <c r="V79" s="245"/>
      <c r="W79" s="245"/>
      <c r="X79" s="245"/>
      <c r="Y79" s="245"/>
      <c r="Z79" s="245"/>
      <c r="AA79" s="245"/>
      <c r="AB79" s="245"/>
      <c r="AC79" s="245"/>
      <c r="AD79" s="245"/>
      <c r="AE79" s="210"/>
    </row>
    <row r="80" spans="1:31" hidden="1" x14ac:dyDescent="0.25">
      <c r="A80" s="245"/>
      <c r="Q80" s="245"/>
      <c r="R80" s="245"/>
      <c r="S80" s="245"/>
      <c r="T80" s="245"/>
      <c r="U80" s="245"/>
      <c r="V80" s="245"/>
      <c r="W80" s="245"/>
      <c r="X80" s="245"/>
      <c r="Y80" s="245"/>
      <c r="Z80" s="245"/>
      <c r="AA80" s="245"/>
      <c r="AB80" s="245"/>
      <c r="AC80" s="245"/>
      <c r="AD80" s="245"/>
      <c r="AE80" s="210"/>
    </row>
    <row r="81" spans="1:31" ht="15" hidden="1" x14ac:dyDescent="0.25">
      <c r="A81" s="245"/>
      <c r="D81" s="266">
        <f>+D60+D62+D64+D66+D68+D70</f>
        <v>0</v>
      </c>
      <c r="E81" s="266">
        <f t="shared" ref="E81:P81" si="25">+E60+E62+E64+E66+E68+E70</f>
        <v>0</v>
      </c>
      <c r="F81" s="266">
        <f t="shared" si="25"/>
        <v>0</v>
      </c>
      <c r="G81" s="266">
        <f t="shared" si="25"/>
        <v>0</v>
      </c>
      <c r="H81" s="266">
        <f t="shared" si="25"/>
        <v>0</v>
      </c>
      <c r="I81" s="266">
        <f t="shared" si="25"/>
        <v>0</v>
      </c>
      <c r="J81" s="266">
        <f t="shared" si="25"/>
        <v>0</v>
      </c>
      <c r="K81" s="266">
        <f t="shared" si="25"/>
        <v>2.8000000000000004E-2</v>
      </c>
      <c r="L81" s="266">
        <f t="shared" si="25"/>
        <v>0.12400000000000003</v>
      </c>
      <c r="M81" s="266">
        <f t="shared" si="25"/>
        <v>0.17800000000000002</v>
      </c>
      <c r="N81" s="266">
        <f t="shared" si="25"/>
        <v>0.20300000000000001</v>
      </c>
      <c r="O81" s="266">
        <f t="shared" si="25"/>
        <v>0.157</v>
      </c>
      <c r="P81" s="266">
        <f t="shared" si="25"/>
        <v>0.69000000000000017</v>
      </c>
      <c r="Q81" s="245"/>
      <c r="R81" s="245"/>
      <c r="S81" s="245"/>
      <c r="T81" s="245"/>
      <c r="U81" s="245"/>
      <c r="V81" s="245"/>
      <c r="W81" s="245"/>
      <c r="X81" s="245"/>
      <c r="Y81" s="245"/>
      <c r="Z81" s="245"/>
      <c r="AA81" s="245"/>
      <c r="AB81" s="245"/>
      <c r="AC81" s="245"/>
      <c r="AD81" s="245"/>
      <c r="AE81" s="210"/>
    </row>
    <row r="82" spans="1:31" ht="15" hidden="1" x14ac:dyDescent="0.25">
      <c r="A82" s="245"/>
      <c r="C82" s="267" t="s">
        <v>48</v>
      </c>
      <c r="D82" s="268">
        <f>D81*1/$B$35</f>
        <v>0</v>
      </c>
      <c r="E82" s="268">
        <f t="shared" ref="E82:O82" si="26">E81*1/$B$35</f>
        <v>0</v>
      </c>
      <c r="F82" s="268">
        <f t="shared" si="26"/>
        <v>0</v>
      </c>
      <c r="G82" s="268">
        <f t="shared" si="26"/>
        <v>0</v>
      </c>
      <c r="H82" s="268">
        <f t="shared" si="26"/>
        <v>0</v>
      </c>
      <c r="I82" s="268">
        <f t="shared" si="26"/>
        <v>0</v>
      </c>
      <c r="J82" s="268">
        <f t="shared" si="26"/>
        <v>0</v>
      </c>
      <c r="K82" s="268">
        <f t="shared" si="26"/>
        <v>4.0579710144927547E-2</v>
      </c>
      <c r="L82" s="268">
        <f t="shared" si="26"/>
        <v>0.17971014492753629</v>
      </c>
      <c r="M82" s="268">
        <f t="shared" si="26"/>
        <v>0.25797101449275367</v>
      </c>
      <c r="N82" s="268">
        <f t="shared" si="26"/>
        <v>0.29420289855072468</v>
      </c>
      <c r="O82" s="268">
        <f t="shared" si="26"/>
        <v>0.227536231884058</v>
      </c>
      <c r="P82" s="269">
        <f>SUM(D82:O82)</f>
        <v>1.0000000000000002</v>
      </c>
      <c r="Q82" s="245"/>
      <c r="R82" s="245"/>
      <c r="S82" s="245"/>
      <c r="T82" s="245"/>
      <c r="U82" s="245"/>
      <c r="V82" s="245"/>
      <c r="W82" s="245"/>
      <c r="X82" s="245"/>
      <c r="Y82" s="245"/>
      <c r="Z82" s="245"/>
      <c r="AA82" s="245"/>
      <c r="AB82" s="245"/>
      <c r="AC82" s="245"/>
      <c r="AD82" s="245"/>
      <c r="AE82" s="210"/>
    </row>
    <row r="83" spans="1:31" x14ac:dyDescent="0.25">
      <c r="Q83" s="210"/>
      <c r="R83" s="210"/>
      <c r="S83" s="210"/>
      <c r="T83" s="210"/>
      <c r="U83" s="210"/>
      <c r="V83" s="210"/>
      <c r="W83" s="210"/>
      <c r="X83" s="210"/>
      <c r="Y83" s="210"/>
      <c r="Z83" s="210"/>
      <c r="AA83" s="210"/>
      <c r="AB83" s="210"/>
      <c r="AC83" s="210"/>
      <c r="AD83" s="210"/>
      <c r="AE83" s="210"/>
    </row>
    <row r="84" spans="1:31" x14ac:dyDescent="0.25">
      <c r="Q84" s="210"/>
      <c r="R84" s="210"/>
      <c r="S84" s="210"/>
      <c r="T84" s="210"/>
      <c r="U84" s="210"/>
      <c r="V84" s="210"/>
      <c r="W84" s="210"/>
      <c r="X84" s="210"/>
      <c r="Y84" s="210"/>
      <c r="Z84" s="210"/>
      <c r="AA84" s="210"/>
      <c r="AB84" s="210"/>
      <c r="AC84" s="210"/>
      <c r="AD84" s="210"/>
      <c r="AE84" s="210"/>
    </row>
  </sheetData>
  <mergeCells count="112">
    <mergeCell ref="Y51:AE52"/>
    <mergeCell ref="A51:A52"/>
    <mergeCell ref="B51:B52"/>
    <mergeCell ref="Q51:X52"/>
    <mergeCell ref="A49:A50"/>
    <mergeCell ref="B49:B50"/>
    <mergeCell ref="Q49:X50"/>
    <mergeCell ref="Y49:AE50"/>
    <mergeCell ref="C17:AE17"/>
    <mergeCell ref="Y28:AE29"/>
    <mergeCell ref="Y30:AE30"/>
    <mergeCell ref="B20:O20"/>
    <mergeCell ref="U34:X34"/>
    <mergeCell ref="Y34:AB34"/>
    <mergeCell ref="A32:AE32"/>
    <mergeCell ref="Q33:AE33"/>
    <mergeCell ref="Q34:T34"/>
    <mergeCell ref="A33:A34"/>
    <mergeCell ref="B33:B34"/>
    <mergeCell ref="C33:C34"/>
    <mergeCell ref="D33:P33"/>
    <mergeCell ref="AC34:AE34"/>
    <mergeCell ref="A35:A36"/>
    <mergeCell ref="B35:B36"/>
    <mergeCell ref="L15:Q15"/>
    <mergeCell ref="AA15:AE15"/>
    <mergeCell ref="R15:X15"/>
    <mergeCell ref="Q28:X29"/>
    <mergeCell ref="Q30:X30"/>
    <mergeCell ref="B30:C30"/>
    <mergeCell ref="A19:AE19"/>
    <mergeCell ref="P20:AE20"/>
    <mergeCell ref="C16:AB16"/>
    <mergeCell ref="B28:C29"/>
    <mergeCell ref="A28:A29"/>
    <mergeCell ref="A17:B17"/>
    <mergeCell ref="A15:B15"/>
    <mergeCell ref="C15:K15"/>
    <mergeCell ref="Y15:Z15"/>
    <mergeCell ref="D28:O28"/>
    <mergeCell ref="P28:P29"/>
    <mergeCell ref="A27:AE27"/>
    <mergeCell ref="A1:A4"/>
    <mergeCell ref="B1:AA1"/>
    <mergeCell ref="B2:AA2"/>
    <mergeCell ref="B3:AA4"/>
    <mergeCell ref="AB1:AE1"/>
    <mergeCell ref="AB2:AE2"/>
    <mergeCell ref="AB3:AE3"/>
    <mergeCell ref="AB4:AE4"/>
    <mergeCell ref="A11:B13"/>
    <mergeCell ref="D7:H9"/>
    <mergeCell ref="O7:P7"/>
    <mergeCell ref="C11:AE13"/>
    <mergeCell ref="M7:N7"/>
    <mergeCell ref="O8:P8"/>
    <mergeCell ref="M9:N9"/>
    <mergeCell ref="O9:P9"/>
    <mergeCell ref="I7:J9"/>
    <mergeCell ref="K7:L9"/>
    <mergeCell ref="A7:B9"/>
    <mergeCell ref="C7:C9"/>
    <mergeCell ref="M8:N8"/>
    <mergeCell ref="A38:AE38"/>
    <mergeCell ref="Q40:X40"/>
    <mergeCell ref="C39:C40"/>
    <mergeCell ref="D39:P39"/>
    <mergeCell ref="Q35:T36"/>
    <mergeCell ref="U35:X36"/>
    <mergeCell ref="Y35:AB36"/>
    <mergeCell ref="AC35:AE36"/>
    <mergeCell ref="Q39:AE39"/>
    <mergeCell ref="A43:A44"/>
    <mergeCell ref="B43:B44"/>
    <mergeCell ref="A45:A46"/>
    <mergeCell ref="B45:B46"/>
    <mergeCell ref="Q47:X48"/>
    <mergeCell ref="Y47:AE48"/>
    <mergeCell ref="Y40:AE40"/>
    <mergeCell ref="Y41:AE42"/>
    <mergeCell ref="Q43:X44"/>
    <mergeCell ref="Y43:AE44"/>
    <mergeCell ref="Q45:X46"/>
    <mergeCell ref="Y45:AE46"/>
    <mergeCell ref="Q41:X42"/>
    <mergeCell ref="A39:A40"/>
    <mergeCell ref="B39:B40"/>
    <mergeCell ref="A41:A42"/>
    <mergeCell ref="B41:B42"/>
    <mergeCell ref="B76:B77"/>
    <mergeCell ref="B74:B75"/>
    <mergeCell ref="A74:A75"/>
    <mergeCell ref="A76:A77"/>
    <mergeCell ref="A47:A48"/>
    <mergeCell ref="B47:B48"/>
    <mergeCell ref="A58:A59"/>
    <mergeCell ref="B58:B59"/>
    <mergeCell ref="A72:A73"/>
    <mergeCell ref="B72:B73"/>
    <mergeCell ref="A68:A69"/>
    <mergeCell ref="B68:B69"/>
    <mergeCell ref="A70:A71"/>
    <mergeCell ref="B70:B71"/>
    <mergeCell ref="C58:P58"/>
    <mergeCell ref="A60:A61"/>
    <mergeCell ref="B60:B61"/>
    <mergeCell ref="A62:A63"/>
    <mergeCell ref="B62:B63"/>
    <mergeCell ref="A64:A65"/>
    <mergeCell ref="B64:B65"/>
    <mergeCell ref="A66:A67"/>
    <mergeCell ref="B66:B67"/>
  </mergeCells>
  <dataValidations count="4">
    <dataValidation type="textLength" operator="lessThanOrEqual" allowBlank="1" showInputMessage="1" showErrorMessage="1" errorTitle="Máximo 2.000 caracteres" error="Máximo 2.000 caracteres" sqref="Q43 Q41 Q47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 xr:uid="{58CC7987-5B01-4346-A4B0-5B866694AC93}">
      <formula1>$B$21:$M$21</formula1>
    </dataValidation>
    <dataValidation type="textLength" operator="lessThanOrEqual" allowBlank="1" showInputMessage="1" showErrorMessage="1" errorTitle="Máximo 2.000 caracteres" error="Máximo 2.000 caracteres" sqref="Q51:X52" xr:uid="{B872FD93-CF30-4ADF-A8E8-B3B2F4FC5D91}">
      <formula1>20000</formula1>
    </dataValidation>
  </dataValidations>
  <hyperlinks>
    <hyperlink ref="Y41" r:id="rId1" display="Agosto _x000a_https://secretariadistritald.sharepoint.com/:w:/s/BogotCaminaSegura/EQigQQA7-5BArSTr3R6K9ZsBghwEozjCVdizdPgRIei2EA?e=6Ksayw_x000a__x000a_Septiembre_x000a_https://secretariadistritald.sharepoint.com/:b:/s/BogotCaminaSegura/ESD19aneqfNImRWUsXXZ1oIB1PoiBxpMhUcOwofMYwY" xr:uid="{B9E2F1DD-CB43-4DCF-BA57-252619789C0E}"/>
    <hyperlink ref="Y49:AE50" r:id="rId2" display="https://secretariadistritald.sharepoint.com/:f:/s/BogotCaminaSegura/EiEChgJAE8VGiWmTKmg778QB1iFZhce5oFOaI0YdpoVGbQ?e=VKxOKq" xr:uid="{A124ED23-5FFB-4342-81A7-5BF105EB9E84}"/>
    <hyperlink ref="Y51:AE52" r:id="rId3" display="https://secretariadistritald.sharepoint.com/:f:/s/BogotCaminaSegura/Ei8FadY2S3ZHiVF16FKi5_gBiDZzyB_FhIyllrOh7slEHA?e=YA5zI4" xr:uid="{B64486E6-5E82-4734-A77C-F24630DA2477}"/>
  </hyperlinks>
  <printOptions horizontalCentered="1"/>
  <pageMargins left="0.39370078740157483" right="0.39370078740157483" top="0.39370078740157483" bottom="0.39370078740157483" header="0" footer="0"/>
  <pageSetup scale="20"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5DB8-8F99-4B28-8D6B-F58B016A1763}">
  <sheetPr>
    <tabColor rgb="FFE674EC"/>
    <pageSetUpPr fitToPage="1"/>
  </sheetPr>
  <dimension ref="A1:AO84"/>
  <sheetViews>
    <sheetView showGridLines="0" view="pageBreakPreview" zoomScale="70" zoomScaleNormal="60" zoomScaleSheetLayoutView="70" workbookViewId="0">
      <selection activeCell="AC22" sqref="AC22:AC25"/>
    </sheetView>
  </sheetViews>
  <sheetFormatPr baseColWidth="10" defaultColWidth="10.85546875" defaultRowHeight="14.25" x14ac:dyDescent="0.25"/>
  <cols>
    <col min="1" max="1" width="38.42578125" style="125" customWidth="1"/>
    <col min="2" max="2" width="20.5703125" style="125" customWidth="1"/>
    <col min="3" max="14" width="20.7109375" style="125" customWidth="1"/>
    <col min="15" max="15" width="20.5703125" style="125" customWidth="1"/>
    <col min="16" max="16" width="32.42578125" style="125" customWidth="1"/>
    <col min="17" max="27" width="18.140625" style="125" customWidth="1"/>
    <col min="28" max="28" width="22.7109375" style="125" customWidth="1"/>
    <col min="29" max="29" width="19" style="125" customWidth="1"/>
    <col min="30" max="30" width="19.42578125" style="125" customWidth="1"/>
    <col min="31" max="31" width="20.5703125" style="125" customWidth="1"/>
    <col min="32" max="32" width="22.85546875" style="125" customWidth="1"/>
    <col min="33" max="33" width="28.7109375" style="125" customWidth="1"/>
    <col min="34" max="34" width="8.42578125" style="125" customWidth="1"/>
    <col min="35" max="35" width="18.42578125" style="125" bestFit="1" customWidth="1"/>
    <col min="36" max="36" width="5.7109375" style="125" customWidth="1"/>
    <col min="37" max="37" width="18.42578125" style="125" bestFit="1" customWidth="1"/>
    <col min="38" max="38" width="4.7109375" style="125" customWidth="1"/>
    <col min="39" max="39" width="23" style="125" bestFit="1" customWidth="1"/>
    <col min="40" max="40" width="10.85546875" style="125"/>
    <col min="41" max="41" width="18.42578125" style="125" bestFit="1" customWidth="1"/>
    <col min="42" max="42" width="16.140625" style="125" customWidth="1"/>
    <col min="43" max="16384" width="10.85546875" style="125"/>
  </cols>
  <sheetData>
    <row r="1" spans="1:31" ht="32.25" customHeight="1" thickBot="1" x14ac:dyDescent="0.3">
      <c r="A1" s="601"/>
      <c r="B1" s="604" t="s">
        <v>121</v>
      </c>
      <c r="C1" s="605"/>
      <c r="D1" s="605"/>
      <c r="E1" s="605"/>
      <c r="F1" s="605"/>
      <c r="G1" s="605"/>
      <c r="H1" s="605"/>
      <c r="I1" s="605"/>
      <c r="J1" s="605"/>
      <c r="K1" s="605"/>
      <c r="L1" s="605"/>
      <c r="M1" s="605"/>
      <c r="N1" s="605"/>
      <c r="O1" s="605"/>
      <c r="P1" s="605"/>
      <c r="Q1" s="605"/>
      <c r="R1" s="605"/>
      <c r="S1" s="605"/>
      <c r="T1" s="605"/>
      <c r="U1" s="605"/>
      <c r="V1" s="605"/>
      <c r="W1" s="605"/>
      <c r="X1" s="605"/>
      <c r="Y1" s="605"/>
      <c r="Z1" s="605"/>
      <c r="AA1" s="606"/>
      <c r="AB1" s="607" t="s">
        <v>122</v>
      </c>
      <c r="AC1" s="608"/>
      <c r="AD1" s="608"/>
      <c r="AE1" s="609"/>
    </row>
    <row r="2" spans="1:31" ht="30.75" customHeight="1" thickBot="1" x14ac:dyDescent="0.3">
      <c r="A2" s="602"/>
      <c r="B2" s="604" t="s">
        <v>123</v>
      </c>
      <c r="C2" s="605"/>
      <c r="D2" s="605"/>
      <c r="E2" s="605"/>
      <c r="F2" s="605"/>
      <c r="G2" s="605"/>
      <c r="H2" s="605"/>
      <c r="I2" s="605"/>
      <c r="J2" s="605"/>
      <c r="K2" s="605"/>
      <c r="L2" s="605"/>
      <c r="M2" s="605"/>
      <c r="N2" s="605"/>
      <c r="O2" s="605"/>
      <c r="P2" s="605"/>
      <c r="Q2" s="605"/>
      <c r="R2" s="605"/>
      <c r="S2" s="605"/>
      <c r="T2" s="605"/>
      <c r="U2" s="605"/>
      <c r="V2" s="605"/>
      <c r="W2" s="605"/>
      <c r="X2" s="605"/>
      <c r="Y2" s="605"/>
      <c r="Z2" s="605"/>
      <c r="AA2" s="606"/>
      <c r="AB2" s="607" t="s">
        <v>124</v>
      </c>
      <c r="AC2" s="608"/>
      <c r="AD2" s="608"/>
      <c r="AE2" s="609"/>
    </row>
    <row r="3" spans="1:31" ht="24" customHeight="1" thickBot="1" x14ac:dyDescent="0.3">
      <c r="A3" s="602"/>
      <c r="B3" s="610" t="s">
        <v>125</v>
      </c>
      <c r="C3" s="611"/>
      <c r="D3" s="611"/>
      <c r="E3" s="611"/>
      <c r="F3" s="611"/>
      <c r="G3" s="611"/>
      <c r="H3" s="611"/>
      <c r="I3" s="611"/>
      <c r="J3" s="611"/>
      <c r="K3" s="611"/>
      <c r="L3" s="611"/>
      <c r="M3" s="611"/>
      <c r="N3" s="611"/>
      <c r="O3" s="611"/>
      <c r="P3" s="611"/>
      <c r="Q3" s="611"/>
      <c r="R3" s="611"/>
      <c r="S3" s="611"/>
      <c r="T3" s="611"/>
      <c r="U3" s="611"/>
      <c r="V3" s="611"/>
      <c r="W3" s="611"/>
      <c r="X3" s="611"/>
      <c r="Y3" s="611"/>
      <c r="Z3" s="611"/>
      <c r="AA3" s="612"/>
      <c r="AB3" s="607" t="s">
        <v>126</v>
      </c>
      <c r="AC3" s="608"/>
      <c r="AD3" s="608"/>
      <c r="AE3" s="609"/>
    </row>
    <row r="4" spans="1:31" ht="21.75" customHeight="1" thickBot="1" x14ac:dyDescent="0.3">
      <c r="A4" s="603"/>
      <c r="B4" s="613"/>
      <c r="C4" s="614"/>
      <c r="D4" s="614"/>
      <c r="E4" s="614"/>
      <c r="F4" s="614"/>
      <c r="G4" s="614"/>
      <c r="H4" s="614"/>
      <c r="I4" s="614"/>
      <c r="J4" s="614"/>
      <c r="K4" s="614"/>
      <c r="L4" s="614"/>
      <c r="M4" s="614"/>
      <c r="N4" s="614"/>
      <c r="O4" s="614"/>
      <c r="P4" s="614"/>
      <c r="Q4" s="614"/>
      <c r="R4" s="614"/>
      <c r="S4" s="614"/>
      <c r="T4" s="614"/>
      <c r="U4" s="614"/>
      <c r="V4" s="614"/>
      <c r="W4" s="614"/>
      <c r="X4" s="614"/>
      <c r="Y4" s="614"/>
      <c r="Z4" s="614"/>
      <c r="AA4" s="615"/>
      <c r="AB4" s="607" t="s">
        <v>127</v>
      </c>
      <c r="AC4" s="608"/>
      <c r="AD4" s="608"/>
      <c r="AE4" s="6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31" ht="9" customHeight="1" thickBot="1" x14ac:dyDescent="0.3">
      <c r="A6" s="23"/>
      <c r="B6" s="20"/>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31" ht="13.9" customHeight="1" x14ac:dyDescent="0.25">
      <c r="A7" s="616" t="s">
        <v>4</v>
      </c>
      <c r="B7" s="617"/>
      <c r="C7" s="628" t="s">
        <v>128</v>
      </c>
      <c r="D7" s="631" t="s">
        <v>6</v>
      </c>
      <c r="E7" s="632"/>
      <c r="F7" s="632"/>
      <c r="G7" s="632"/>
      <c r="H7" s="633"/>
      <c r="I7" s="640">
        <v>45667</v>
      </c>
      <c r="J7" s="641"/>
      <c r="K7" s="631" t="s">
        <v>8</v>
      </c>
      <c r="L7" s="633"/>
      <c r="M7" s="646" t="s">
        <v>129</v>
      </c>
      <c r="N7" s="647"/>
      <c r="O7" s="651"/>
      <c r="P7" s="652"/>
      <c r="Q7" s="20"/>
      <c r="R7" s="20"/>
      <c r="S7" s="20"/>
      <c r="T7" s="20"/>
      <c r="U7" s="20"/>
      <c r="V7" s="20"/>
      <c r="W7" s="20"/>
      <c r="X7" s="20"/>
      <c r="Y7" s="20"/>
      <c r="Z7" s="20"/>
      <c r="AA7" s="20"/>
      <c r="AB7" s="20"/>
      <c r="AD7" s="21"/>
      <c r="AE7" s="22"/>
    </row>
    <row r="8" spans="1:31" ht="13.9" customHeight="1" x14ac:dyDescent="0.25">
      <c r="A8" s="618"/>
      <c r="B8" s="619"/>
      <c r="C8" s="629"/>
      <c r="D8" s="634"/>
      <c r="E8" s="635"/>
      <c r="F8" s="635"/>
      <c r="G8" s="635"/>
      <c r="H8" s="636"/>
      <c r="I8" s="642"/>
      <c r="J8" s="643"/>
      <c r="K8" s="634"/>
      <c r="L8" s="636"/>
      <c r="M8" s="653" t="s">
        <v>130</v>
      </c>
      <c r="N8" s="654"/>
      <c r="O8" s="655"/>
      <c r="P8" s="656"/>
      <c r="Q8" s="20"/>
      <c r="R8" s="20"/>
      <c r="S8" s="20"/>
      <c r="T8" s="20"/>
      <c r="U8" s="20"/>
      <c r="V8" s="20"/>
      <c r="W8" s="20"/>
      <c r="X8" s="20"/>
      <c r="Y8" s="20"/>
      <c r="Z8" s="20"/>
      <c r="AA8" s="20"/>
      <c r="AB8" s="20"/>
      <c r="AD8" s="21"/>
      <c r="AE8" s="22"/>
    </row>
    <row r="9" spans="1:31" ht="14.45" customHeight="1" thickBot="1" x14ac:dyDescent="0.3">
      <c r="A9" s="620"/>
      <c r="B9" s="621"/>
      <c r="C9" s="630"/>
      <c r="D9" s="637"/>
      <c r="E9" s="638"/>
      <c r="F9" s="638"/>
      <c r="G9" s="638"/>
      <c r="H9" s="639"/>
      <c r="I9" s="644"/>
      <c r="J9" s="645"/>
      <c r="K9" s="637"/>
      <c r="L9" s="639"/>
      <c r="M9" s="657" t="s">
        <v>132</v>
      </c>
      <c r="N9" s="658"/>
      <c r="O9" s="659" t="s">
        <v>131</v>
      </c>
      <c r="P9" s="660"/>
      <c r="Q9" s="20"/>
      <c r="R9" s="20"/>
      <c r="S9" s="20"/>
      <c r="T9" s="20"/>
      <c r="U9" s="20"/>
      <c r="V9" s="20"/>
      <c r="W9" s="20"/>
      <c r="X9" s="20"/>
      <c r="Y9" s="20"/>
      <c r="Z9" s="20"/>
      <c r="AA9" s="20"/>
      <c r="AB9" s="20"/>
      <c r="AD9" s="21"/>
      <c r="AE9" s="22"/>
    </row>
    <row r="10" spans="1:31" ht="15" customHeight="1" thickBot="1" x14ac:dyDescent="0.3">
      <c r="A10" s="24"/>
      <c r="B10" s="25"/>
      <c r="C10" s="25"/>
      <c r="D10" s="26"/>
      <c r="E10" s="26"/>
      <c r="F10" s="26"/>
      <c r="G10" s="26"/>
      <c r="H10" s="26"/>
      <c r="I10" s="181"/>
      <c r="J10" s="181"/>
      <c r="K10" s="26"/>
      <c r="L10" s="26"/>
      <c r="M10" s="182"/>
      <c r="N10" s="182"/>
      <c r="O10" s="183"/>
      <c r="P10" s="183"/>
      <c r="Q10" s="25"/>
      <c r="R10" s="25"/>
      <c r="S10" s="25"/>
      <c r="T10" s="25"/>
      <c r="U10" s="25"/>
      <c r="V10" s="25"/>
      <c r="W10" s="25"/>
      <c r="X10" s="25"/>
      <c r="Y10" s="25"/>
      <c r="Z10" s="25"/>
      <c r="AA10" s="25"/>
      <c r="AB10" s="25"/>
      <c r="AD10" s="28"/>
      <c r="AE10" s="29"/>
    </row>
    <row r="11" spans="1:31" ht="15" customHeight="1" x14ac:dyDescent="0.25">
      <c r="A11" s="616" t="s">
        <v>10</v>
      </c>
      <c r="B11" s="617"/>
      <c r="C11" s="589" t="s">
        <v>133</v>
      </c>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1"/>
    </row>
    <row r="12" spans="1:31" ht="15" customHeight="1" x14ac:dyDescent="0.25">
      <c r="A12" s="618"/>
      <c r="B12" s="619"/>
      <c r="C12" s="622"/>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4"/>
    </row>
    <row r="13" spans="1:31" ht="15" customHeight="1" thickBot="1" x14ac:dyDescent="0.3">
      <c r="A13" s="620"/>
      <c r="B13" s="621"/>
      <c r="C13" s="625"/>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7"/>
    </row>
    <row r="14" spans="1:31"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31" ht="39" customHeight="1" thickBot="1" x14ac:dyDescent="0.3">
      <c r="A15" s="661" t="s">
        <v>12</v>
      </c>
      <c r="B15" s="662"/>
      <c r="C15" s="663" t="s">
        <v>134</v>
      </c>
      <c r="D15" s="664"/>
      <c r="E15" s="664"/>
      <c r="F15" s="664"/>
      <c r="G15" s="664"/>
      <c r="H15" s="664"/>
      <c r="I15" s="664"/>
      <c r="J15" s="664"/>
      <c r="K15" s="665"/>
      <c r="L15" s="666" t="s">
        <v>14</v>
      </c>
      <c r="M15" s="667"/>
      <c r="N15" s="667"/>
      <c r="O15" s="667"/>
      <c r="P15" s="667"/>
      <c r="Q15" s="668"/>
      <c r="R15" s="669" t="s">
        <v>135</v>
      </c>
      <c r="S15" s="670"/>
      <c r="T15" s="670"/>
      <c r="U15" s="670"/>
      <c r="V15" s="670"/>
      <c r="W15" s="670"/>
      <c r="X15" s="671"/>
      <c r="Y15" s="666" t="s">
        <v>15</v>
      </c>
      <c r="Z15" s="668"/>
      <c r="AA15" s="648" t="s">
        <v>136</v>
      </c>
      <c r="AB15" s="649"/>
      <c r="AC15" s="649"/>
      <c r="AD15" s="649"/>
      <c r="AE15" s="650"/>
    </row>
    <row r="16" spans="1:31" ht="9" customHeight="1" thickBot="1" x14ac:dyDescent="0.3">
      <c r="A16" s="23"/>
      <c r="B16" s="20"/>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D16" s="21"/>
      <c r="AE16" s="22"/>
    </row>
    <row r="17" spans="1:33" s="36" customFormat="1" ht="37.5" customHeight="1" thickBot="1" x14ac:dyDescent="0.3">
      <c r="A17" s="661" t="s">
        <v>17</v>
      </c>
      <c r="B17" s="662"/>
      <c r="C17" s="648" t="s">
        <v>220</v>
      </c>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50"/>
    </row>
    <row r="18" spans="1:33" ht="16.5" customHeight="1" thickBot="1" x14ac:dyDescent="0.3">
      <c r="A18" s="18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3" ht="32.1" customHeight="1" thickBot="1" x14ac:dyDescent="0.3">
      <c r="A19" s="666" t="s">
        <v>138</v>
      </c>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8"/>
      <c r="AF19" s="187"/>
    </row>
    <row r="20" spans="1:33" ht="32.1" customHeight="1" thickBot="1" x14ac:dyDescent="0.3">
      <c r="A20" s="37" t="s">
        <v>19</v>
      </c>
      <c r="B20" s="637" t="s">
        <v>139</v>
      </c>
      <c r="C20" s="638"/>
      <c r="D20" s="638"/>
      <c r="E20" s="638"/>
      <c r="F20" s="638"/>
      <c r="G20" s="638"/>
      <c r="H20" s="638"/>
      <c r="I20" s="638"/>
      <c r="J20" s="638"/>
      <c r="K20" s="638"/>
      <c r="L20" s="638"/>
      <c r="M20" s="638"/>
      <c r="N20" s="638"/>
      <c r="O20" s="639"/>
      <c r="P20" s="666" t="s">
        <v>140</v>
      </c>
      <c r="Q20" s="667"/>
      <c r="R20" s="667"/>
      <c r="S20" s="667"/>
      <c r="T20" s="667"/>
      <c r="U20" s="667"/>
      <c r="V20" s="667"/>
      <c r="W20" s="667"/>
      <c r="X20" s="667"/>
      <c r="Y20" s="667"/>
      <c r="Z20" s="667"/>
      <c r="AA20" s="667"/>
      <c r="AB20" s="667"/>
      <c r="AC20" s="667"/>
      <c r="AD20" s="667"/>
      <c r="AE20" s="668"/>
      <c r="AF20" s="187"/>
    </row>
    <row r="21" spans="1:33" ht="32.1" customHeight="1" thickBot="1" x14ac:dyDescent="0.3">
      <c r="A21" s="24"/>
      <c r="B21" s="38" t="s">
        <v>141</v>
      </c>
      <c r="C21" s="39" t="s">
        <v>142</v>
      </c>
      <c r="D21" s="39" t="s">
        <v>143</v>
      </c>
      <c r="E21" s="39" t="s">
        <v>144</v>
      </c>
      <c r="F21" s="39" t="s">
        <v>145</v>
      </c>
      <c r="G21" s="39" t="s">
        <v>146</v>
      </c>
      <c r="H21" s="39" t="s">
        <v>147</v>
      </c>
      <c r="I21" s="39" t="s">
        <v>148</v>
      </c>
      <c r="J21" s="39" t="s">
        <v>149</v>
      </c>
      <c r="K21" s="39" t="s">
        <v>150</v>
      </c>
      <c r="L21" s="39" t="s">
        <v>151</v>
      </c>
      <c r="M21" s="39" t="s">
        <v>128</v>
      </c>
      <c r="N21" s="39" t="s">
        <v>102</v>
      </c>
      <c r="O21" s="40" t="s">
        <v>100</v>
      </c>
      <c r="P21" s="41"/>
      <c r="Q21" s="37" t="s">
        <v>141</v>
      </c>
      <c r="R21" s="42" t="s">
        <v>142</v>
      </c>
      <c r="S21" s="42" t="s">
        <v>143</v>
      </c>
      <c r="T21" s="42" t="s">
        <v>144</v>
      </c>
      <c r="U21" s="42" t="s">
        <v>145</v>
      </c>
      <c r="V21" s="42" t="s">
        <v>146</v>
      </c>
      <c r="W21" s="42" t="s">
        <v>147</v>
      </c>
      <c r="X21" s="42" t="s">
        <v>148</v>
      </c>
      <c r="Y21" s="42" t="s">
        <v>149</v>
      </c>
      <c r="Z21" s="42" t="s">
        <v>150</v>
      </c>
      <c r="AA21" s="42" t="s">
        <v>151</v>
      </c>
      <c r="AB21" s="42" t="s">
        <v>128</v>
      </c>
      <c r="AC21" s="42" t="s">
        <v>102</v>
      </c>
      <c r="AD21" s="43" t="s">
        <v>152</v>
      </c>
      <c r="AE21" s="43" t="s">
        <v>153</v>
      </c>
      <c r="AF21" s="188"/>
    </row>
    <row r="22" spans="1:33" ht="32.1" customHeight="1" x14ac:dyDescent="0.25">
      <c r="A22" s="44" t="s">
        <v>31</v>
      </c>
      <c r="B22" s="189"/>
      <c r="C22" s="190"/>
      <c r="D22" s="190"/>
      <c r="E22" s="190"/>
      <c r="F22" s="190"/>
      <c r="G22" s="190"/>
      <c r="H22" s="190"/>
      <c r="I22" s="190"/>
      <c r="J22" s="190"/>
      <c r="K22" s="190"/>
      <c r="L22" s="190"/>
      <c r="M22" s="190"/>
      <c r="N22" s="190">
        <f>SUM(B22:M22)</f>
        <v>0</v>
      </c>
      <c r="O22" s="191"/>
      <c r="P22" s="44" t="s">
        <v>27</v>
      </c>
      <c r="Q22" s="192">
        <v>0</v>
      </c>
      <c r="R22" s="193">
        <v>0</v>
      </c>
      <c r="S22" s="193">
        <v>0</v>
      </c>
      <c r="T22" s="193">
        <v>0</v>
      </c>
      <c r="U22" s="193">
        <v>0</v>
      </c>
      <c r="V22" s="193">
        <v>0</v>
      </c>
      <c r="W22" s="193">
        <v>0</v>
      </c>
      <c r="X22" s="194">
        <v>72277053</v>
      </c>
      <c r="Y22" s="194">
        <v>0</v>
      </c>
      <c r="Z22" s="194">
        <v>0</v>
      </c>
      <c r="AA22" s="194">
        <v>0</v>
      </c>
      <c r="AB22" s="194">
        <v>-2941842</v>
      </c>
      <c r="AC22" s="540">
        <f>SUM(Q22:AB22)</f>
        <v>69335211</v>
      </c>
      <c r="AD22" s="272"/>
      <c r="AE22" s="195"/>
      <c r="AF22" s="188"/>
    </row>
    <row r="23" spans="1:33" ht="32.1" customHeight="1" x14ac:dyDescent="0.25">
      <c r="A23" s="45" t="s">
        <v>21</v>
      </c>
      <c r="B23" s="196"/>
      <c r="C23" s="197"/>
      <c r="D23" s="197"/>
      <c r="E23" s="197"/>
      <c r="F23" s="197"/>
      <c r="G23" s="197"/>
      <c r="H23" s="197"/>
      <c r="I23" s="197"/>
      <c r="J23" s="197"/>
      <c r="K23" s="197"/>
      <c r="L23" s="197"/>
      <c r="M23" s="197"/>
      <c r="N23" s="197">
        <f>SUM(B23:M23)</f>
        <v>0</v>
      </c>
      <c r="O23" s="198" t="str">
        <f>IFERROR(N23/(SUMIF(B23:M23,"&gt;0",B22:M22))," ")</f>
        <v xml:space="preserve"> </v>
      </c>
      <c r="P23" s="45" t="s">
        <v>29</v>
      </c>
      <c r="Q23" s="196">
        <v>0</v>
      </c>
      <c r="R23" s="197">
        <v>0</v>
      </c>
      <c r="S23" s="197">
        <v>0</v>
      </c>
      <c r="T23" s="197">
        <v>0</v>
      </c>
      <c r="U23" s="197">
        <v>0</v>
      </c>
      <c r="V23" s="197">
        <v>0</v>
      </c>
      <c r="W23" s="197">
        <v>0</v>
      </c>
      <c r="X23" s="199">
        <v>72277052</v>
      </c>
      <c r="Y23" s="199">
        <v>0</v>
      </c>
      <c r="Z23" s="199">
        <v>-2941841</v>
      </c>
      <c r="AA23" s="199">
        <v>0</v>
      </c>
      <c r="AB23" s="199">
        <v>0</v>
      </c>
      <c r="AC23" s="199">
        <f>SUM(Q23:AB23)</f>
        <v>69335211</v>
      </c>
      <c r="AD23" s="273">
        <f>AC23/SUM(Q22:AB22)</f>
        <v>1</v>
      </c>
      <c r="AE23" s="200">
        <f>AC23/AC22</f>
        <v>1</v>
      </c>
      <c r="AF23" s="188"/>
      <c r="AG23" s="513"/>
    </row>
    <row r="24" spans="1:33" ht="32.1" customHeight="1" x14ac:dyDescent="0.25">
      <c r="A24" s="45" t="s">
        <v>23</v>
      </c>
      <c r="B24" s="196">
        <f>+B22-B23</f>
        <v>0</v>
      </c>
      <c r="C24" s="197">
        <f t="shared" ref="C24:M24" si="0">+C22-C23</f>
        <v>0</v>
      </c>
      <c r="D24" s="197">
        <f t="shared" si="0"/>
        <v>0</v>
      </c>
      <c r="E24" s="197">
        <f t="shared" si="0"/>
        <v>0</v>
      </c>
      <c r="F24" s="197">
        <f t="shared" si="0"/>
        <v>0</v>
      </c>
      <c r="G24" s="197">
        <f t="shared" si="0"/>
        <v>0</v>
      </c>
      <c r="H24" s="197">
        <f t="shared" si="0"/>
        <v>0</v>
      </c>
      <c r="I24" s="197">
        <f t="shared" si="0"/>
        <v>0</v>
      </c>
      <c r="J24" s="197">
        <f t="shared" si="0"/>
        <v>0</v>
      </c>
      <c r="K24" s="197">
        <f t="shared" si="0"/>
        <v>0</v>
      </c>
      <c r="L24" s="197">
        <f t="shared" si="0"/>
        <v>0</v>
      </c>
      <c r="M24" s="197">
        <f t="shared" si="0"/>
        <v>0</v>
      </c>
      <c r="N24" s="197">
        <f>SUM(B24:M24)</f>
        <v>0</v>
      </c>
      <c r="O24" s="201"/>
      <c r="P24" s="45" t="s">
        <v>31</v>
      </c>
      <c r="Q24" s="196">
        <v>0</v>
      </c>
      <c r="R24" s="197">
        <v>0</v>
      </c>
      <c r="S24" s="197">
        <v>0</v>
      </c>
      <c r="T24" s="197">
        <v>0</v>
      </c>
      <c r="U24" s="197">
        <v>0</v>
      </c>
      <c r="V24" s="197">
        <v>0</v>
      </c>
      <c r="W24" s="197">
        <v>0</v>
      </c>
      <c r="X24" s="197">
        <v>0</v>
      </c>
      <c r="Y24" s="197">
        <v>10144853</v>
      </c>
      <c r="Z24" s="197">
        <v>15533050</v>
      </c>
      <c r="AA24" s="197">
        <v>15533050</v>
      </c>
      <c r="AB24" s="197">
        <v>28124258</v>
      </c>
      <c r="AC24" s="541">
        <f>SUM(Q24:AB24)</f>
        <v>69335211</v>
      </c>
      <c r="AD24" s="274"/>
      <c r="AE24" s="202"/>
      <c r="AF24" s="188"/>
      <c r="AG24" s="513"/>
    </row>
    <row r="25" spans="1:33" ht="32.1" customHeight="1" thickBot="1" x14ac:dyDescent="0.3">
      <c r="A25" s="46" t="s">
        <v>25</v>
      </c>
      <c r="B25" s="203"/>
      <c r="C25" s="204"/>
      <c r="D25" s="204"/>
      <c r="E25" s="204"/>
      <c r="F25" s="204"/>
      <c r="G25" s="204"/>
      <c r="H25" s="204"/>
      <c r="I25" s="204"/>
      <c r="J25" s="204"/>
      <c r="K25" s="204"/>
      <c r="L25" s="204"/>
      <c r="M25" s="204"/>
      <c r="N25" s="204">
        <f>SUM(B25:M25)</f>
        <v>0</v>
      </c>
      <c r="O25" s="205" t="str">
        <f>IFERROR(N25/(SUMIF(B25:M25,"&gt;0",B24:M24))," ")</f>
        <v xml:space="preserve"> </v>
      </c>
      <c r="P25" s="46" t="s">
        <v>25</v>
      </c>
      <c r="Q25" s="203">
        <v>0</v>
      </c>
      <c r="R25" s="204">
        <v>0</v>
      </c>
      <c r="S25" s="204">
        <v>0</v>
      </c>
      <c r="T25" s="204">
        <v>0</v>
      </c>
      <c r="U25" s="204">
        <v>0</v>
      </c>
      <c r="V25" s="204">
        <v>0</v>
      </c>
      <c r="W25" s="204">
        <v>0</v>
      </c>
      <c r="X25" s="204">
        <v>0</v>
      </c>
      <c r="Y25" s="204">
        <v>7203016</v>
      </c>
      <c r="Z25" s="204">
        <v>15533050</v>
      </c>
      <c r="AA25" s="204">
        <v>15533050</v>
      </c>
      <c r="AB25" s="204">
        <v>31066095</v>
      </c>
      <c r="AC25" s="542">
        <f>SUM(Q25:AB25)</f>
        <v>69335211</v>
      </c>
      <c r="AD25" s="275">
        <f>AC25/SUM(Q24:AB24)</f>
        <v>1</v>
      </c>
      <c r="AE25" s="206">
        <f>AC25/AC24</f>
        <v>1</v>
      </c>
      <c r="AF25" s="188"/>
    </row>
    <row r="26" spans="1:33" s="207" customFormat="1" ht="16.5" customHeight="1" thickBot="1" x14ac:dyDescent="0.25"/>
    <row r="27" spans="1:33" ht="33.950000000000003" customHeight="1" x14ac:dyDescent="0.25">
      <c r="A27" s="673" t="s">
        <v>154</v>
      </c>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5"/>
    </row>
    <row r="28" spans="1:33" ht="15" customHeight="1" x14ac:dyDescent="0.25">
      <c r="A28" s="593" t="s">
        <v>34</v>
      </c>
      <c r="B28" s="595" t="s">
        <v>36</v>
      </c>
      <c r="C28" s="595"/>
      <c r="D28" s="595" t="s">
        <v>155</v>
      </c>
      <c r="E28" s="595"/>
      <c r="F28" s="595"/>
      <c r="G28" s="595"/>
      <c r="H28" s="595"/>
      <c r="I28" s="595"/>
      <c r="J28" s="595"/>
      <c r="K28" s="595"/>
      <c r="L28" s="595"/>
      <c r="M28" s="595"/>
      <c r="N28" s="595"/>
      <c r="O28" s="595"/>
      <c r="P28" s="595" t="s">
        <v>102</v>
      </c>
      <c r="Q28" s="595" t="s">
        <v>156</v>
      </c>
      <c r="R28" s="595"/>
      <c r="S28" s="595"/>
      <c r="T28" s="595"/>
      <c r="U28" s="595"/>
      <c r="V28" s="595"/>
      <c r="W28" s="595"/>
      <c r="X28" s="595"/>
      <c r="Y28" s="595" t="s">
        <v>157</v>
      </c>
      <c r="Z28" s="595"/>
      <c r="AA28" s="595"/>
      <c r="AB28" s="595"/>
      <c r="AC28" s="595"/>
      <c r="AD28" s="595"/>
      <c r="AE28" s="676"/>
    </row>
    <row r="29" spans="1:33" ht="27" customHeight="1" x14ac:dyDescent="0.25">
      <c r="A29" s="593"/>
      <c r="B29" s="595"/>
      <c r="C29" s="595"/>
      <c r="D29" s="48" t="s">
        <v>141</v>
      </c>
      <c r="E29" s="48" t="s">
        <v>142</v>
      </c>
      <c r="F29" s="48" t="s">
        <v>143</v>
      </c>
      <c r="G29" s="48" t="s">
        <v>144</v>
      </c>
      <c r="H29" s="48" t="s">
        <v>145</v>
      </c>
      <c r="I29" s="48" t="s">
        <v>146</v>
      </c>
      <c r="J29" s="48" t="s">
        <v>147</v>
      </c>
      <c r="K29" s="48" t="s">
        <v>148</v>
      </c>
      <c r="L29" s="48" t="s">
        <v>149</v>
      </c>
      <c r="M29" s="48" t="s">
        <v>150</v>
      </c>
      <c r="N29" s="48" t="s">
        <v>151</v>
      </c>
      <c r="O29" s="48" t="s">
        <v>128</v>
      </c>
      <c r="P29" s="595"/>
      <c r="Q29" s="595"/>
      <c r="R29" s="595"/>
      <c r="S29" s="595"/>
      <c r="T29" s="595"/>
      <c r="U29" s="595"/>
      <c r="V29" s="595"/>
      <c r="W29" s="595"/>
      <c r="X29" s="595"/>
      <c r="Y29" s="595"/>
      <c r="Z29" s="595"/>
      <c r="AA29" s="595"/>
      <c r="AB29" s="595"/>
      <c r="AC29" s="595"/>
      <c r="AD29" s="595"/>
      <c r="AE29" s="676"/>
    </row>
    <row r="30" spans="1:33" ht="42" customHeight="1" thickBot="1" x14ac:dyDescent="0.3">
      <c r="A30" s="49"/>
      <c r="B30" s="677"/>
      <c r="C30" s="677"/>
      <c r="D30" s="16"/>
      <c r="E30" s="16"/>
      <c r="F30" s="16"/>
      <c r="G30" s="16"/>
      <c r="H30" s="16"/>
      <c r="I30" s="16"/>
      <c r="J30" s="16"/>
      <c r="K30" s="16"/>
      <c r="L30" s="16"/>
      <c r="M30" s="16"/>
      <c r="N30" s="16"/>
      <c r="O30" s="16"/>
      <c r="P30" s="50">
        <f>SUM(D30:O30)</f>
        <v>0</v>
      </c>
      <c r="Q30" s="678" t="s">
        <v>158</v>
      </c>
      <c r="R30" s="678"/>
      <c r="S30" s="678"/>
      <c r="T30" s="678"/>
      <c r="U30" s="678"/>
      <c r="V30" s="678"/>
      <c r="W30" s="678"/>
      <c r="X30" s="678"/>
      <c r="Y30" s="678" t="s">
        <v>43</v>
      </c>
      <c r="Z30" s="678"/>
      <c r="AA30" s="678"/>
      <c r="AB30" s="678"/>
      <c r="AC30" s="678"/>
      <c r="AD30" s="678"/>
      <c r="AE30" s="679"/>
    </row>
    <row r="31" spans="1:33" ht="12" customHeight="1" thickBot="1" x14ac:dyDescent="0.3">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3" ht="45" customHeight="1" x14ac:dyDescent="0.25">
      <c r="A32" s="589" t="s">
        <v>159</v>
      </c>
      <c r="B32" s="590"/>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1"/>
    </row>
    <row r="33" spans="1:41" ht="23.1" customHeight="1" x14ac:dyDescent="0.25">
      <c r="A33" s="593" t="s">
        <v>44</v>
      </c>
      <c r="B33" s="595" t="s">
        <v>46</v>
      </c>
      <c r="C33" s="595" t="s">
        <v>36</v>
      </c>
      <c r="D33" s="595" t="s">
        <v>160</v>
      </c>
      <c r="E33" s="595"/>
      <c r="F33" s="595"/>
      <c r="G33" s="595"/>
      <c r="H33" s="595"/>
      <c r="I33" s="595"/>
      <c r="J33" s="595"/>
      <c r="K33" s="595"/>
      <c r="L33" s="595"/>
      <c r="M33" s="595"/>
      <c r="N33" s="595"/>
      <c r="O33" s="595"/>
      <c r="P33" s="595"/>
      <c r="Q33" s="595" t="s">
        <v>161</v>
      </c>
      <c r="R33" s="595"/>
      <c r="S33" s="595"/>
      <c r="T33" s="595"/>
      <c r="U33" s="595"/>
      <c r="V33" s="595"/>
      <c r="W33" s="595"/>
      <c r="X33" s="595"/>
      <c r="Y33" s="595"/>
      <c r="Z33" s="595"/>
      <c r="AA33" s="595"/>
      <c r="AB33" s="595"/>
      <c r="AC33" s="595"/>
      <c r="AD33" s="595"/>
      <c r="AE33" s="676"/>
      <c r="AG33" s="128"/>
      <c r="AH33" s="128"/>
      <c r="AI33" s="128"/>
      <c r="AJ33" s="128"/>
      <c r="AK33" s="128"/>
      <c r="AL33" s="128"/>
      <c r="AM33" s="128"/>
      <c r="AN33" s="128"/>
      <c r="AO33" s="128"/>
    </row>
    <row r="34" spans="1:41" ht="27" customHeight="1" x14ac:dyDescent="0.25">
      <c r="A34" s="593"/>
      <c r="B34" s="595"/>
      <c r="C34" s="680"/>
      <c r="D34" s="48" t="s">
        <v>141</v>
      </c>
      <c r="E34" s="48" t="s">
        <v>142</v>
      </c>
      <c r="F34" s="48" t="s">
        <v>143</v>
      </c>
      <c r="G34" s="48" t="s">
        <v>144</v>
      </c>
      <c r="H34" s="48" t="s">
        <v>145</v>
      </c>
      <c r="I34" s="48" t="s">
        <v>146</v>
      </c>
      <c r="J34" s="48" t="s">
        <v>147</v>
      </c>
      <c r="K34" s="48" t="s">
        <v>148</v>
      </c>
      <c r="L34" s="48" t="s">
        <v>149</v>
      </c>
      <c r="M34" s="48" t="s">
        <v>150</v>
      </c>
      <c r="N34" s="48" t="s">
        <v>151</v>
      </c>
      <c r="O34" s="48" t="s">
        <v>128</v>
      </c>
      <c r="P34" s="48" t="s">
        <v>102</v>
      </c>
      <c r="Q34" s="681" t="s">
        <v>52</v>
      </c>
      <c r="R34" s="682"/>
      <c r="S34" s="682"/>
      <c r="T34" s="683"/>
      <c r="U34" s="595" t="s">
        <v>54</v>
      </c>
      <c r="V34" s="595"/>
      <c r="W34" s="595"/>
      <c r="X34" s="595"/>
      <c r="Y34" s="595" t="s">
        <v>56</v>
      </c>
      <c r="Z34" s="595"/>
      <c r="AA34" s="595"/>
      <c r="AB34" s="595"/>
      <c r="AC34" s="595" t="s">
        <v>58</v>
      </c>
      <c r="AD34" s="595"/>
      <c r="AE34" s="676"/>
      <c r="AG34" s="128"/>
      <c r="AH34" s="128"/>
      <c r="AI34" s="128"/>
      <c r="AJ34" s="128"/>
      <c r="AK34" s="128"/>
      <c r="AL34" s="128"/>
      <c r="AM34" s="128"/>
      <c r="AN34" s="128"/>
      <c r="AO34" s="128"/>
    </row>
    <row r="35" spans="1:41" ht="243" customHeight="1" x14ac:dyDescent="0.25">
      <c r="A35" s="686" t="str">
        <f>+C17</f>
        <v>Desarrollar 3 acciones de transformación cultural efectivas para prevenir las violencias contra las mujeres, incluyendo campañas educativas. (Producto MGA - Servicio de promoción de la garantía de derechos)</v>
      </c>
      <c r="B35" s="688">
        <v>0.12</v>
      </c>
      <c r="C35" s="166" t="s">
        <v>48</v>
      </c>
      <c r="D35" s="162">
        <f>+D73</f>
        <v>0</v>
      </c>
      <c r="E35" s="162">
        <f t="shared" ref="E35:O35" si="1">+E73</f>
        <v>0</v>
      </c>
      <c r="F35" s="162">
        <f t="shared" si="1"/>
        <v>0</v>
      </c>
      <c r="G35" s="162">
        <f t="shared" si="1"/>
        <v>0</v>
      </c>
      <c r="H35" s="162">
        <f t="shared" si="1"/>
        <v>0</v>
      </c>
      <c r="I35" s="162">
        <f t="shared" si="1"/>
        <v>0</v>
      </c>
      <c r="J35" s="162">
        <f t="shared" si="1"/>
        <v>0</v>
      </c>
      <c r="K35" s="162">
        <f t="shared" si="1"/>
        <v>0.20833333333333334</v>
      </c>
      <c r="L35" s="162">
        <f t="shared" si="1"/>
        <v>0.2416666666666667</v>
      </c>
      <c r="M35" s="162">
        <f t="shared" si="1"/>
        <v>0.35000000000000003</v>
      </c>
      <c r="N35" s="162">
        <f>+N73</f>
        <v>0.1</v>
      </c>
      <c r="O35" s="162">
        <f t="shared" si="1"/>
        <v>0.1</v>
      </c>
      <c r="P35" s="164">
        <f>SUM(D35:O35)</f>
        <v>1</v>
      </c>
      <c r="Q35" s="564" t="s">
        <v>221</v>
      </c>
      <c r="R35" s="565"/>
      <c r="S35" s="565"/>
      <c r="T35" s="566"/>
      <c r="U35" s="585" t="s">
        <v>222</v>
      </c>
      <c r="V35" s="585"/>
      <c r="W35" s="585"/>
      <c r="X35" s="585"/>
      <c r="Y35" s="585" t="s">
        <v>223</v>
      </c>
      <c r="Z35" s="585"/>
      <c r="AA35" s="585"/>
      <c r="AB35" s="585"/>
      <c r="AC35" s="585" t="s">
        <v>224</v>
      </c>
      <c r="AD35" s="585"/>
      <c r="AE35" s="586"/>
      <c r="AG35" s="364" t="s">
        <v>225</v>
      </c>
      <c r="AH35" s="128">
        <f>LEN(AG35)</f>
        <v>299</v>
      </c>
      <c r="AI35" s="128"/>
      <c r="AJ35" s="128"/>
      <c r="AK35" s="128"/>
      <c r="AL35" s="128"/>
      <c r="AM35" s="128"/>
      <c r="AN35" s="128"/>
      <c r="AO35" s="128"/>
    </row>
    <row r="36" spans="1:41" ht="193.5" customHeight="1" thickBot="1" x14ac:dyDescent="0.3">
      <c r="A36" s="687"/>
      <c r="B36" s="689"/>
      <c r="C36" s="167" t="s">
        <v>50</v>
      </c>
      <c r="D36" s="165">
        <f>+D70</f>
        <v>0</v>
      </c>
      <c r="E36" s="165">
        <f t="shared" ref="E36:N36" si="2">+E70</f>
        <v>0</v>
      </c>
      <c r="F36" s="165">
        <f t="shared" si="2"/>
        <v>0</v>
      </c>
      <c r="G36" s="165">
        <f t="shared" si="2"/>
        <v>0</v>
      </c>
      <c r="H36" s="165">
        <f t="shared" si="2"/>
        <v>0</v>
      </c>
      <c r="I36" s="165">
        <f t="shared" si="2"/>
        <v>0</v>
      </c>
      <c r="J36" s="165">
        <f t="shared" si="2"/>
        <v>0</v>
      </c>
      <c r="K36" s="165">
        <f t="shared" si="2"/>
        <v>0.20833333333333334</v>
      </c>
      <c r="L36" s="165">
        <f t="shared" si="2"/>
        <v>0.2416666666666667</v>
      </c>
      <c r="M36" s="165">
        <f t="shared" si="2"/>
        <v>0.35000000000000003</v>
      </c>
      <c r="N36" s="165">
        <f t="shared" si="2"/>
        <v>0.1</v>
      </c>
      <c r="O36" s="165">
        <f>+O70</f>
        <v>0.1</v>
      </c>
      <c r="P36" s="163">
        <f>SUM(D36:O36)</f>
        <v>1</v>
      </c>
      <c r="Q36" s="567"/>
      <c r="R36" s="568"/>
      <c r="S36" s="568"/>
      <c r="T36" s="569"/>
      <c r="U36" s="587"/>
      <c r="V36" s="587"/>
      <c r="W36" s="587"/>
      <c r="X36" s="587"/>
      <c r="Y36" s="587"/>
      <c r="Z36" s="587"/>
      <c r="AA36" s="587"/>
      <c r="AB36" s="587"/>
      <c r="AC36" s="587"/>
      <c r="AD36" s="587"/>
      <c r="AE36" s="588"/>
      <c r="AG36" s="128"/>
      <c r="AH36" s="128"/>
      <c r="AI36" s="128"/>
      <c r="AJ36" s="128"/>
      <c r="AK36" s="128"/>
      <c r="AL36" s="128"/>
      <c r="AM36" s="128"/>
      <c r="AN36" s="128"/>
      <c r="AO36" s="128"/>
    </row>
    <row r="37" spans="1:41" s="207" customFormat="1" ht="17.25" customHeight="1" thickBot="1" x14ac:dyDescent="0.25"/>
    <row r="38" spans="1:41" ht="45" customHeight="1" thickBot="1" x14ac:dyDescent="0.3">
      <c r="A38" s="589" t="s">
        <v>166</v>
      </c>
      <c r="B38" s="590"/>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1"/>
      <c r="AG38" s="128"/>
      <c r="AH38" s="128"/>
      <c r="AI38" s="128"/>
      <c r="AJ38" s="128"/>
      <c r="AK38" s="128"/>
      <c r="AL38" s="128"/>
      <c r="AM38" s="128"/>
      <c r="AN38" s="128"/>
      <c r="AO38" s="128"/>
    </row>
    <row r="39" spans="1:41" ht="26.1" customHeight="1" x14ac:dyDescent="0.25">
      <c r="A39" s="592" t="s">
        <v>60</v>
      </c>
      <c r="B39" s="594" t="s">
        <v>167</v>
      </c>
      <c r="C39" s="596" t="s">
        <v>168</v>
      </c>
      <c r="D39" s="598" t="s">
        <v>169</v>
      </c>
      <c r="E39" s="599"/>
      <c r="F39" s="599"/>
      <c r="G39" s="599"/>
      <c r="H39" s="599"/>
      <c r="I39" s="599"/>
      <c r="J39" s="599"/>
      <c r="K39" s="599"/>
      <c r="L39" s="599"/>
      <c r="M39" s="599"/>
      <c r="N39" s="599"/>
      <c r="O39" s="599"/>
      <c r="P39" s="600"/>
      <c r="Q39" s="594" t="s">
        <v>170</v>
      </c>
      <c r="R39" s="594"/>
      <c r="S39" s="594"/>
      <c r="T39" s="594"/>
      <c r="U39" s="594"/>
      <c r="V39" s="594"/>
      <c r="W39" s="594"/>
      <c r="X39" s="594"/>
      <c r="Y39" s="594"/>
      <c r="Z39" s="594"/>
      <c r="AA39" s="594"/>
      <c r="AB39" s="594"/>
      <c r="AC39" s="594"/>
      <c r="AD39" s="594"/>
      <c r="AE39" s="684"/>
      <c r="AG39" s="128"/>
      <c r="AH39" s="128"/>
      <c r="AI39" s="128"/>
      <c r="AJ39" s="128"/>
      <c r="AK39" s="128"/>
      <c r="AL39" s="128"/>
      <c r="AM39" s="128"/>
      <c r="AN39" s="128"/>
      <c r="AO39" s="128"/>
    </row>
    <row r="40" spans="1:41" ht="26.1" customHeight="1" x14ac:dyDescent="0.25">
      <c r="A40" s="593"/>
      <c r="B40" s="595"/>
      <c r="C40" s="597"/>
      <c r="D40" s="48" t="s">
        <v>171</v>
      </c>
      <c r="E40" s="48" t="s">
        <v>172</v>
      </c>
      <c r="F40" s="48" t="s">
        <v>173</v>
      </c>
      <c r="G40" s="48" t="s">
        <v>174</v>
      </c>
      <c r="H40" s="48" t="s">
        <v>175</v>
      </c>
      <c r="I40" s="48" t="s">
        <v>176</v>
      </c>
      <c r="J40" s="48" t="s">
        <v>177</v>
      </c>
      <c r="K40" s="48" t="s">
        <v>178</v>
      </c>
      <c r="L40" s="48" t="s">
        <v>179</v>
      </c>
      <c r="M40" s="48" t="s">
        <v>180</v>
      </c>
      <c r="N40" s="48" t="s">
        <v>181</v>
      </c>
      <c r="O40" s="48" t="s">
        <v>182</v>
      </c>
      <c r="P40" s="48" t="s">
        <v>183</v>
      </c>
      <c r="Q40" s="681" t="s">
        <v>184</v>
      </c>
      <c r="R40" s="682"/>
      <c r="S40" s="682"/>
      <c r="T40" s="682"/>
      <c r="U40" s="682"/>
      <c r="V40" s="682"/>
      <c r="W40" s="682"/>
      <c r="X40" s="683"/>
      <c r="Y40" s="681" t="s">
        <v>68</v>
      </c>
      <c r="Z40" s="682"/>
      <c r="AA40" s="682"/>
      <c r="AB40" s="682"/>
      <c r="AC40" s="682"/>
      <c r="AD40" s="682"/>
      <c r="AE40" s="685"/>
      <c r="AG40" s="208"/>
      <c r="AH40" s="208"/>
      <c r="AI40" s="208"/>
      <c r="AJ40" s="208"/>
      <c r="AK40" s="208"/>
      <c r="AL40" s="208"/>
      <c r="AM40" s="208"/>
      <c r="AN40" s="208"/>
      <c r="AO40" s="208"/>
    </row>
    <row r="41" spans="1:41" ht="90.6" customHeight="1" x14ac:dyDescent="0.25">
      <c r="A41" s="702" t="s">
        <v>226</v>
      </c>
      <c r="B41" s="703">
        <v>7.0000000000000007E-2</v>
      </c>
      <c r="C41" s="56" t="s">
        <v>48</v>
      </c>
      <c r="D41" s="57">
        <v>0</v>
      </c>
      <c r="E41" s="57">
        <v>0</v>
      </c>
      <c r="F41" s="57">
        <v>0</v>
      </c>
      <c r="G41" s="57">
        <v>0</v>
      </c>
      <c r="H41" s="57">
        <v>0</v>
      </c>
      <c r="I41" s="57">
        <v>0</v>
      </c>
      <c r="J41" s="57">
        <v>0</v>
      </c>
      <c r="K41" s="57">
        <v>0.3</v>
      </c>
      <c r="L41" s="57">
        <v>0.3</v>
      </c>
      <c r="M41" s="57">
        <v>0.4</v>
      </c>
      <c r="N41" s="57">
        <v>0</v>
      </c>
      <c r="O41" s="57">
        <v>0</v>
      </c>
      <c r="P41" s="58">
        <f t="shared" ref="P41:P46" si="3">SUM(D41:O41)</f>
        <v>1</v>
      </c>
      <c r="Q41" s="724" t="s">
        <v>227</v>
      </c>
      <c r="R41" s="713"/>
      <c r="S41" s="713"/>
      <c r="T41" s="713"/>
      <c r="U41" s="713"/>
      <c r="V41" s="713"/>
      <c r="W41" s="713"/>
      <c r="X41" s="714"/>
      <c r="Y41" s="797" t="s">
        <v>228</v>
      </c>
      <c r="Z41" s="713"/>
      <c r="AA41" s="713"/>
      <c r="AB41" s="713"/>
      <c r="AC41" s="713"/>
      <c r="AD41" s="713"/>
      <c r="AE41" s="713"/>
      <c r="AG41" s="209"/>
      <c r="AH41" s="209"/>
      <c r="AI41" s="209"/>
      <c r="AJ41" s="209"/>
      <c r="AK41" s="209"/>
      <c r="AL41" s="209"/>
      <c r="AM41" s="209"/>
      <c r="AN41" s="209"/>
      <c r="AO41" s="209"/>
    </row>
    <row r="42" spans="1:41" ht="90.6" customHeight="1" x14ac:dyDescent="0.25">
      <c r="A42" s="702"/>
      <c r="B42" s="703"/>
      <c r="C42" s="59" t="s">
        <v>50</v>
      </c>
      <c r="D42" s="60">
        <v>0</v>
      </c>
      <c r="E42" s="60">
        <v>0</v>
      </c>
      <c r="F42" s="60">
        <v>0</v>
      </c>
      <c r="G42" s="60">
        <v>0</v>
      </c>
      <c r="H42" s="60">
        <v>0</v>
      </c>
      <c r="I42" s="60">
        <v>0</v>
      </c>
      <c r="J42" s="60">
        <v>0</v>
      </c>
      <c r="K42" s="60">
        <v>0.3</v>
      </c>
      <c r="L42" s="60">
        <v>0.3</v>
      </c>
      <c r="M42" s="60">
        <v>0.4</v>
      </c>
      <c r="N42" s="60">
        <v>0</v>
      </c>
      <c r="O42" s="60">
        <v>0</v>
      </c>
      <c r="P42" s="58">
        <f t="shared" si="3"/>
        <v>1</v>
      </c>
      <c r="Q42" s="715"/>
      <c r="R42" s="716"/>
      <c r="S42" s="716"/>
      <c r="T42" s="716"/>
      <c r="U42" s="716"/>
      <c r="V42" s="716"/>
      <c r="W42" s="716"/>
      <c r="X42" s="717"/>
      <c r="Y42" s="715"/>
      <c r="Z42" s="716"/>
      <c r="AA42" s="716"/>
      <c r="AB42" s="716"/>
      <c r="AC42" s="716"/>
      <c r="AD42" s="716"/>
      <c r="AE42" s="716"/>
    </row>
    <row r="43" spans="1:41" ht="54" customHeight="1" x14ac:dyDescent="0.25">
      <c r="A43" s="702" t="s">
        <v>229</v>
      </c>
      <c r="B43" s="703">
        <v>0.03</v>
      </c>
      <c r="C43" s="56" t="s">
        <v>48</v>
      </c>
      <c r="D43" s="57">
        <v>0</v>
      </c>
      <c r="E43" s="57">
        <v>0</v>
      </c>
      <c r="F43" s="57">
        <v>0</v>
      </c>
      <c r="G43" s="57">
        <v>0</v>
      </c>
      <c r="H43" s="57">
        <v>0</v>
      </c>
      <c r="I43" s="57">
        <v>0</v>
      </c>
      <c r="J43" s="57">
        <v>0</v>
      </c>
      <c r="K43" s="57">
        <v>0</v>
      </c>
      <c r="L43" s="57">
        <v>0</v>
      </c>
      <c r="M43" s="57">
        <v>0.2</v>
      </c>
      <c r="N43" s="57">
        <v>0.4</v>
      </c>
      <c r="O43" s="57">
        <v>0.4</v>
      </c>
      <c r="P43" s="58">
        <f t="shared" si="3"/>
        <v>1</v>
      </c>
      <c r="Q43" s="704" t="s">
        <v>230</v>
      </c>
      <c r="R43" s="705"/>
      <c r="S43" s="705"/>
      <c r="T43" s="705"/>
      <c r="U43" s="705"/>
      <c r="V43" s="705"/>
      <c r="W43" s="705"/>
      <c r="X43" s="706"/>
      <c r="Y43" s="724" t="s">
        <v>231</v>
      </c>
      <c r="Z43" s="798"/>
      <c r="AA43" s="798"/>
      <c r="AB43" s="798"/>
      <c r="AC43" s="798"/>
      <c r="AD43" s="798"/>
      <c r="AE43" s="798"/>
    </row>
    <row r="44" spans="1:41" ht="181.5" customHeight="1" x14ac:dyDescent="0.25">
      <c r="A44" s="702"/>
      <c r="B44" s="703"/>
      <c r="C44" s="59" t="s">
        <v>50</v>
      </c>
      <c r="D44" s="60">
        <v>0</v>
      </c>
      <c r="E44" s="60">
        <v>0</v>
      </c>
      <c r="F44" s="60">
        <v>0</v>
      </c>
      <c r="G44" s="60">
        <v>0</v>
      </c>
      <c r="H44" s="60">
        <v>0</v>
      </c>
      <c r="I44" s="60">
        <v>0</v>
      </c>
      <c r="J44" s="60">
        <v>0</v>
      </c>
      <c r="K44" s="60">
        <v>0</v>
      </c>
      <c r="L44" s="60">
        <v>0</v>
      </c>
      <c r="M44" s="60">
        <v>0.2</v>
      </c>
      <c r="N44" s="60">
        <v>0.4</v>
      </c>
      <c r="O44" s="60">
        <v>0.4</v>
      </c>
      <c r="P44" s="58">
        <f t="shared" si="3"/>
        <v>1</v>
      </c>
      <c r="Q44" s="707"/>
      <c r="R44" s="708"/>
      <c r="S44" s="708"/>
      <c r="T44" s="708"/>
      <c r="U44" s="708"/>
      <c r="V44" s="708"/>
      <c r="W44" s="708"/>
      <c r="X44" s="709"/>
      <c r="Y44" s="715"/>
      <c r="Z44" s="716"/>
      <c r="AA44" s="716"/>
      <c r="AB44" s="716"/>
      <c r="AC44" s="716"/>
      <c r="AD44" s="716"/>
      <c r="AE44" s="716"/>
    </row>
    <row r="45" spans="1:41" ht="113.45" customHeight="1" x14ac:dyDescent="0.25">
      <c r="A45" s="702" t="s">
        <v>232</v>
      </c>
      <c r="B45" s="703">
        <v>0.02</v>
      </c>
      <c r="C45" s="56" t="s">
        <v>48</v>
      </c>
      <c r="D45" s="57">
        <v>0</v>
      </c>
      <c r="E45" s="57">
        <v>0</v>
      </c>
      <c r="F45" s="57">
        <v>0</v>
      </c>
      <c r="G45" s="57">
        <v>0</v>
      </c>
      <c r="H45" s="57">
        <v>0</v>
      </c>
      <c r="I45" s="57">
        <v>0</v>
      </c>
      <c r="J45" s="57">
        <v>0</v>
      </c>
      <c r="K45" s="57">
        <v>0.2</v>
      </c>
      <c r="L45" s="57">
        <v>0.4</v>
      </c>
      <c r="M45" s="57">
        <v>0.4</v>
      </c>
      <c r="N45" s="57">
        <v>0</v>
      </c>
      <c r="O45" s="57">
        <v>0</v>
      </c>
      <c r="P45" s="58">
        <f t="shared" si="3"/>
        <v>1</v>
      </c>
      <c r="Q45" s="724" t="s">
        <v>233</v>
      </c>
      <c r="R45" s="713"/>
      <c r="S45" s="713"/>
      <c r="T45" s="713"/>
      <c r="U45" s="713"/>
      <c r="V45" s="713"/>
      <c r="W45" s="713"/>
      <c r="X45" s="714"/>
      <c r="Y45" s="791" t="s">
        <v>234</v>
      </c>
      <c r="Z45" s="792"/>
      <c r="AA45" s="792"/>
      <c r="AB45" s="792"/>
      <c r="AC45" s="792"/>
      <c r="AD45" s="792"/>
      <c r="AE45" s="793"/>
    </row>
    <row r="46" spans="1:41" ht="113.45" customHeight="1" x14ac:dyDescent="0.25">
      <c r="A46" s="702"/>
      <c r="B46" s="703"/>
      <c r="C46" s="59" t="s">
        <v>50</v>
      </c>
      <c r="D46" s="60">
        <v>0</v>
      </c>
      <c r="E46" s="60">
        <v>0</v>
      </c>
      <c r="F46" s="60">
        <v>0</v>
      </c>
      <c r="G46" s="60">
        <v>0</v>
      </c>
      <c r="H46" s="60">
        <v>0</v>
      </c>
      <c r="I46" s="60">
        <v>0</v>
      </c>
      <c r="J46" s="60">
        <v>0</v>
      </c>
      <c r="K46" s="60">
        <v>0.2</v>
      </c>
      <c r="L46" s="60">
        <v>0.4</v>
      </c>
      <c r="M46" s="60">
        <v>0.4</v>
      </c>
      <c r="N46" s="60">
        <v>0</v>
      </c>
      <c r="O46" s="60">
        <v>0</v>
      </c>
      <c r="P46" s="58">
        <f t="shared" si="3"/>
        <v>1</v>
      </c>
      <c r="Q46" s="715"/>
      <c r="R46" s="716"/>
      <c r="S46" s="716"/>
      <c r="T46" s="716"/>
      <c r="U46" s="716"/>
      <c r="V46" s="716"/>
      <c r="W46" s="716"/>
      <c r="X46" s="717"/>
      <c r="Y46" s="794"/>
      <c r="Z46" s="795"/>
      <c r="AA46" s="795"/>
      <c r="AB46" s="795"/>
      <c r="AC46" s="795"/>
      <c r="AD46" s="795"/>
      <c r="AE46" s="796"/>
    </row>
    <row r="47" spans="1:41" ht="15" customHeight="1" x14ac:dyDescent="0.25">
      <c r="A47" s="125" t="s">
        <v>197</v>
      </c>
      <c r="B47" s="244">
        <f>SUM(B41:B46)</f>
        <v>0.12000000000000001</v>
      </c>
      <c r="Q47" s="210"/>
      <c r="R47" s="210"/>
      <c r="S47" s="210"/>
      <c r="T47" s="210"/>
      <c r="U47" s="210"/>
      <c r="V47" s="210"/>
      <c r="W47" s="210"/>
      <c r="X47" s="210"/>
      <c r="Y47" s="245"/>
      <c r="Z47" s="210"/>
      <c r="AA47" s="210"/>
      <c r="AB47" s="210"/>
      <c r="AC47" s="210"/>
      <c r="AD47" s="210"/>
      <c r="AE47" s="210"/>
    </row>
    <row r="48" spans="1:41" x14ac:dyDescent="0.25">
      <c r="Q48" s="210"/>
      <c r="R48" s="210"/>
      <c r="S48" s="210"/>
      <c r="T48" s="210"/>
      <c r="U48" s="210"/>
      <c r="V48" s="210"/>
      <c r="W48" s="210"/>
      <c r="X48" s="210"/>
      <c r="Y48" s="210"/>
      <c r="Z48" s="210"/>
      <c r="AA48" s="210"/>
      <c r="AB48" s="210"/>
      <c r="AC48" s="210"/>
      <c r="AD48" s="210"/>
      <c r="AE48" s="210"/>
    </row>
    <row r="49" spans="1:31" x14ac:dyDescent="0.25">
      <c r="Q49" s="210"/>
      <c r="R49" s="210"/>
      <c r="S49" s="210"/>
      <c r="T49" s="210"/>
      <c r="U49" s="210"/>
      <c r="V49" s="210"/>
      <c r="W49" s="210"/>
      <c r="X49" s="210"/>
      <c r="Y49" s="210"/>
      <c r="Z49" s="210"/>
      <c r="AA49" s="210"/>
      <c r="AB49" s="210"/>
      <c r="AC49" s="210"/>
      <c r="AD49" s="210"/>
      <c r="AE49" s="210"/>
    </row>
    <row r="50" spans="1:31" x14ac:dyDescent="0.25">
      <c r="Q50" s="210"/>
      <c r="R50" s="210"/>
      <c r="S50" s="210"/>
      <c r="T50" s="210"/>
      <c r="U50" s="210"/>
      <c r="V50" s="210"/>
      <c r="W50" s="210"/>
      <c r="X50" s="210"/>
      <c r="Y50" s="210"/>
      <c r="Z50" s="210"/>
      <c r="AA50" s="210"/>
      <c r="AB50" s="210"/>
      <c r="AC50" s="210"/>
      <c r="AD50" s="210"/>
      <c r="AE50" s="210"/>
    </row>
    <row r="51" spans="1:31" x14ac:dyDescent="0.25">
      <c r="Q51" s="210"/>
      <c r="R51" s="210"/>
      <c r="S51" s="210"/>
      <c r="T51" s="210"/>
      <c r="U51" s="210"/>
      <c r="V51" s="210"/>
      <c r="W51" s="210"/>
      <c r="X51" s="210"/>
      <c r="Y51" s="210"/>
      <c r="Z51" s="210"/>
      <c r="AA51" s="210"/>
      <c r="AB51" s="210"/>
      <c r="AC51" s="210"/>
      <c r="AD51" s="210"/>
      <c r="AE51" s="210"/>
    </row>
    <row r="52" spans="1:31" x14ac:dyDescent="0.25">
      <c r="Q52" s="210"/>
      <c r="R52" s="210"/>
      <c r="S52" s="210"/>
      <c r="T52" s="210"/>
      <c r="U52" s="210"/>
      <c r="V52" s="210"/>
      <c r="W52" s="210"/>
      <c r="X52" s="210"/>
      <c r="Y52" s="210"/>
      <c r="Z52" s="210"/>
      <c r="AA52" s="210"/>
      <c r="AB52" s="210"/>
      <c r="AC52" s="210"/>
      <c r="AD52" s="210"/>
      <c r="AE52" s="210"/>
    </row>
    <row r="53" spans="1:31" x14ac:dyDescent="0.25">
      <c r="Q53" s="210"/>
      <c r="R53" s="210"/>
      <c r="S53" s="210"/>
      <c r="T53" s="210"/>
      <c r="U53" s="210"/>
      <c r="V53" s="210"/>
      <c r="W53" s="210"/>
      <c r="X53" s="210"/>
      <c r="Y53" s="210"/>
      <c r="Z53" s="210"/>
      <c r="AA53" s="210"/>
      <c r="AB53" s="210"/>
      <c r="AC53" s="210"/>
      <c r="AD53" s="210"/>
      <c r="AE53" s="210"/>
    </row>
    <row r="54" spans="1:31" ht="15" thickBot="1" x14ac:dyDescent="0.3">
      <c r="Q54" s="210"/>
      <c r="R54" s="210"/>
      <c r="S54" s="210"/>
      <c r="T54" s="210"/>
      <c r="U54" s="210"/>
      <c r="V54" s="210"/>
      <c r="W54" s="210"/>
      <c r="X54" s="210"/>
      <c r="Y54" s="210"/>
      <c r="Z54" s="210"/>
      <c r="AA54" s="210"/>
      <c r="AB54" s="210"/>
      <c r="AC54" s="210"/>
      <c r="AD54" s="210"/>
      <c r="AE54" s="210"/>
    </row>
    <row r="55" spans="1:31" s="214" customFormat="1" ht="15" x14ac:dyDescent="0.25">
      <c r="A55" s="578" t="s">
        <v>44</v>
      </c>
      <c r="B55" s="580" t="s">
        <v>167</v>
      </c>
      <c r="C55" s="582" t="s">
        <v>169</v>
      </c>
      <c r="D55" s="583"/>
      <c r="E55" s="583"/>
      <c r="F55" s="583"/>
      <c r="G55" s="583"/>
      <c r="H55" s="583"/>
      <c r="I55" s="583"/>
      <c r="J55" s="583"/>
      <c r="K55" s="583"/>
      <c r="L55" s="583"/>
      <c r="M55" s="583"/>
      <c r="N55" s="583"/>
      <c r="O55" s="583"/>
      <c r="P55" s="584"/>
      <c r="Q55" s="211"/>
      <c r="R55" s="211"/>
      <c r="S55" s="212"/>
      <c r="T55" s="212"/>
      <c r="U55" s="212"/>
      <c r="V55" s="212"/>
      <c r="W55" s="212"/>
      <c r="X55" s="212"/>
      <c r="Y55" s="212"/>
      <c r="Z55" s="212"/>
      <c r="AA55" s="212"/>
      <c r="AB55" s="212"/>
      <c r="AC55" s="212"/>
      <c r="AD55" s="212"/>
      <c r="AE55" s="213"/>
    </row>
    <row r="56" spans="1:31" s="214" customFormat="1" ht="21" x14ac:dyDescent="0.25">
      <c r="A56" s="579"/>
      <c r="B56" s="581"/>
      <c r="C56" s="215" t="s">
        <v>168</v>
      </c>
      <c r="D56" s="215" t="s">
        <v>171</v>
      </c>
      <c r="E56" s="215" t="s">
        <v>172</v>
      </c>
      <c r="F56" s="215" t="s">
        <v>173</v>
      </c>
      <c r="G56" s="215" t="s">
        <v>174</v>
      </c>
      <c r="H56" s="215" t="s">
        <v>175</v>
      </c>
      <c r="I56" s="215" t="s">
        <v>176</v>
      </c>
      <c r="J56" s="215" t="s">
        <v>177</v>
      </c>
      <c r="K56" s="215" t="s">
        <v>178</v>
      </c>
      <c r="L56" s="215" t="s">
        <v>179</v>
      </c>
      <c r="M56" s="215" t="s">
        <v>180</v>
      </c>
      <c r="N56" s="215" t="s">
        <v>181</v>
      </c>
      <c r="O56" s="215" t="s">
        <v>182</v>
      </c>
      <c r="P56" s="216" t="s">
        <v>183</v>
      </c>
      <c r="Q56" s="211"/>
      <c r="R56" s="211"/>
      <c r="S56" s="212"/>
      <c r="T56" s="212"/>
      <c r="U56" s="212"/>
      <c r="V56" s="212"/>
      <c r="W56" s="212"/>
      <c r="X56" s="212"/>
      <c r="Y56" s="212"/>
      <c r="Z56" s="212"/>
      <c r="AA56" s="212"/>
      <c r="AB56" s="212"/>
      <c r="AC56" s="212"/>
      <c r="AD56" s="212"/>
      <c r="AE56" s="213"/>
    </row>
    <row r="57" spans="1:31" s="214" customFormat="1" ht="18" customHeight="1" x14ac:dyDescent="0.25">
      <c r="A57" s="574" t="str">
        <f>A41</f>
        <v>11. Diseñar una estrategia de transformación cultural para prevenir las violencias contra las mujeres, incluyendo matrices de consistencia y teorías del cambio (a partir de la línea base de investigación)</v>
      </c>
      <c r="B57" s="576">
        <f>B41</f>
        <v>7.0000000000000007E-2</v>
      </c>
      <c r="C57" s="217" t="s">
        <v>48</v>
      </c>
      <c r="D57" s="218">
        <f>D41*$B$41/$P$41</f>
        <v>0</v>
      </c>
      <c r="E57" s="218">
        <f t="shared" ref="E57:O58" si="4">E41*$B$41/$P$41</f>
        <v>0</v>
      </c>
      <c r="F57" s="218">
        <f t="shared" si="4"/>
        <v>0</v>
      </c>
      <c r="G57" s="218">
        <f t="shared" si="4"/>
        <v>0</v>
      </c>
      <c r="H57" s="218">
        <f t="shared" si="4"/>
        <v>0</v>
      </c>
      <c r="I57" s="218">
        <f t="shared" si="4"/>
        <v>0</v>
      </c>
      <c r="J57" s="218">
        <f t="shared" si="4"/>
        <v>0</v>
      </c>
      <c r="K57" s="218">
        <f t="shared" si="4"/>
        <v>2.1000000000000001E-2</v>
      </c>
      <c r="L57" s="218">
        <f t="shared" si="4"/>
        <v>2.1000000000000001E-2</v>
      </c>
      <c r="M57" s="218">
        <f t="shared" si="4"/>
        <v>2.8000000000000004E-2</v>
      </c>
      <c r="N57" s="218">
        <f t="shared" si="4"/>
        <v>0</v>
      </c>
      <c r="O57" s="218">
        <f t="shared" si="4"/>
        <v>0</v>
      </c>
      <c r="P57" s="219">
        <f>SUM(D57:O57)</f>
        <v>7.0000000000000007E-2</v>
      </c>
      <c r="Q57" s="220"/>
      <c r="R57" s="221"/>
      <c r="S57" s="212"/>
      <c r="T57" s="212"/>
      <c r="U57" s="212"/>
      <c r="V57" s="212"/>
      <c r="W57" s="212"/>
      <c r="X57" s="212"/>
      <c r="Y57" s="212"/>
      <c r="Z57" s="212"/>
      <c r="AA57" s="212"/>
      <c r="AB57" s="212"/>
      <c r="AC57" s="212"/>
      <c r="AD57" s="212"/>
      <c r="AE57" s="213"/>
    </row>
    <row r="58" spans="1:31" s="214" customFormat="1" ht="18" customHeight="1" x14ac:dyDescent="0.25">
      <c r="A58" s="575"/>
      <c r="B58" s="577"/>
      <c r="C58" s="222" t="s">
        <v>50</v>
      </c>
      <c r="D58" s="223">
        <f>D42*$B$41/$P$41</f>
        <v>0</v>
      </c>
      <c r="E58" s="223">
        <f t="shared" si="4"/>
        <v>0</v>
      </c>
      <c r="F58" s="223">
        <f t="shared" si="4"/>
        <v>0</v>
      </c>
      <c r="G58" s="223">
        <f t="shared" si="4"/>
        <v>0</v>
      </c>
      <c r="H58" s="223">
        <f t="shared" si="4"/>
        <v>0</v>
      </c>
      <c r="I58" s="223">
        <f t="shared" si="4"/>
        <v>0</v>
      </c>
      <c r="J58" s="223">
        <f t="shared" si="4"/>
        <v>0</v>
      </c>
      <c r="K58" s="223">
        <f t="shared" si="4"/>
        <v>2.1000000000000001E-2</v>
      </c>
      <c r="L58" s="223">
        <f t="shared" si="4"/>
        <v>2.1000000000000001E-2</v>
      </c>
      <c r="M58" s="223">
        <f t="shared" si="4"/>
        <v>2.8000000000000004E-2</v>
      </c>
      <c r="N58" s="223">
        <f t="shared" si="4"/>
        <v>0</v>
      </c>
      <c r="O58" s="223">
        <f t="shared" si="4"/>
        <v>0</v>
      </c>
      <c r="P58" s="224">
        <f>SUM(D58:O58)</f>
        <v>7.0000000000000007E-2</v>
      </c>
      <c r="Q58" s="225"/>
      <c r="R58" s="221"/>
      <c r="S58" s="212"/>
      <c r="T58" s="212"/>
      <c r="U58" s="212"/>
      <c r="V58" s="212"/>
      <c r="W58" s="212"/>
      <c r="X58" s="212"/>
      <c r="Y58" s="212"/>
      <c r="Z58" s="212"/>
      <c r="AA58" s="212"/>
      <c r="AB58" s="212"/>
      <c r="AC58" s="212"/>
      <c r="AD58" s="212"/>
      <c r="AE58" s="213"/>
    </row>
    <row r="59" spans="1:31" s="214" customFormat="1" ht="18" customHeight="1" x14ac:dyDescent="0.25">
      <c r="A59" s="574" t="str">
        <f t="shared" ref="A59:B59" si="5">A43</f>
        <v xml:space="preserve">12. Desarrollar el pilotaje de la estrategia en comunidades seleccionadas, realizar el seguimiento de su implementación y ajustar las estrategias basándose en los resultados obtenidos. </v>
      </c>
      <c r="B59" s="576">
        <f t="shared" si="5"/>
        <v>0.03</v>
      </c>
      <c r="C59" s="217" t="s">
        <v>48</v>
      </c>
      <c r="D59" s="218">
        <f>D43*$B$43/$P$43</f>
        <v>0</v>
      </c>
      <c r="E59" s="218">
        <f t="shared" ref="E59:O60" si="6">E43*$B$43/$P$43</f>
        <v>0</v>
      </c>
      <c r="F59" s="218">
        <f t="shared" si="6"/>
        <v>0</v>
      </c>
      <c r="G59" s="218">
        <f t="shared" si="6"/>
        <v>0</v>
      </c>
      <c r="H59" s="218">
        <f t="shared" si="6"/>
        <v>0</v>
      </c>
      <c r="I59" s="218">
        <f t="shared" si="6"/>
        <v>0</v>
      </c>
      <c r="J59" s="218">
        <f t="shared" si="6"/>
        <v>0</v>
      </c>
      <c r="K59" s="218">
        <f t="shared" si="6"/>
        <v>0</v>
      </c>
      <c r="L59" s="218">
        <f t="shared" si="6"/>
        <v>0</v>
      </c>
      <c r="M59" s="218">
        <f t="shared" si="6"/>
        <v>6.0000000000000001E-3</v>
      </c>
      <c r="N59" s="218">
        <f t="shared" si="6"/>
        <v>1.2E-2</v>
      </c>
      <c r="O59" s="218">
        <f t="shared" si="6"/>
        <v>1.2E-2</v>
      </c>
      <c r="P59" s="219">
        <f>SUM(D59:O59)</f>
        <v>3.0000000000000002E-2</v>
      </c>
      <c r="Q59" s="220"/>
      <c r="R59" s="221"/>
      <c r="S59" s="212"/>
      <c r="T59" s="212"/>
      <c r="U59" s="212"/>
      <c r="V59" s="212"/>
      <c r="W59" s="212"/>
      <c r="X59" s="212"/>
      <c r="Y59" s="212"/>
      <c r="Z59" s="212"/>
      <c r="AA59" s="212"/>
      <c r="AB59" s="212"/>
      <c r="AC59" s="212"/>
      <c r="AD59" s="212"/>
      <c r="AE59" s="213"/>
    </row>
    <row r="60" spans="1:31" s="214" customFormat="1" ht="18" customHeight="1" x14ac:dyDescent="0.25">
      <c r="A60" s="575"/>
      <c r="B60" s="577"/>
      <c r="C60" s="222" t="s">
        <v>50</v>
      </c>
      <c r="D60" s="223">
        <f>D44*$B$43/$P$43</f>
        <v>0</v>
      </c>
      <c r="E60" s="223">
        <f t="shared" si="6"/>
        <v>0</v>
      </c>
      <c r="F60" s="223">
        <f t="shared" si="6"/>
        <v>0</v>
      </c>
      <c r="G60" s="223">
        <f t="shared" si="6"/>
        <v>0</v>
      </c>
      <c r="H60" s="223">
        <f t="shared" si="6"/>
        <v>0</v>
      </c>
      <c r="I60" s="223">
        <f t="shared" si="6"/>
        <v>0</v>
      </c>
      <c r="J60" s="223">
        <f t="shared" si="6"/>
        <v>0</v>
      </c>
      <c r="K60" s="223">
        <f t="shared" si="6"/>
        <v>0</v>
      </c>
      <c r="L60" s="223">
        <f t="shared" si="6"/>
        <v>0</v>
      </c>
      <c r="M60" s="223">
        <f t="shared" si="6"/>
        <v>6.0000000000000001E-3</v>
      </c>
      <c r="N60" s="223">
        <f t="shared" si="6"/>
        <v>1.2E-2</v>
      </c>
      <c r="O60" s="223">
        <f t="shared" si="6"/>
        <v>1.2E-2</v>
      </c>
      <c r="P60" s="224">
        <f t="shared" ref="P60:P62" si="7">SUM(D60:O60)</f>
        <v>3.0000000000000002E-2</v>
      </c>
      <c r="Q60" s="225"/>
      <c r="R60" s="221"/>
      <c r="S60" s="212"/>
      <c r="T60" s="212"/>
      <c r="U60" s="212"/>
      <c r="V60" s="212"/>
      <c r="W60" s="212"/>
      <c r="X60" s="212"/>
      <c r="Y60" s="212"/>
      <c r="Z60" s="212"/>
      <c r="AA60" s="212"/>
      <c r="AB60" s="212"/>
      <c r="AC60" s="212"/>
      <c r="AD60" s="212"/>
      <c r="AE60" s="213"/>
    </row>
    <row r="61" spans="1:31" s="214" customFormat="1" ht="18" customHeight="1" x14ac:dyDescent="0.25">
      <c r="A61" s="574" t="str">
        <f t="shared" ref="A61:B61" si="8">A45</f>
        <v>13. Idear  las acciones narrativas y comunicativas de cada estrategia.</v>
      </c>
      <c r="B61" s="576">
        <f t="shared" si="8"/>
        <v>0.02</v>
      </c>
      <c r="C61" s="217" t="s">
        <v>48</v>
      </c>
      <c r="D61" s="218">
        <f>D45*$B$45/$P$45</f>
        <v>0</v>
      </c>
      <c r="E61" s="218">
        <f t="shared" ref="E61:O62" si="9">E45*$B$45/$P$45</f>
        <v>0</v>
      </c>
      <c r="F61" s="218">
        <f t="shared" si="9"/>
        <v>0</v>
      </c>
      <c r="G61" s="218">
        <f t="shared" si="9"/>
        <v>0</v>
      </c>
      <c r="H61" s="218">
        <f t="shared" si="9"/>
        <v>0</v>
      </c>
      <c r="I61" s="218">
        <f t="shared" si="9"/>
        <v>0</v>
      </c>
      <c r="J61" s="218">
        <f t="shared" si="9"/>
        <v>0</v>
      </c>
      <c r="K61" s="218">
        <f t="shared" si="9"/>
        <v>4.0000000000000001E-3</v>
      </c>
      <c r="L61" s="218">
        <f t="shared" si="9"/>
        <v>8.0000000000000002E-3</v>
      </c>
      <c r="M61" s="218">
        <f t="shared" si="9"/>
        <v>8.0000000000000002E-3</v>
      </c>
      <c r="N61" s="218">
        <f t="shared" si="9"/>
        <v>0</v>
      </c>
      <c r="O61" s="218">
        <f t="shared" si="9"/>
        <v>0</v>
      </c>
      <c r="P61" s="219">
        <f>SUM(D61:O61)</f>
        <v>0.02</v>
      </c>
      <c r="Q61" s="220"/>
      <c r="R61" s="221"/>
      <c r="S61" s="212"/>
      <c r="T61" s="212"/>
      <c r="U61" s="212"/>
      <c r="V61" s="212"/>
      <c r="W61" s="212"/>
      <c r="X61" s="212"/>
      <c r="Y61" s="212"/>
      <c r="Z61" s="212"/>
      <c r="AA61" s="212"/>
      <c r="AB61" s="212"/>
      <c r="AC61" s="212"/>
      <c r="AD61" s="212"/>
      <c r="AE61" s="213"/>
    </row>
    <row r="62" spans="1:31" s="214" customFormat="1" ht="18" customHeight="1" x14ac:dyDescent="0.25">
      <c r="A62" s="575"/>
      <c r="B62" s="577"/>
      <c r="C62" s="222" t="s">
        <v>50</v>
      </c>
      <c r="D62" s="226">
        <f>D46*$B$45/$P$45</f>
        <v>0</v>
      </c>
      <c r="E62" s="226">
        <f t="shared" si="9"/>
        <v>0</v>
      </c>
      <c r="F62" s="226">
        <f t="shared" si="9"/>
        <v>0</v>
      </c>
      <c r="G62" s="226">
        <f t="shared" si="9"/>
        <v>0</v>
      </c>
      <c r="H62" s="226">
        <f t="shared" si="9"/>
        <v>0</v>
      </c>
      <c r="I62" s="226">
        <f t="shared" si="9"/>
        <v>0</v>
      </c>
      <c r="J62" s="226">
        <f t="shared" si="9"/>
        <v>0</v>
      </c>
      <c r="K62" s="226">
        <f t="shared" si="9"/>
        <v>4.0000000000000001E-3</v>
      </c>
      <c r="L62" s="226">
        <f t="shared" si="9"/>
        <v>8.0000000000000002E-3</v>
      </c>
      <c r="M62" s="226">
        <f t="shared" si="9"/>
        <v>8.0000000000000002E-3</v>
      </c>
      <c r="N62" s="226">
        <f t="shared" si="9"/>
        <v>0</v>
      </c>
      <c r="O62" s="226">
        <f t="shared" si="9"/>
        <v>0</v>
      </c>
      <c r="P62" s="224">
        <f t="shared" si="7"/>
        <v>0.02</v>
      </c>
      <c r="Q62" s="225"/>
      <c r="R62" s="221"/>
      <c r="S62" s="212"/>
      <c r="T62" s="212"/>
      <c r="U62" s="212"/>
      <c r="V62" s="212"/>
      <c r="W62" s="212"/>
      <c r="X62" s="212"/>
      <c r="Y62" s="212"/>
      <c r="Z62" s="212"/>
      <c r="AA62" s="212"/>
      <c r="AB62" s="212"/>
      <c r="AC62" s="212"/>
      <c r="AD62" s="212"/>
      <c r="AE62" s="213"/>
    </row>
    <row r="63" spans="1:31" s="214" customFormat="1" ht="15" x14ac:dyDescent="0.25">
      <c r="A63" s="570"/>
      <c r="B63" s="572"/>
      <c r="C63" s="228"/>
      <c r="D63" s="218"/>
      <c r="E63" s="218"/>
      <c r="F63" s="218"/>
      <c r="G63" s="218"/>
      <c r="H63" s="218"/>
      <c r="I63" s="218"/>
      <c r="J63" s="218"/>
      <c r="K63" s="218"/>
      <c r="L63" s="218"/>
      <c r="M63" s="218"/>
      <c r="N63" s="218"/>
      <c r="O63" s="218"/>
      <c r="P63" s="229"/>
      <c r="Q63" s="220"/>
      <c r="R63" s="221"/>
      <c r="S63" s="212"/>
      <c r="T63" s="212"/>
      <c r="U63" s="212"/>
      <c r="V63" s="212"/>
      <c r="W63" s="212"/>
      <c r="X63" s="212"/>
      <c r="Y63" s="212"/>
      <c r="Z63" s="212"/>
      <c r="AA63" s="212"/>
      <c r="AB63" s="212"/>
      <c r="AC63" s="212"/>
      <c r="AD63" s="212"/>
      <c r="AE63" s="213"/>
    </row>
    <row r="64" spans="1:31" s="214" customFormat="1" ht="15" x14ac:dyDescent="0.25">
      <c r="A64" s="571"/>
      <c r="B64" s="573"/>
      <c r="C64" s="228"/>
      <c r="D64" s="232"/>
      <c r="E64" s="232"/>
      <c r="F64" s="232"/>
      <c r="G64" s="232"/>
      <c r="H64" s="232"/>
      <c r="I64" s="232"/>
      <c r="J64" s="232"/>
      <c r="K64" s="232"/>
      <c r="L64" s="232"/>
      <c r="M64" s="232"/>
      <c r="N64" s="232"/>
      <c r="O64" s="232"/>
      <c r="P64" s="229"/>
      <c r="Q64" s="225"/>
      <c r="R64" s="221"/>
      <c r="S64" s="212"/>
      <c r="T64" s="212"/>
      <c r="U64" s="212"/>
      <c r="V64" s="212"/>
      <c r="W64" s="212"/>
      <c r="X64" s="212"/>
      <c r="Y64" s="212"/>
      <c r="Z64" s="212"/>
      <c r="AA64" s="212"/>
      <c r="AB64" s="212"/>
      <c r="AC64" s="212"/>
      <c r="AD64" s="212"/>
      <c r="AE64" s="213"/>
    </row>
    <row r="65" spans="1:31" s="214" customFormat="1" ht="15" x14ac:dyDescent="0.25">
      <c r="A65" s="570"/>
      <c r="B65" s="572"/>
      <c r="C65" s="228"/>
      <c r="D65" s="218"/>
      <c r="E65" s="218"/>
      <c r="F65" s="218"/>
      <c r="G65" s="218"/>
      <c r="H65" s="218"/>
      <c r="I65" s="218"/>
      <c r="J65" s="218"/>
      <c r="K65" s="218"/>
      <c r="L65" s="218"/>
      <c r="M65" s="218"/>
      <c r="N65" s="218"/>
      <c r="O65" s="218"/>
      <c r="P65" s="229"/>
      <c r="Q65" s="220"/>
      <c r="R65" s="221"/>
      <c r="S65" s="212"/>
      <c r="T65" s="212"/>
      <c r="U65" s="212"/>
      <c r="V65" s="212"/>
      <c r="W65" s="212"/>
      <c r="X65" s="212"/>
      <c r="Y65" s="212"/>
      <c r="Z65" s="212"/>
      <c r="AA65" s="212"/>
      <c r="AB65" s="212"/>
      <c r="AC65" s="212"/>
      <c r="AD65" s="212"/>
      <c r="AE65" s="213"/>
    </row>
    <row r="66" spans="1:31" s="214" customFormat="1" ht="15" x14ac:dyDescent="0.25">
      <c r="A66" s="571"/>
      <c r="B66" s="573"/>
      <c r="C66" s="228"/>
      <c r="D66" s="232"/>
      <c r="E66" s="232"/>
      <c r="F66" s="232"/>
      <c r="G66" s="232"/>
      <c r="H66" s="232"/>
      <c r="I66" s="232"/>
      <c r="J66" s="232"/>
      <c r="K66" s="232"/>
      <c r="L66" s="232"/>
      <c r="M66" s="232"/>
      <c r="N66" s="232"/>
      <c r="O66" s="232"/>
      <c r="P66" s="229"/>
      <c r="Q66" s="225"/>
      <c r="R66" s="221"/>
      <c r="S66" s="212"/>
      <c r="T66" s="212"/>
      <c r="U66" s="212"/>
      <c r="V66" s="212"/>
      <c r="W66" s="212"/>
      <c r="X66" s="212"/>
      <c r="Y66" s="212"/>
      <c r="Z66" s="212"/>
      <c r="AA66" s="212"/>
      <c r="AB66" s="212"/>
      <c r="AC66" s="212"/>
      <c r="AD66" s="212"/>
      <c r="AE66" s="213"/>
    </row>
    <row r="67" spans="1:31" s="214" customFormat="1" ht="15" x14ac:dyDescent="0.25">
      <c r="A67" s="570"/>
      <c r="B67" s="572"/>
      <c r="C67" s="228"/>
      <c r="D67" s="218"/>
      <c r="E67" s="218"/>
      <c r="F67" s="218"/>
      <c r="G67" s="218"/>
      <c r="H67" s="218"/>
      <c r="I67" s="218"/>
      <c r="J67" s="218"/>
      <c r="K67" s="218"/>
      <c r="L67" s="218"/>
      <c r="M67" s="218"/>
      <c r="N67" s="218"/>
      <c r="O67" s="218"/>
      <c r="P67" s="229"/>
      <c r="Q67" s="220"/>
      <c r="R67" s="221"/>
      <c r="S67" s="212"/>
      <c r="T67" s="212"/>
      <c r="U67" s="212"/>
      <c r="V67" s="212"/>
      <c r="W67" s="212"/>
      <c r="X67" s="212"/>
      <c r="Y67" s="212"/>
      <c r="Z67" s="212"/>
      <c r="AA67" s="212"/>
      <c r="AB67" s="212"/>
      <c r="AC67" s="212"/>
      <c r="AD67" s="212"/>
      <c r="AE67" s="213"/>
    </row>
    <row r="68" spans="1:31" s="214" customFormat="1" ht="15" x14ac:dyDescent="0.25">
      <c r="A68" s="571"/>
      <c r="B68" s="573"/>
      <c r="C68" s="228"/>
      <c r="D68" s="232"/>
      <c r="E68" s="232"/>
      <c r="F68" s="232"/>
      <c r="G68" s="232"/>
      <c r="H68" s="232"/>
      <c r="I68" s="232"/>
      <c r="J68" s="232"/>
      <c r="K68" s="232"/>
      <c r="L68" s="232"/>
      <c r="M68" s="232"/>
      <c r="N68" s="232"/>
      <c r="O68" s="232"/>
      <c r="P68" s="229"/>
      <c r="Q68" s="225"/>
      <c r="R68" s="221"/>
      <c r="S68" s="212"/>
      <c r="T68" s="212"/>
      <c r="U68" s="212"/>
      <c r="V68" s="212"/>
      <c r="W68" s="212"/>
      <c r="X68" s="212"/>
      <c r="Y68" s="212"/>
      <c r="Z68" s="212"/>
      <c r="AA68" s="212"/>
      <c r="AB68" s="212"/>
      <c r="AC68" s="212"/>
      <c r="AD68" s="212"/>
      <c r="AE68" s="213"/>
    </row>
    <row r="69" spans="1:31" s="214" customFormat="1" ht="15" x14ac:dyDescent="0.25">
      <c r="A69" s="211"/>
      <c r="B69" s="233"/>
      <c r="C69" s="234"/>
      <c r="D69" s="235">
        <f t="shared" ref="D69:P69" si="10">D58+D60+D62</f>
        <v>0</v>
      </c>
      <c r="E69" s="235">
        <f t="shared" si="10"/>
        <v>0</v>
      </c>
      <c r="F69" s="235">
        <f t="shared" si="10"/>
        <v>0</v>
      </c>
      <c r="G69" s="235">
        <f t="shared" si="10"/>
        <v>0</v>
      </c>
      <c r="H69" s="235">
        <f t="shared" si="10"/>
        <v>0</v>
      </c>
      <c r="I69" s="235">
        <f t="shared" si="10"/>
        <v>0</v>
      </c>
      <c r="J69" s="235">
        <f t="shared" si="10"/>
        <v>0</v>
      </c>
      <c r="K69" s="235">
        <f t="shared" si="10"/>
        <v>2.5000000000000001E-2</v>
      </c>
      <c r="L69" s="235">
        <f t="shared" si="10"/>
        <v>2.9000000000000001E-2</v>
      </c>
      <c r="M69" s="235">
        <f t="shared" si="10"/>
        <v>4.2000000000000003E-2</v>
      </c>
      <c r="N69" s="235">
        <f>N58+N60+N62</f>
        <v>1.2E-2</v>
      </c>
      <c r="O69" s="235">
        <f t="shared" si="10"/>
        <v>1.2E-2</v>
      </c>
      <c r="P69" s="235">
        <f t="shared" si="10"/>
        <v>0.12000000000000001</v>
      </c>
      <c r="Q69" s="211"/>
      <c r="R69" s="221"/>
      <c r="S69" s="212"/>
      <c r="T69" s="212"/>
      <c r="U69" s="212"/>
      <c r="V69" s="212"/>
      <c r="W69" s="212"/>
      <c r="X69" s="212"/>
      <c r="Y69" s="212"/>
      <c r="Z69" s="212"/>
      <c r="AA69" s="212"/>
      <c r="AB69" s="212"/>
      <c r="AC69" s="212"/>
      <c r="AD69" s="212"/>
      <c r="AE69" s="213"/>
    </row>
    <row r="70" spans="1:31" s="214" customFormat="1" ht="15" x14ac:dyDescent="0.25">
      <c r="A70" s="211"/>
      <c r="B70" s="236"/>
      <c r="C70" s="237" t="s">
        <v>50</v>
      </c>
      <c r="D70" s="238">
        <f>D69*1/$B$35</f>
        <v>0</v>
      </c>
      <c r="E70" s="238">
        <f t="shared" ref="E70:O70" si="11">E69*1/$B$35</f>
        <v>0</v>
      </c>
      <c r="F70" s="238">
        <f t="shared" si="11"/>
        <v>0</v>
      </c>
      <c r="G70" s="238">
        <f t="shared" si="11"/>
        <v>0</v>
      </c>
      <c r="H70" s="238">
        <f t="shared" si="11"/>
        <v>0</v>
      </c>
      <c r="I70" s="238">
        <f t="shared" si="11"/>
        <v>0</v>
      </c>
      <c r="J70" s="238">
        <f t="shared" si="11"/>
        <v>0</v>
      </c>
      <c r="K70" s="238">
        <f t="shared" si="11"/>
        <v>0.20833333333333334</v>
      </c>
      <c r="L70" s="238">
        <f t="shared" si="11"/>
        <v>0.2416666666666667</v>
      </c>
      <c r="M70" s="238">
        <f t="shared" si="11"/>
        <v>0.35000000000000003</v>
      </c>
      <c r="N70" s="238">
        <f t="shared" si="11"/>
        <v>0.1</v>
      </c>
      <c r="O70" s="238">
        <f t="shared" si="11"/>
        <v>0.1</v>
      </c>
      <c r="P70" s="239">
        <f>SUM(D70:O70)</f>
        <v>1</v>
      </c>
      <c r="Q70" s="240"/>
      <c r="R70" s="211"/>
      <c r="S70" s="212"/>
      <c r="T70" s="212"/>
      <c r="U70" s="212"/>
      <c r="V70" s="212"/>
      <c r="W70" s="212"/>
      <c r="X70" s="212"/>
      <c r="Y70" s="212"/>
      <c r="Z70" s="212"/>
      <c r="AA70" s="212"/>
      <c r="AB70" s="212"/>
      <c r="AC70" s="212"/>
      <c r="AD70" s="212"/>
      <c r="AE70" s="213"/>
    </row>
    <row r="71" spans="1:31" s="214" customFormat="1" ht="15" x14ac:dyDescent="0.25">
      <c r="A71" s="240"/>
      <c r="B71" s="241"/>
      <c r="C71" s="241"/>
      <c r="D71" s="241"/>
      <c r="E71" s="241"/>
      <c r="F71" s="241"/>
      <c r="G71" s="241"/>
      <c r="H71" s="241"/>
      <c r="I71" s="241"/>
      <c r="J71" s="241"/>
      <c r="K71" s="241"/>
      <c r="L71" s="241"/>
      <c r="M71" s="241"/>
      <c r="N71" s="241"/>
      <c r="O71" s="241"/>
      <c r="P71" s="241"/>
      <c r="Q71" s="240"/>
      <c r="R71" s="240"/>
      <c r="S71" s="212"/>
      <c r="T71" s="212"/>
      <c r="U71" s="212"/>
      <c r="V71" s="212"/>
      <c r="W71" s="212"/>
      <c r="X71" s="212"/>
      <c r="Y71" s="212"/>
      <c r="Z71" s="212"/>
      <c r="AA71" s="212"/>
      <c r="AB71" s="212"/>
      <c r="AC71" s="212"/>
      <c r="AD71" s="212"/>
      <c r="AE71" s="213"/>
    </row>
    <row r="72" spans="1:31" s="214" customFormat="1" ht="15" x14ac:dyDescent="0.25">
      <c r="A72" s="220"/>
      <c r="B72" s="242"/>
      <c r="C72" s="242"/>
      <c r="D72" s="235">
        <f t="shared" ref="D72:P72" si="12">+D57+D59+D61</f>
        <v>0</v>
      </c>
      <c r="E72" s="235">
        <f t="shared" si="12"/>
        <v>0</v>
      </c>
      <c r="F72" s="235">
        <f t="shared" si="12"/>
        <v>0</v>
      </c>
      <c r="G72" s="235">
        <f t="shared" si="12"/>
        <v>0</v>
      </c>
      <c r="H72" s="235">
        <f t="shared" si="12"/>
        <v>0</v>
      </c>
      <c r="I72" s="235">
        <f t="shared" si="12"/>
        <v>0</v>
      </c>
      <c r="J72" s="235">
        <f t="shared" si="12"/>
        <v>0</v>
      </c>
      <c r="K72" s="235">
        <f t="shared" si="12"/>
        <v>2.5000000000000001E-2</v>
      </c>
      <c r="L72" s="235">
        <f t="shared" si="12"/>
        <v>2.9000000000000001E-2</v>
      </c>
      <c r="M72" s="235">
        <f t="shared" si="12"/>
        <v>4.2000000000000003E-2</v>
      </c>
      <c r="N72" s="235">
        <f t="shared" si="12"/>
        <v>1.2E-2</v>
      </c>
      <c r="O72" s="235">
        <f t="shared" si="12"/>
        <v>1.2E-2</v>
      </c>
      <c r="P72" s="235">
        <f t="shared" si="12"/>
        <v>0.12000000000000001</v>
      </c>
      <c r="Q72" s="220"/>
      <c r="R72" s="220"/>
      <c r="S72" s="212"/>
      <c r="T72" s="212"/>
      <c r="U72" s="212"/>
      <c r="V72" s="212"/>
      <c r="W72" s="212"/>
      <c r="X72" s="212"/>
      <c r="Y72" s="212"/>
      <c r="Z72" s="212"/>
      <c r="AA72" s="212"/>
      <c r="AB72" s="212"/>
      <c r="AC72" s="212"/>
      <c r="AD72" s="212"/>
      <c r="AE72" s="213"/>
    </row>
    <row r="73" spans="1:31" s="214" customFormat="1" ht="15" x14ac:dyDescent="0.25">
      <c r="A73" s="220"/>
      <c r="B73" s="242"/>
      <c r="C73" s="237" t="s">
        <v>48</v>
      </c>
      <c r="D73" s="238">
        <f>D72*1/$B$35</f>
        <v>0</v>
      </c>
      <c r="E73" s="238">
        <f t="shared" ref="E73:O73" si="13">E72*1/$B$35</f>
        <v>0</v>
      </c>
      <c r="F73" s="238">
        <f t="shared" si="13"/>
        <v>0</v>
      </c>
      <c r="G73" s="238">
        <f t="shared" si="13"/>
        <v>0</v>
      </c>
      <c r="H73" s="238">
        <f t="shared" si="13"/>
        <v>0</v>
      </c>
      <c r="I73" s="238">
        <f t="shared" si="13"/>
        <v>0</v>
      </c>
      <c r="J73" s="238">
        <f t="shared" si="13"/>
        <v>0</v>
      </c>
      <c r="K73" s="238">
        <f t="shared" si="13"/>
        <v>0.20833333333333334</v>
      </c>
      <c r="L73" s="238">
        <f t="shared" si="13"/>
        <v>0.2416666666666667</v>
      </c>
      <c r="M73" s="238">
        <f t="shared" si="13"/>
        <v>0.35000000000000003</v>
      </c>
      <c r="N73" s="238">
        <f t="shared" si="13"/>
        <v>0.1</v>
      </c>
      <c r="O73" s="238">
        <f t="shared" si="13"/>
        <v>0.1</v>
      </c>
      <c r="P73" s="239">
        <f>SUM(D73:O73)</f>
        <v>1</v>
      </c>
      <c r="Q73" s="220"/>
      <c r="R73" s="220"/>
      <c r="S73" s="212"/>
      <c r="T73" s="212"/>
      <c r="U73" s="212"/>
      <c r="V73" s="212"/>
      <c r="W73" s="212"/>
      <c r="X73" s="212"/>
      <c r="Y73" s="212"/>
      <c r="Z73" s="212"/>
      <c r="AA73" s="212"/>
      <c r="AB73" s="212"/>
      <c r="AC73" s="212"/>
      <c r="AD73" s="212"/>
      <c r="AE73" s="213"/>
    </row>
    <row r="74" spans="1:31" s="214" customFormat="1" ht="15" x14ac:dyDescent="0.25">
      <c r="A74" s="212"/>
      <c r="Q74" s="212"/>
      <c r="R74" s="212"/>
      <c r="S74" s="212"/>
      <c r="T74" s="212"/>
      <c r="U74" s="212"/>
      <c r="V74" s="212"/>
      <c r="W74" s="212"/>
      <c r="X74" s="212"/>
      <c r="Y74" s="212"/>
      <c r="Z74" s="212"/>
      <c r="AA74" s="212"/>
      <c r="AB74" s="212"/>
      <c r="AC74" s="212"/>
      <c r="AD74" s="212"/>
      <c r="AE74" s="213"/>
    </row>
    <row r="75" spans="1:31" s="214" customFormat="1" ht="15" x14ac:dyDescent="0.25">
      <c r="A75" s="212"/>
      <c r="Q75" s="212"/>
      <c r="R75" s="212"/>
      <c r="S75" s="212"/>
      <c r="T75" s="212"/>
      <c r="U75" s="212"/>
      <c r="V75" s="212"/>
      <c r="W75" s="212"/>
      <c r="X75" s="212"/>
      <c r="Y75" s="212"/>
      <c r="Z75" s="212"/>
      <c r="AA75" s="212"/>
      <c r="AB75" s="212"/>
      <c r="AC75" s="212"/>
      <c r="AD75" s="212"/>
      <c r="AE75" s="213"/>
    </row>
    <row r="76" spans="1:31" s="214" customFormat="1" ht="15" x14ac:dyDescent="0.25">
      <c r="A76" s="212"/>
      <c r="Q76" s="212"/>
      <c r="R76" s="212"/>
      <c r="S76" s="212"/>
      <c r="T76" s="212"/>
      <c r="U76" s="212"/>
      <c r="V76" s="212"/>
      <c r="W76" s="212"/>
      <c r="X76" s="212"/>
      <c r="Y76" s="212"/>
      <c r="Z76" s="212"/>
      <c r="AA76" s="212"/>
      <c r="AB76" s="212"/>
      <c r="AC76" s="212"/>
      <c r="AD76" s="212"/>
      <c r="AE76" s="213"/>
    </row>
    <row r="77" spans="1:31" x14ac:dyDescent="0.25">
      <c r="Q77" s="210"/>
      <c r="R77" s="210"/>
      <c r="S77" s="210"/>
      <c r="T77" s="210"/>
      <c r="U77" s="210"/>
      <c r="V77" s="210"/>
      <c r="W77" s="210"/>
      <c r="X77" s="210"/>
      <c r="Y77" s="210"/>
      <c r="Z77" s="210"/>
      <c r="AA77" s="210"/>
      <c r="AB77" s="210"/>
      <c r="AC77" s="210"/>
      <c r="AD77" s="210"/>
      <c r="AE77" s="210"/>
    </row>
    <row r="78" spans="1:31" x14ac:dyDescent="0.25">
      <c r="Q78" s="210"/>
      <c r="R78" s="210"/>
      <c r="S78" s="210"/>
      <c r="T78" s="210"/>
      <c r="U78" s="210"/>
      <c r="V78" s="210"/>
      <c r="W78" s="210"/>
      <c r="X78" s="210"/>
      <c r="Y78" s="210"/>
      <c r="Z78" s="210"/>
      <c r="AA78" s="210"/>
      <c r="AB78" s="210"/>
      <c r="AC78" s="210"/>
      <c r="AD78" s="210"/>
      <c r="AE78" s="210"/>
    </row>
    <row r="79" spans="1:31" x14ac:dyDescent="0.25">
      <c r="Q79" s="210"/>
      <c r="R79" s="210"/>
      <c r="S79" s="210"/>
      <c r="T79" s="210"/>
      <c r="U79" s="210"/>
      <c r="V79" s="210"/>
      <c r="W79" s="210"/>
      <c r="X79" s="210"/>
      <c r="Y79" s="210"/>
      <c r="Z79" s="210"/>
      <c r="AA79" s="210"/>
      <c r="AB79" s="210"/>
      <c r="AC79" s="210"/>
      <c r="AD79" s="210"/>
      <c r="AE79" s="210"/>
    </row>
    <row r="80" spans="1:31" x14ac:dyDescent="0.25">
      <c r="Q80" s="210"/>
      <c r="R80" s="210"/>
      <c r="S80" s="210"/>
      <c r="T80" s="210"/>
      <c r="U80" s="210"/>
      <c r="V80" s="210"/>
      <c r="W80" s="210"/>
      <c r="X80" s="210"/>
      <c r="Y80" s="210"/>
      <c r="Z80" s="210"/>
      <c r="AA80" s="210"/>
      <c r="AB80" s="210"/>
      <c r="AC80" s="210"/>
      <c r="AD80" s="210"/>
      <c r="AE80" s="210"/>
    </row>
    <row r="81" spans="17:31" x14ac:dyDescent="0.25">
      <c r="Q81" s="210"/>
      <c r="R81" s="210"/>
      <c r="S81" s="210"/>
      <c r="T81" s="210"/>
      <c r="U81" s="210"/>
      <c r="V81" s="210"/>
      <c r="W81" s="210"/>
      <c r="X81" s="210"/>
      <c r="Y81" s="210"/>
      <c r="Z81" s="210"/>
      <c r="AA81" s="210"/>
      <c r="AB81" s="210"/>
      <c r="AC81" s="210"/>
      <c r="AD81" s="210"/>
      <c r="AE81" s="210"/>
    </row>
    <row r="82" spans="17:31" x14ac:dyDescent="0.25">
      <c r="Q82" s="210"/>
      <c r="R82" s="210"/>
      <c r="S82" s="210"/>
      <c r="T82" s="210"/>
      <c r="U82" s="210"/>
      <c r="V82" s="210"/>
      <c r="W82" s="210"/>
      <c r="X82" s="210"/>
      <c r="Y82" s="210"/>
      <c r="Z82" s="210"/>
      <c r="AA82" s="210"/>
      <c r="AB82" s="210"/>
      <c r="AC82" s="210"/>
      <c r="AD82" s="210"/>
      <c r="AE82" s="210"/>
    </row>
    <row r="83" spans="17:31" x14ac:dyDescent="0.25">
      <c r="Q83" s="210"/>
      <c r="R83" s="210"/>
      <c r="S83" s="210"/>
      <c r="T83" s="210"/>
      <c r="U83" s="210"/>
      <c r="V83" s="210"/>
      <c r="W83" s="210"/>
      <c r="X83" s="210"/>
      <c r="Y83" s="210"/>
      <c r="Z83" s="210"/>
      <c r="AA83" s="210"/>
      <c r="AB83" s="210"/>
      <c r="AC83" s="210"/>
      <c r="AD83" s="210"/>
      <c r="AE83" s="210"/>
    </row>
    <row r="84" spans="17:31" x14ac:dyDescent="0.25">
      <c r="Q84" s="210"/>
      <c r="R84" s="210"/>
      <c r="S84" s="210"/>
      <c r="T84" s="210"/>
      <c r="U84" s="210"/>
      <c r="V84" s="210"/>
      <c r="W84" s="210"/>
      <c r="X84" s="210"/>
      <c r="Y84" s="210"/>
      <c r="Z84" s="210"/>
      <c r="AA84" s="210"/>
      <c r="AB84" s="210"/>
      <c r="AC84" s="210"/>
      <c r="AD84" s="210"/>
      <c r="AE84" s="210"/>
    </row>
  </sheetData>
  <mergeCells count="94">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19:AE19"/>
    <mergeCell ref="B20:O20"/>
    <mergeCell ref="P20:AE20"/>
    <mergeCell ref="A27:AE27"/>
    <mergeCell ref="A28:A29"/>
    <mergeCell ref="B28:C29"/>
    <mergeCell ref="D28:O28"/>
    <mergeCell ref="P28:P29"/>
    <mergeCell ref="Q28:X29"/>
    <mergeCell ref="Y28:AE29"/>
    <mergeCell ref="R15:X15"/>
    <mergeCell ref="Y15:Z15"/>
    <mergeCell ref="C16:AB16"/>
    <mergeCell ref="A17:B17"/>
    <mergeCell ref="C17:AE17"/>
    <mergeCell ref="O8:P8"/>
    <mergeCell ref="M9:N9"/>
    <mergeCell ref="O9:P9"/>
    <mergeCell ref="A15:B15"/>
    <mergeCell ref="C15:K15"/>
    <mergeCell ref="L15:Q15"/>
    <mergeCell ref="AB1:AE1"/>
    <mergeCell ref="B2:AA2"/>
    <mergeCell ref="AB2:AE2"/>
    <mergeCell ref="B3:AA4"/>
    <mergeCell ref="AB3:AE3"/>
    <mergeCell ref="AB4:AE4"/>
    <mergeCell ref="C55:P55"/>
    <mergeCell ref="A57:A58"/>
    <mergeCell ref="B57:B58"/>
    <mergeCell ref="A1:A4"/>
    <mergeCell ref="B1:AA1"/>
    <mergeCell ref="A11:B13"/>
    <mergeCell ref="C11:AE13"/>
    <mergeCell ref="A7:B9"/>
    <mergeCell ref="C7:C9"/>
    <mergeCell ref="D7:H9"/>
    <mergeCell ref="I7:J9"/>
    <mergeCell ref="K7:L9"/>
    <mergeCell ref="M7:N7"/>
    <mergeCell ref="AA15:AE15"/>
    <mergeCell ref="O7:P7"/>
    <mergeCell ref="M8:N8"/>
    <mergeCell ref="A59:A60"/>
    <mergeCell ref="B59:B60"/>
    <mergeCell ref="A61:A62"/>
    <mergeCell ref="B61:B62"/>
    <mergeCell ref="A55:A56"/>
    <mergeCell ref="B55:B56"/>
    <mergeCell ref="A63:A64"/>
    <mergeCell ref="B63:B64"/>
    <mergeCell ref="A65:A66"/>
    <mergeCell ref="B65:B66"/>
    <mergeCell ref="A67:A68"/>
    <mergeCell ref="B67:B68"/>
  </mergeCells>
  <dataValidations count="3">
    <dataValidation type="list" allowBlank="1" showInputMessage="1" showErrorMessage="1" sqref="C7" xr:uid="{3F390914-902A-4351-8576-43251B41905A}">
      <formula1>$B$21:$M$21</formula1>
    </dataValidation>
    <dataValidation type="textLength" operator="lessThanOrEqual" allowBlank="1" showInputMessage="1" showErrorMessage="1" errorTitle="Máximo 2.000 caracteres" error="Máximo 2.000 caracteres" promptTitle="2.000 caracteres" sqref="Q30:Q31" xr:uid="{B7B048EB-86F8-45F9-80A4-1FC7D4E410B0}">
      <formula1>2000</formula1>
    </dataValidation>
    <dataValidation type="textLength" operator="lessThanOrEqual" allowBlank="1" showInputMessage="1" showErrorMessage="1" errorTitle="Máximo 2.000 caracteres" error="Máximo 2.000 caracteres" sqref="AC35 Q35 Y35 Q45 Q41 Q43" xr:uid="{B14F39E2-2E6F-4D81-8BAD-0A0C9C36196A}">
      <formula1>2000</formula1>
    </dataValidation>
  </dataValidations>
  <hyperlinks>
    <hyperlink ref="Y45:AE46" r:id="rId1" display="https://secretariadistritald.sharepoint.com/:w:/s/BogotCaminaSegura/EcFVCbU2lzBFoxGrIvBFfJ8BjE6wtqYX7lrZciB5HzjAWw?e=dGLLhb" xr:uid="{660C7757-C82D-4A9F-B7F0-7B61B8475D05}"/>
    <hyperlink ref="Y41" r:id="rId2" display="Actividad 11" xr:uid="{7B00794F-CFD6-48E1-AEE0-F642D5EEE8F8}"/>
  </hyperlinks>
  <printOptions horizontalCentered="1"/>
  <pageMargins left="0.39370078740157483" right="0.39370078740157483" top="0.39370078740157483" bottom="0.39370078740157483" header="0" footer="0"/>
  <pageSetup paperSize="9" scale="21"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4007B8F8-8DB2-4830-9495-E1B7D913CEF5}">
          <x14:formula1>
            <xm:f>listas!$C$2:$C$20</xm:f>
          </x14:formula1>
          <xm:sqref>AA15:AE15</xm:sqref>
        </x14:dataValidation>
        <x14:dataValidation type="list" allowBlank="1" showInputMessage="1" showErrorMessage="1" xr:uid="{3882BEAF-586D-4115-96E4-CC2F91C4C666}">
          <x14:formula1>
            <xm:f>listas!$B$2:$B$8</xm:f>
          </x14:formula1>
          <xm:sqref>R15:X15</xm:sqref>
        </x14:dataValidation>
        <x14:dataValidation type="list" allowBlank="1" showInputMessage="1" showErrorMessage="1" xr:uid="{BC47CFDB-2DB9-4CA2-B1F1-63A62C8F6373}">
          <x14:formula1>
            <xm:f>listas!$A$2:$A$6</xm:f>
          </x14:formula1>
          <xm:sqref>C15:K15</xm:sqref>
        </x14:dataValidation>
        <x14:dataValidation type="list" allowBlank="1" showInputMessage="1" showErrorMessage="1" xr:uid="{4C0DF311-F1EF-4F11-A3C7-97F5DD398026}">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2FE3-AE02-41A2-A993-244B17401916}">
  <sheetPr>
    <tabColor rgb="FFE674EC"/>
    <pageSetUpPr fitToPage="1"/>
  </sheetPr>
  <dimension ref="A1:AO205"/>
  <sheetViews>
    <sheetView showGridLines="0" view="pageBreakPreview" topLeftCell="C1" zoomScale="70" zoomScaleNormal="60" zoomScaleSheetLayoutView="70" workbookViewId="0">
      <selection activeCell="Q47" sqref="Q47:X48"/>
    </sheetView>
  </sheetViews>
  <sheetFormatPr baseColWidth="10" defaultColWidth="10.85546875" defaultRowHeight="14.25" x14ac:dyDescent="0.25"/>
  <cols>
    <col min="1" max="1" width="49.28515625" style="125" customWidth="1"/>
    <col min="2" max="2" width="20.5703125" style="125" customWidth="1"/>
    <col min="3" max="14" width="20.7109375" style="125" customWidth="1"/>
    <col min="15" max="15" width="20.5703125" style="125" customWidth="1"/>
    <col min="16" max="16" width="32.42578125" style="125" customWidth="1"/>
    <col min="17" max="27" width="18.140625" style="125" customWidth="1"/>
    <col min="28" max="28" width="22.7109375" style="125" customWidth="1"/>
    <col min="29" max="29" width="19" style="125" customWidth="1"/>
    <col min="30" max="30" width="19.42578125" style="125" customWidth="1"/>
    <col min="31" max="31" width="20.5703125" style="125" customWidth="1"/>
    <col min="32" max="32" width="22.85546875" style="125" customWidth="1"/>
    <col min="33" max="33" width="18.42578125" style="125" bestFit="1" customWidth="1"/>
    <col min="34" max="34" width="8.42578125" style="125" customWidth="1"/>
    <col min="35" max="35" width="18.42578125" style="125" bestFit="1" customWidth="1"/>
    <col min="36" max="36" width="5.7109375" style="125" customWidth="1"/>
    <col min="37" max="37" width="18.42578125" style="125" bestFit="1" customWidth="1"/>
    <col min="38" max="38" width="4.7109375" style="125" customWidth="1"/>
    <col min="39" max="39" width="23" style="125" bestFit="1" customWidth="1"/>
    <col min="40" max="40" width="10.85546875" style="125"/>
    <col min="41" max="41" width="18.42578125" style="125" bestFit="1" customWidth="1"/>
    <col min="42" max="42" width="16.140625" style="125" customWidth="1"/>
    <col min="43" max="16384" width="10.85546875" style="125"/>
  </cols>
  <sheetData>
    <row r="1" spans="1:31" ht="32.25" customHeight="1" thickBot="1" x14ac:dyDescent="0.3">
      <c r="A1" s="601"/>
      <c r="B1" s="604" t="s">
        <v>121</v>
      </c>
      <c r="C1" s="605"/>
      <c r="D1" s="605"/>
      <c r="E1" s="605"/>
      <c r="F1" s="605"/>
      <c r="G1" s="605"/>
      <c r="H1" s="605"/>
      <c r="I1" s="605"/>
      <c r="J1" s="605"/>
      <c r="K1" s="605"/>
      <c r="L1" s="605"/>
      <c r="M1" s="605"/>
      <c r="N1" s="605"/>
      <c r="O1" s="605"/>
      <c r="P1" s="605"/>
      <c r="Q1" s="605"/>
      <c r="R1" s="605"/>
      <c r="S1" s="605"/>
      <c r="T1" s="605"/>
      <c r="U1" s="605"/>
      <c r="V1" s="605"/>
      <c r="W1" s="605"/>
      <c r="X1" s="605"/>
      <c r="Y1" s="605"/>
      <c r="Z1" s="605"/>
      <c r="AA1" s="606"/>
      <c r="AB1" s="607" t="s">
        <v>122</v>
      </c>
      <c r="AC1" s="608"/>
      <c r="AD1" s="608"/>
      <c r="AE1" s="609"/>
    </row>
    <row r="2" spans="1:31" ht="30.75" customHeight="1" thickBot="1" x14ac:dyDescent="0.3">
      <c r="A2" s="602"/>
      <c r="B2" s="604" t="s">
        <v>123</v>
      </c>
      <c r="C2" s="605"/>
      <c r="D2" s="605"/>
      <c r="E2" s="605"/>
      <c r="F2" s="605"/>
      <c r="G2" s="605"/>
      <c r="H2" s="605"/>
      <c r="I2" s="605"/>
      <c r="J2" s="605"/>
      <c r="K2" s="605"/>
      <c r="L2" s="605"/>
      <c r="M2" s="605"/>
      <c r="N2" s="605"/>
      <c r="O2" s="605"/>
      <c r="P2" s="605"/>
      <c r="Q2" s="605"/>
      <c r="R2" s="605"/>
      <c r="S2" s="605"/>
      <c r="T2" s="605"/>
      <c r="U2" s="605"/>
      <c r="V2" s="605"/>
      <c r="W2" s="605"/>
      <c r="X2" s="605"/>
      <c r="Y2" s="605"/>
      <c r="Z2" s="605"/>
      <c r="AA2" s="606"/>
      <c r="AB2" s="607" t="s">
        <v>124</v>
      </c>
      <c r="AC2" s="608"/>
      <c r="AD2" s="608"/>
      <c r="AE2" s="609"/>
    </row>
    <row r="3" spans="1:31" ht="24" customHeight="1" thickBot="1" x14ac:dyDescent="0.3">
      <c r="A3" s="602"/>
      <c r="B3" s="610" t="s">
        <v>125</v>
      </c>
      <c r="C3" s="611"/>
      <c r="D3" s="611"/>
      <c r="E3" s="611"/>
      <c r="F3" s="611"/>
      <c r="G3" s="611"/>
      <c r="H3" s="611"/>
      <c r="I3" s="611"/>
      <c r="J3" s="611"/>
      <c r="K3" s="611"/>
      <c r="L3" s="611"/>
      <c r="M3" s="611"/>
      <c r="N3" s="611"/>
      <c r="O3" s="611"/>
      <c r="P3" s="611"/>
      <c r="Q3" s="611"/>
      <c r="R3" s="611"/>
      <c r="S3" s="611"/>
      <c r="T3" s="611"/>
      <c r="U3" s="611"/>
      <c r="V3" s="611"/>
      <c r="W3" s="611"/>
      <c r="X3" s="611"/>
      <c r="Y3" s="611"/>
      <c r="Z3" s="611"/>
      <c r="AA3" s="612"/>
      <c r="AB3" s="607" t="s">
        <v>126</v>
      </c>
      <c r="AC3" s="608"/>
      <c r="AD3" s="608"/>
      <c r="AE3" s="609"/>
    </row>
    <row r="4" spans="1:31" ht="21.75" customHeight="1" thickBot="1" x14ac:dyDescent="0.3">
      <c r="A4" s="603"/>
      <c r="B4" s="613"/>
      <c r="C4" s="614"/>
      <c r="D4" s="614"/>
      <c r="E4" s="614"/>
      <c r="F4" s="614"/>
      <c r="G4" s="614"/>
      <c r="H4" s="614"/>
      <c r="I4" s="614"/>
      <c r="J4" s="614"/>
      <c r="K4" s="614"/>
      <c r="L4" s="614"/>
      <c r="M4" s="614"/>
      <c r="N4" s="614"/>
      <c r="O4" s="614"/>
      <c r="P4" s="614"/>
      <c r="Q4" s="614"/>
      <c r="R4" s="614"/>
      <c r="S4" s="614"/>
      <c r="T4" s="614"/>
      <c r="U4" s="614"/>
      <c r="V4" s="614"/>
      <c r="W4" s="614"/>
      <c r="X4" s="614"/>
      <c r="Y4" s="614"/>
      <c r="Z4" s="614"/>
      <c r="AA4" s="615"/>
      <c r="AB4" s="607" t="s">
        <v>127</v>
      </c>
      <c r="AC4" s="608"/>
      <c r="AD4" s="608"/>
      <c r="AE4" s="6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31" ht="9" customHeight="1" thickBot="1" x14ac:dyDescent="0.3">
      <c r="A6" s="23"/>
      <c r="B6" s="20"/>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31" ht="13.9" customHeight="1" x14ac:dyDescent="0.25">
      <c r="A7" s="616" t="s">
        <v>4</v>
      </c>
      <c r="B7" s="617"/>
      <c r="C7" s="628" t="s">
        <v>128</v>
      </c>
      <c r="D7" s="631" t="s">
        <v>6</v>
      </c>
      <c r="E7" s="632"/>
      <c r="F7" s="632"/>
      <c r="G7" s="632"/>
      <c r="H7" s="633"/>
      <c r="I7" s="640">
        <v>45667</v>
      </c>
      <c r="J7" s="641"/>
      <c r="K7" s="631" t="s">
        <v>8</v>
      </c>
      <c r="L7" s="633"/>
      <c r="M7" s="646" t="s">
        <v>129</v>
      </c>
      <c r="N7" s="647"/>
      <c r="O7" s="651"/>
      <c r="P7" s="652"/>
      <c r="Q7" s="20"/>
      <c r="R7" s="20"/>
      <c r="S7" s="20"/>
      <c r="T7" s="20"/>
      <c r="U7" s="20"/>
      <c r="V7" s="20"/>
      <c r="W7" s="20"/>
      <c r="X7" s="20"/>
      <c r="Y7" s="20"/>
      <c r="Z7" s="20"/>
      <c r="AA7" s="20"/>
      <c r="AB7" s="20"/>
      <c r="AD7" s="21"/>
      <c r="AE7" s="22"/>
    </row>
    <row r="8" spans="1:31" ht="13.9" customHeight="1" x14ac:dyDescent="0.25">
      <c r="A8" s="618"/>
      <c r="B8" s="619"/>
      <c r="C8" s="629"/>
      <c r="D8" s="634"/>
      <c r="E8" s="635"/>
      <c r="F8" s="635"/>
      <c r="G8" s="635"/>
      <c r="H8" s="636"/>
      <c r="I8" s="642"/>
      <c r="J8" s="643"/>
      <c r="K8" s="634"/>
      <c r="L8" s="636"/>
      <c r="M8" s="653" t="s">
        <v>130</v>
      </c>
      <c r="N8" s="654"/>
      <c r="O8" s="655" t="s">
        <v>131</v>
      </c>
      <c r="P8" s="656"/>
      <c r="Q8" s="20"/>
      <c r="R8" s="20"/>
      <c r="S8" s="20"/>
      <c r="T8" s="20"/>
      <c r="U8" s="20"/>
      <c r="V8" s="20"/>
      <c r="W8" s="20"/>
      <c r="X8" s="20"/>
      <c r="Y8" s="20"/>
      <c r="Z8" s="20"/>
      <c r="AA8" s="20"/>
      <c r="AB8" s="20"/>
      <c r="AD8" s="21"/>
      <c r="AE8" s="22"/>
    </row>
    <row r="9" spans="1:31" ht="14.45" customHeight="1" thickBot="1" x14ac:dyDescent="0.3">
      <c r="A9" s="620"/>
      <c r="B9" s="621"/>
      <c r="C9" s="630"/>
      <c r="D9" s="637"/>
      <c r="E9" s="638"/>
      <c r="F9" s="638"/>
      <c r="G9" s="638"/>
      <c r="H9" s="639"/>
      <c r="I9" s="644"/>
      <c r="J9" s="645"/>
      <c r="K9" s="637"/>
      <c r="L9" s="639"/>
      <c r="M9" s="657" t="s">
        <v>132</v>
      </c>
      <c r="N9" s="658"/>
      <c r="O9" s="659" t="s">
        <v>131</v>
      </c>
      <c r="P9" s="660"/>
      <c r="Q9" s="20"/>
      <c r="R9" s="20"/>
      <c r="S9" s="20"/>
      <c r="T9" s="20"/>
      <c r="U9" s="20"/>
      <c r="V9" s="20"/>
      <c r="W9" s="20"/>
      <c r="X9" s="20"/>
      <c r="Y9" s="20"/>
      <c r="Z9" s="20"/>
      <c r="AA9" s="20"/>
      <c r="AB9" s="20"/>
      <c r="AD9" s="21"/>
      <c r="AE9" s="22"/>
    </row>
    <row r="10" spans="1:31" ht="15" customHeight="1" thickBot="1" x14ac:dyDescent="0.3">
      <c r="A10" s="24"/>
      <c r="B10" s="25"/>
      <c r="C10" s="25"/>
      <c r="D10" s="26"/>
      <c r="E10" s="26"/>
      <c r="F10" s="26"/>
      <c r="G10" s="26"/>
      <c r="H10" s="26"/>
      <c r="I10" s="181"/>
      <c r="J10" s="181"/>
      <c r="K10" s="26"/>
      <c r="L10" s="26"/>
      <c r="M10" s="182"/>
      <c r="N10" s="182"/>
      <c r="O10" s="183"/>
      <c r="P10" s="183"/>
      <c r="Q10" s="25"/>
      <c r="R10" s="25"/>
      <c r="S10" s="25"/>
      <c r="T10" s="25"/>
      <c r="U10" s="25"/>
      <c r="V10" s="25"/>
      <c r="W10" s="25"/>
      <c r="X10" s="25"/>
      <c r="Y10" s="25"/>
      <c r="Z10" s="25"/>
      <c r="AA10" s="25"/>
      <c r="AB10" s="25"/>
      <c r="AD10" s="28"/>
      <c r="AE10" s="29"/>
    </row>
    <row r="11" spans="1:31" ht="15" customHeight="1" x14ac:dyDescent="0.25">
      <c r="A11" s="616" t="s">
        <v>10</v>
      </c>
      <c r="B11" s="617"/>
      <c r="C11" s="589" t="s">
        <v>133</v>
      </c>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1"/>
    </row>
    <row r="12" spans="1:31" ht="15" customHeight="1" x14ac:dyDescent="0.25">
      <c r="A12" s="618"/>
      <c r="B12" s="619"/>
      <c r="C12" s="622"/>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4"/>
    </row>
    <row r="13" spans="1:31" ht="15" customHeight="1" thickBot="1" x14ac:dyDescent="0.3">
      <c r="A13" s="620"/>
      <c r="B13" s="621"/>
      <c r="C13" s="625"/>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7"/>
    </row>
    <row r="14" spans="1:31"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31" ht="39" customHeight="1" thickBot="1" x14ac:dyDescent="0.3">
      <c r="A15" s="661" t="s">
        <v>12</v>
      </c>
      <c r="B15" s="662"/>
      <c r="C15" s="663" t="s">
        <v>134</v>
      </c>
      <c r="D15" s="664"/>
      <c r="E15" s="664"/>
      <c r="F15" s="664"/>
      <c r="G15" s="664"/>
      <c r="H15" s="664"/>
      <c r="I15" s="664"/>
      <c r="J15" s="664"/>
      <c r="K15" s="665"/>
      <c r="L15" s="666" t="s">
        <v>14</v>
      </c>
      <c r="M15" s="667"/>
      <c r="N15" s="667"/>
      <c r="O15" s="667"/>
      <c r="P15" s="667"/>
      <c r="Q15" s="668"/>
      <c r="R15" s="669" t="s">
        <v>135</v>
      </c>
      <c r="S15" s="670"/>
      <c r="T15" s="670"/>
      <c r="U15" s="670"/>
      <c r="V15" s="670"/>
      <c r="W15" s="670"/>
      <c r="X15" s="671"/>
      <c r="Y15" s="666" t="s">
        <v>15</v>
      </c>
      <c r="Z15" s="668"/>
      <c r="AA15" s="648" t="s">
        <v>136</v>
      </c>
      <c r="AB15" s="649"/>
      <c r="AC15" s="649"/>
      <c r="AD15" s="649"/>
      <c r="AE15" s="650"/>
    </row>
    <row r="16" spans="1:31" ht="9" customHeight="1" thickBot="1" x14ac:dyDescent="0.3">
      <c r="A16" s="23"/>
      <c r="B16" s="20"/>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D16" s="21"/>
      <c r="AE16" s="22"/>
    </row>
    <row r="17" spans="1:33" s="36" customFormat="1" ht="37.5" customHeight="1" thickBot="1" x14ac:dyDescent="0.3">
      <c r="A17" s="661" t="s">
        <v>17</v>
      </c>
      <c r="B17" s="662"/>
      <c r="C17" s="648" t="s">
        <v>235</v>
      </c>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50"/>
    </row>
    <row r="18" spans="1:33" ht="16.5" customHeight="1" thickBot="1" x14ac:dyDescent="0.3">
      <c r="A18" s="18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3" ht="32.1" customHeight="1" thickBot="1" x14ac:dyDescent="0.3">
      <c r="A19" s="666" t="s">
        <v>138</v>
      </c>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8"/>
      <c r="AF19" s="187"/>
    </row>
    <row r="20" spans="1:33" ht="32.1" customHeight="1" thickBot="1" x14ac:dyDescent="0.3">
      <c r="A20" s="37" t="s">
        <v>19</v>
      </c>
      <c r="B20" s="637" t="s">
        <v>139</v>
      </c>
      <c r="C20" s="638"/>
      <c r="D20" s="638"/>
      <c r="E20" s="638"/>
      <c r="F20" s="638"/>
      <c r="G20" s="638"/>
      <c r="H20" s="638"/>
      <c r="I20" s="638"/>
      <c r="J20" s="638"/>
      <c r="K20" s="638"/>
      <c r="L20" s="638"/>
      <c r="M20" s="638"/>
      <c r="N20" s="638"/>
      <c r="O20" s="639"/>
      <c r="P20" s="666" t="s">
        <v>140</v>
      </c>
      <c r="Q20" s="667"/>
      <c r="R20" s="667"/>
      <c r="S20" s="667"/>
      <c r="T20" s="667"/>
      <c r="U20" s="667"/>
      <c r="V20" s="667"/>
      <c r="W20" s="667"/>
      <c r="X20" s="667"/>
      <c r="Y20" s="667"/>
      <c r="Z20" s="667"/>
      <c r="AA20" s="667"/>
      <c r="AB20" s="667"/>
      <c r="AC20" s="667"/>
      <c r="AD20" s="667"/>
      <c r="AE20" s="668"/>
      <c r="AF20" s="187"/>
    </row>
    <row r="21" spans="1:33" ht="32.1" customHeight="1" thickBot="1" x14ac:dyDescent="0.3">
      <c r="A21" s="24"/>
      <c r="B21" s="38" t="s">
        <v>141</v>
      </c>
      <c r="C21" s="39" t="s">
        <v>142</v>
      </c>
      <c r="D21" s="39" t="s">
        <v>143</v>
      </c>
      <c r="E21" s="39" t="s">
        <v>144</v>
      </c>
      <c r="F21" s="39" t="s">
        <v>145</v>
      </c>
      <c r="G21" s="39" t="s">
        <v>146</v>
      </c>
      <c r="H21" s="39" t="s">
        <v>147</v>
      </c>
      <c r="I21" s="39" t="s">
        <v>148</v>
      </c>
      <c r="J21" s="39" t="s">
        <v>149</v>
      </c>
      <c r="K21" s="39" t="s">
        <v>150</v>
      </c>
      <c r="L21" s="39" t="s">
        <v>151</v>
      </c>
      <c r="M21" s="39" t="s">
        <v>128</v>
      </c>
      <c r="N21" s="39" t="s">
        <v>102</v>
      </c>
      <c r="O21" s="40" t="s">
        <v>100</v>
      </c>
      <c r="P21" s="41"/>
      <c r="Q21" s="37" t="s">
        <v>141</v>
      </c>
      <c r="R21" s="42" t="s">
        <v>142</v>
      </c>
      <c r="S21" s="42" t="s">
        <v>143</v>
      </c>
      <c r="T21" s="42" t="s">
        <v>144</v>
      </c>
      <c r="U21" s="42" t="s">
        <v>145</v>
      </c>
      <c r="V21" s="42" t="s">
        <v>146</v>
      </c>
      <c r="W21" s="42" t="s">
        <v>147</v>
      </c>
      <c r="X21" s="42" t="s">
        <v>148</v>
      </c>
      <c r="Y21" s="42" t="s">
        <v>149</v>
      </c>
      <c r="Z21" s="42" t="s">
        <v>150</v>
      </c>
      <c r="AA21" s="42" t="s">
        <v>151</v>
      </c>
      <c r="AB21" s="42" t="s">
        <v>128</v>
      </c>
      <c r="AC21" s="42" t="s">
        <v>102</v>
      </c>
      <c r="AD21" s="43" t="s">
        <v>152</v>
      </c>
      <c r="AE21" s="43" t="s">
        <v>153</v>
      </c>
      <c r="AF21" s="188"/>
    </row>
    <row r="22" spans="1:33" ht="32.1" customHeight="1" x14ac:dyDescent="0.25">
      <c r="A22" s="44" t="s">
        <v>31</v>
      </c>
      <c r="B22" s="189"/>
      <c r="C22" s="190"/>
      <c r="D22" s="190"/>
      <c r="E22" s="190"/>
      <c r="F22" s="190"/>
      <c r="G22" s="190"/>
      <c r="H22" s="190"/>
      <c r="I22" s="190"/>
      <c r="J22" s="190"/>
      <c r="K22" s="190"/>
      <c r="L22" s="190"/>
      <c r="M22" s="190"/>
      <c r="N22" s="190">
        <f>SUM(B22:M22)</f>
        <v>0</v>
      </c>
      <c r="O22" s="191"/>
      <c r="P22" s="44" t="s">
        <v>27</v>
      </c>
      <c r="Q22" s="192">
        <v>0</v>
      </c>
      <c r="R22" s="193">
        <v>0</v>
      </c>
      <c r="S22" s="193">
        <v>0</v>
      </c>
      <c r="T22" s="193">
        <v>0</v>
      </c>
      <c r="U22" s="193">
        <v>0</v>
      </c>
      <c r="V22" s="193">
        <v>0</v>
      </c>
      <c r="W22" s="193">
        <v>0</v>
      </c>
      <c r="X22" s="193">
        <v>44919333</v>
      </c>
      <c r="Y22" s="197">
        <v>0</v>
      </c>
      <c r="Z22" s="197">
        <v>0</v>
      </c>
      <c r="AA22" s="197">
        <v>0</v>
      </c>
      <c r="AB22" s="193">
        <v>21545344</v>
      </c>
      <c r="AC22" s="540">
        <f>SUM(Q22:AB22)</f>
        <v>66464677</v>
      </c>
      <c r="AD22" s="272"/>
      <c r="AE22" s="195"/>
      <c r="AF22" s="188"/>
    </row>
    <row r="23" spans="1:33" ht="32.1" customHeight="1" x14ac:dyDescent="0.25">
      <c r="A23" s="45" t="s">
        <v>21</v>
      </c>
      <c r="B23" s="196"/>
      <c r="C23" s="197"/>
      <c r="D23" s="197"/>
      <c r="E23" s="197"/>
      <c r="F23" s="197"/>
      <c r="G23" s="197"/>
      <c r="H23" s="197"/>
      <c r="I23" s="197"/>
      <c r="J23" s="197"/>
      <c r="K23" s="197"/>
      <c r="L23" s="197"/>
      <c r="M23" s="197"/>
      <c r="N23" s="197">
        <f>SUM(B23:M23)</f>
        <v>0</v>
      </c>
      <c r="O23" s="198" t="str">
        <f>IFERROR(N23/(SUMIF(B23:M23,"&gt;0",B22:M22))," ")</f>
        <v xml:space="preserve"> </v>
      </c>
      <c r="P23" s="45" t="s">
        <v>29</v>
      </c>
      <c r="Q23" s="196">
        <v>0</v>
      </c>
      <c r="R23" s="197">
        <v>0</v>
      </c>
      <c r="S23" s="197">
        <v>0</v>
      </c>
      <c r="T23" s="197">
        <v>0</v>
      </c>
      <c r="U23" s="197">
        <v>0</v>
      </c>
      <c r="V23" s="197">
        <v>0</v>
      </c>
      <c r="W23" s="197">
        <v>0</v>
      </c>
      <c r="X23" s="199">
        <v>51325000</v>
      </c>
      <c r="Y23" s="197">
        <v>0</v>
      </c>
      <c r="Z23" s="197">
        <v>0</v>
      </c>
      <c r="AA23" s="197">
        <v>15139677</v>
      </c>
      <c r="AB23" s="197">
        <v>-2454833</v>
      </c>
      <c r="AC23" s="199">
        <f>SUM(W23:AB23)</f>
        <v>64009844</v>
      </c>
      <c r="AD23" s="273">
        <f>AC23/SUM(Q22:AB22)</f>
        <v>0.96306559949129067</v>
      </c>
      <c r="AE23" s="200">
        <f>AC23/AC22</f>
        <v>0.96306559949129067</v>
      </c>
      <c r="AF23" s="188"/>
    </row>
    <row r="24" spans="1:33" ht="32.1" customHeight="1" x14ac:dyDescent="0.25">
      <c r="A24" s="45" t="s">
        <v>23</v>
      </c>
      <c r="B24" s="196">
        <f>+B22-B23</f>
        <v>0</v>
      </c>
      <c r="C24" s="197">
        <f t="shared" ref="C24:M24" si="0">+C22-C23</f>
        <v>0</v>
      </c>
      <c r="D24" s="197">
        <f t="shared" si="0"/>
        <v>0</v>
      </c>
      <c r="E24" s="197">
        <f t="shared" si="0"/>
        <v>0</v>
      </c>
      <c r="F24" s="197">
        <f t="shared" si="0"/>
        <v>0</v>
      </c>
      <c r="G24" s="197">
        <f t="shared" si="0"/>
        <v>0</v>
      </c>
      <c r="H24" s="197">
        <f t="shared" si="0"/>
        <v>0</v>
      </c>
      <c r="I24" s="197">
        <f t="shared" si="0"/>
        <v>0</v>
      </c>
      <c r="J24" s="197">
        <f t="shared" si="0"/>
        <v>0</v>
      </c>
      <c r="K24" s="197">
        <f t="shared" si="0"/>
        <v>0</v>
      </c>
      <c r="L24" s="197">
        <f t="shared" si="0"/>
        <v>0</v>
      </c>
      <c r="M24" s="197">
        <f t="shared" si="0"/>
        <v>0</v>
      </c>
      <c r="N24" s="197">
        <f>SUM(B24:M24)</f>
        <v>0</v>
      </c>
      <c r="O24" s="201"/>
      <c r="P24" s="45" t="s">
        <v>31</v>
      </c>
      <c r="Q24" s="196">
        <v>0</v>
      </c>
      <c r="R24" s="197">
        <v>0</v>
      </c>
      <c r="S24" s="197">
        <v>0</v>
      </c>
      <c r="T24" s="197">
        <v>0</v>
      </c>
      <c r="U24" s="197">
        <v>0</v>
      </c>
      <c r="V24" s="197">
        <v>0</v>
      </c>
      <c r="W24" s="197">
        <v>0</v>
      </c>
      <c r="X24" s="197">
        <v>0</v>
      </c>
      <c r="Y24" s="197">
        <v>3455333</v>
      </c>
      <c r="Z24" s="197">
        <v>10366000</v>
      </c>
      <c r="AA24" s="197">
        <v>10366000</v>
      </c>
      <c r="AB24" s="197">
        <v>30732160</v>
      </c>
      <c r="AC24" s="541">
        <f>SUM(W24:AB24)</f>
        <v>54919493</v>
      </c>
      <c r="AD24" s="274"/>
      <c r="AE24" s="202"/>
      <c r="AF24" s="188"/>
      <c r="AG24" s="513"/>
    </row>
    <row r="25" spans="1:33" ht="32.1" customHeight="1" thickBot="1" x14ac:dyDescent="0.3">
      <c r="A25" s="46" t="s">
        <v>25</v>
      </c>
      <c r="B25" s="203"/>
      <c r="C25" s="204"/>
      <c r="D25" s="204"/>
      <c r="E25" s="204"/>
      <c r="F25" s="204"/>
      <c r="G25" s="204"/>
      <c r="H25" s="204"/>
      <c r="I25" s="204"/>
      <c r="J25" s="204"/>
      <c r="K25" s="204"/>
      <c r="L25" s="204"/>
      <c r="M25" s="204"/>
      <c r="N25" s="204">
        <f>SUM(B25:M25)</f>
        <v>0</v>
      </c>
      <c r="O25" s="205" t="str">
        <f>IFERROR(N25/(SUMIF(B25:M25,"&gt;0",B24:M24))," ")</f>
        <v xml:space="preserve"> </v>
      </c>
      <c r="P25" s="46" t="s">
        <v>25</v>
      </c>
      <c r="Q25" s="203">
        <v>0</v>
      </c>
      <c r="R25" s="204">
        <v>0</v>
      </c>
      <c r="S25" s="204">
        <v>0</v>
      </c>
      <c r="T25" s="204">
        <v>0</v>
      </c>
      <c r="U25" s="204">
        <v>0</v>
      </c>
      <c r="V25" s="204">
        <v>0</v>
      </c>
      <c r="W25" s="204">
        <v>0</v>
      </c>
      <c r="X25" s="204">
        <v>0</v>
      </c>
      <c r="Y25" s="204">
        <v>7098467</v>
      </c>
      <c r="Z25" s="204">
        <v>10366000</v>
      </c>
      <c r="AA25" s="204">
        <v>10366000</v>
      </c>
      <c r="AB25" s="204">
        <v>27089026</v>
      </c>
      <c r="AC25" s="542">
        <f>SUM(W25:AB25)</f>
        <v>54919493</v>
      </c>
      <c r="AD25" s="275">
        <f>AC25/SUM(Q24:AB24)</f>
        <v>1</v>
      </c>
      <c r="AE25" s="206">
        <f>AC25/AC24</f>
        <v>1</v>
      </c>
      <c r="AF25" s="188"/>
    </row>
    <row r="26" spans="1:33" s="207" customFormat="1" ht="16.5" customHeight="1" thickBot="1" x14ac:dyDescent="0.25">
      <c r="AG26" s="514"/>
    </row>
    <row r="27" spans="1:33" ht="33.950000000000003" customHeight="1" x14ac:dyDescent="0.25">
      <c r="A27" s="673" t="s">
        <v>154</v>
      </c>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5"/>
    </row>
    <row r="28" spans="1:33" ht="15" customHeight="1" x14ac:dyDescent="0.25">
      <c r="A28" s="593" t="s">
        <v>34</v>
      </c>
      <c r="B28" s="595" t="s">
        <v>36</v>
      </c>
      <c r="C28" s="595"/>
      <c r="D28" s="595" t="s">
        <v>155</v>
      </c>
      <c r="E28" s="595"/>
      <c r="F28" s="595"/>
      <c r="G28" s="595"/>
      <c r="H28" s="595"/>
      <c r="I28" s="595"/>
      <c r="J28" s="595"/>
      <c r="K28" s="595"/>
      <c r="L28" s="595"/>
      <c r="M28" s="595"/>
      <c r="N28" s="595"/>
      <c r="O28" s="595"/>
      <c r="P28" s="595" t="s">
        <v>102</v>
      </c>
      <c r="Q28" s="595" t="s">
        <v>156</v>
      </c>
      <c r="R28" s="595"/>
      <c r="S28" s="595"/>
      <c r="T28" s="595"/>
      <c r="U28" s="595"/>
      <c r="V28" s="595"/>
      <c r="W28" s="595"/>
      <c r="X28" s="595"/>
      <c r="Y28" s="595" t="s">
        <v>157</v>
      </c>
      <c r="Z28" s="595"/>
      <c r="AA28" s="595"/>
      <c r="AB28" s="595"/>
      <c r="AC28" s="595"/>
      <c r="AD28" s="595"/>
      <c r="AE28" s="676"/>
    </row>
    <row r="29" spans="1:33" ht="27" customHeight="1" x14ac:dyDescent="0.25">
      <c r="A29" s="593"/>
      <c r="B29" s="595"/>
      <c r="C29" s="595"/>
      <c r="D29" s="48" t="s">
        <v>141</v>
      </c>
      <c r="E29" s="48" t="s">
        <v>142</v>
      </c>
      <c r="F29" s="48" t="s">
        <v>143</v>
      </c>
      <c r="G29" s="48" t="s">
        <v>144</v>
      </c>
      <c r="H29" s="48" t="s">
        <v>145</v>
      </c>
      <c r="I29" s="48" t="s">
        <v>146</v>
      </c>
      <c r="J29" s="48" t="s">
        <v>147</v>
      </c>
      <c r="K29" s="48" t="s">
        <v>148</v>
      </c>
      <c r="L29" s="48" t="s">
        <v>149</v>
      </c>
      <c r="M29" s="48" t="s">
        <v>150</v>
      </c>
      <c r="N29" s="48" t="s">
        <v>151</v>
      </c>
      <c r="O29" s="48" t="s">
        <v>128</v>
      </c>
      <c r="P29" s="595"/>
      <c r="Q29" s="595"/>
      <c r="R29" s="595"/>
      <c r="S29" s="595"/>
      <c r="T29" s="595"/>
      <c r="U29" s="595"/>
      <c r="V29" s="595"/>
      <c r="W29" s="595"/>
      <c r="X29" s="595"/>
      <c r="Y29" s="595"/>
      <c r="Z29" s="595"/>
      <c r="AA29" s="595"/>
      <c r="AB29" s="595"/>
      <c r="AC29" s="595"/>
      <c r="AD29" s="595"/>
      <c r="AE29" s="676"/>
    </row>
    <row r="30" spans="1:33" ht="42" customHeight="1" thickBot="1" x14ac:dyDescent="0.3">
      <c r="A30" s="49"/>
      <c r="B30" s="677"/>
      <c r="C30" s="677"/>
      <c r="D30" s="16"/>
      <c r="E30" s="16"/>
      <c r="F30" s="16"/>
      <c r="G30" s="16"/>
      <c r="H30" s="16"/>
      <c r="I30" s="16"/>
      <c r="J30" s="16"/>
      <c r="K30" s="16"/>
      <c r="L30" s="16"/>
      <c r="M30" s="16"/>
      <c r="N30" s="16"/>
      <c r="O30" s="16"/>
      <c r="P30" s="50">
        <f>SUM(D30:O30)</f>
        <v>0</v>
      </c>
      <c r="Q30" s="678" t="s">
        <v>158</v>
      </c>
      <c r="R30" s="678"/>
      <c r="S30" s="678"/>
      <c r="T30" s="678"/>
      <c r="U30" s="678"/>
      <c r="V30" s="678"/>
      <c r="W30" s="678"/>
      <c r="X30" s="678"/>
      <c r="Y30" s="678" t="s">
        <v>43</v>
      </c>
      <c r="Z30" s="678"/>
      <c r="AA30" s="678"/>
      <c r="AB30" s="678"/>
      <c r="AC30" s="678"/>
      <c r="AD30" s="678"/>
      <c r="AE30" s="679"/>
    </row>
    <row r="31" spans="1:33" ht="12" customHeight="1" thickBot="1" x14ac:dyDescent="0.3">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3" ht="45" customHeight="1" x14ac:dyDescent="0.25">
      <c r="A32" s="589" t="s">
        <v>159</v>
      </c>
      <c r="B32" s="590"/>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1"/>
    </row>
    <row r="33" spans="1:41" ht="23.1" customHeight="1" x14ac:dyDescent="0.25">
      <c r="A33" s="593" t="s">
        <v>44</v>
      </c>
      <c r="B33" s="595" t="s">
        <v>46</v>
      </c>
      <c r="C33" s="595" t="s">
        <v>36</v>
      </c>
      <c r="D33" s="595" t="s">
        <v>160</v>
      </c>
      <c r="E33" s="595"/>
      <c r="F33" s="595"/>
      <c r="G33" s="595"/>
      <c r="H33" s="595"/>
      <c r="I33" s="595"/>
      <c r="J33" s="595"/>
      <c r="K33" s="595"/>
      <c r="L33" s="595"/>
      <c r="M33" s="595"/>
      <c r="N33" s="595"/>
      <c r="O33" s="595"/>
      <c r="P33" s="595"/>
      <c r="Q33" s="595" t="s">
        <v>161</v>
      </c>
      <c r="R33" s="595"/>
      <c r="S33" s="595"/>
      <c r="T33" s="595"/>
      <c r="U33" s="595"/>
      <c r="V33" s="595"/>
      <c r="W33" s="595"/>
      <c r="X33" s="595"/>
      <c r="Y33" s="595"/>
      <c r="Z33" s="595"/>
      <c r="AA33" s="595"/>
      <c r="AB33" s="595"/>
      <c r="AC33" s="595"/>
      <c r="AD33" s="595"/>
      <c r="AE33" s="676"/>
      <c r="AG33" s="128"/>
      <c r="AH33" s="128"/>
      <c r="AI33" s="128"/>
      <c r="AJ33" s="128"/>
      <c r="AK33" s="128"/>
      <c r="AL33" s="128"/>
      <c r="AM33" s="128"/>
      <c r="AN33" s="128"/>
      <c r="AO33" s="128"/>
    </row>
    <row r="34" spans="1:41" ht="27" customHeight="1" x14ac:dyDescent="0.25">
      <c r="A34" s="593"/>
      <c r="B34" s="595"/>
      <c r="C34" s="680"/>
      <c r="D34" s="48" t="s">
        <v>141</v>
      </c>
      <c r="E34" s="48" t="s">
        <v>142</v>
      </c>
      <c r="F34" s="48" t="s">
        <v>143</v>
      </c>
      <c r="G34" s="48" t="s">
        <v>144</v>
      </c>
      <c r="H34" s="48" t="s">
        <v>145</v>
      </c>
      <c r="I34" s="48" t="s">
        <v>146</v>
      </c>
      <c r="J34" s="48" t="s">
        <v>147</v>
      </c>
      <c r="K34" s="48" t="s">
        <v>148</v>
      </c>
      <c r="L34" s="48" t="s">
        <v>149</v>
      </c>
      <c r="M34" s="48" t="s">
        <v>150</v>
      </c>
      <c r="N34" s="48" t="s">
        <v>151</v>
      </c>
      <c r="O34" s="48" t="s">
        <v>128</v>
      </c>
      <c r="P34" s="48" t="s">
        <v>102</v>
      </c>
      <c r="Q34" s="681" t="s">
        <v>52</v>
      </c>
      <c r="R34" s="682"/>
      <c r="S34" s="682"/>
      <c r="T34" s="683"/>
      <c r="U34" s="595" t="s">
        <v>54</v>
      </c>
      <c r="V34" s="595"/>
      <c r="W34" s="595"/>
      <c r="X34" s="595"/>
      <c r="Y34" s="595" t="s">
        <v>56</v>
      </c>
      <c r="Z34" s="595"/>
      <c r="AA34" s="595"/>
      <c r="AB34" s="595"/>
      <c r="AC34" s="595" t="s">
        <v>58</v>
      </c>
      <c r="AD34" s="595"/>
      <c r="AE34" s="676"/>
      <c r="AG34" s="128"/>
      <c r="AH34" s="128"/>
      <c r="AI34" s="128"/>
      <c r="AJ34" s="128"/>
      <c r="AK34" s="128"/>
      <c r="AL34" s="128"/>
      <c r="AM34" s="128"/>
      <c r="AN34" s="128"/>
      <c r="AO34" s="128"/>
    </row>
    <row r="35" spans="1:41" ht="198" customHeight="1" x14ac:dyDescent="0.25">
      <c r="A35" s="686" t="str">
        <f>+C17</f>
        <v>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v>
      </c>
      <c r="B35" s="688">
        <v>0.09</v>
      </c>
      <c r="C35" s="54" t="s">
        <v>48</v>
      </c>
      <c r="D35" s="162">
        <f>+D78</f>
        <v>0</v>
      </c>
      <c r="E35" s="162">
        <f t="shared" ref="E35:O35" si="1">+E78</f>
        <v>0</v>
      </c>
      <c r="F35" s="162">
        <f t="shared" si="1"/>
        <v>0</v>
      </c>
      <c r="G35" s="162">
        <f t="shared" si="1"/>
        <v>0</v>
      </c>
      <c r="H35" s="162">
        <f t="shared" si="1"/>
        <v>0</v>
      </c>
      <c r="I35" s="162">
        <f t="shared" si="1"/>
        <v>0</v>
      </c>
      <c r="J35" s="162">
        <f t="shared" si="1"/>
        <v>0</v>
      </c>
      <c r="K35" s="162">
        <f t="shared" si="1"/>
        <v>0.15555555555555556</v>
      </c>
      <c r="L35" s="162">
        <f t="shared" si="1"/>
        <v>0.26666666666666666</v>
      </c>
      <c r="M35" s="162">
        <f t="shared" si="1"/>
        <v>0.25555555555555554</v>
      </c>
      <c r="N35" s="162">
        <f t="shared" si="1"/>
        <v>0.18888888888888891</v>
      </c>
      <c r="O35" s="162">
        <f t="shared" si="1"/>
        <v>0.13333333333333333</v>
      </c>
      <c r="P35" s="164">
        <f>SUM(D35:O35)</f>
        <v>1</v>
      </c>
      <c r="Q35" s="768" t="s">
        <v>236</v>
      </c>
      <c r="R35" s="769"/>
      <c r="S35" s="769"/>
      <c r="T35" s="799"/>
      <c r="U35" s="768" t="s">
        <v>237</v>
      </c>
      <c r="V35" s="769"/>
      <c r="W35" s="769"/>
      <c r="X35" s="770"/>
      <c r="Y35" s="762" t="s">
        <v>223</v>
      </c>
      <c r="Z35" s="763"/>
      <c r="AA35" s="763"/>
      <c r="AB35" s="764"/>
      <c r="AC35" s="762" t="s">
        <v>238</v>
      </c>
      <c r="AD35" s="763"/>
      <c r="AE35" s="774"/>
      <c r="AG35" s="364" t="s">
        <v>239</v>
      </c>
      <c r="AH35" s="128">
        <f>LEN(AG35)</f>
        <v>300</v>
      </c>
      <c r="AI35" s="128"/>
      <c r="AJ35" s="128"/>
      <c r="AK35" s="128"/>
      <c r="AL35" s="128"/>
      <c r="AM35" s="128"/>
      <c r="AN35" s="128"/>
      <c r="AO35" s="128"/>
    </row>
    <row r="36" spans="1:41" ht="198" customHeight="1" thickBot="1" x14ac:dyDescent="0.3">
      <c r="A36" s="687"/>
      <c r="B36" s="689"/>
      <c r="C36" s="55" t="s">
        <v>50</v>
      </c>
      <c r="D36" s="165">
        <f>D75</f>
        <v>0</v>
      </c>
      <c r="E36" s="165">
        <f t="shared" ref="E36:L36" si="2">E75</f>
        <v>0</v>
      </c>
      <c r="F36" s="165">
        <f t="shared" si="2"/>
        <v>0</v>
      </c>
      <c r="G36" s="165">
        <f t="shared" si="2"/>
        <v>0</v>
      </c>
      <c r="H36" s="165">
        <f t="shared" si="2"/>
        <v>0</v>
      </c>
      <c r="I36" s="165">
        <f t="shared" si="2"/>
        <v>0</v>
      </c>
      <c r="J36" s="165">
        <f t="shared" si="2"/>
        <v>0</v>
      </c>
      <c r="K36" s="165">
        <f t="shared" si="2"/>
        <v>0.15555555555555556</v>
      </c>
      <c r="L36" s="165">
        <f t="shared" si="2"/>
        <v>0.26666666666666666</v>
      </c>
      <c r="M36" s="165">
        <f>M75</f>
        <v>0.25555555555555554</v>
      </c>
      <c r="N36" s="165">
        <f>N75</f>
        <v>0.18888888888888891</v>
      </c>
      <c r="O36" s="165">
        <f>O75</f>
        <v>0.13333333333333333</v>
      </c>
      <c r="P36" s="163">
        <f>SUM(D36:O36)</f>
        <v>1</v>
      </c>
      <c r="Q36" s="771"/>
      <c r="R36" s="772"/>
      <c r="S36" s="772"/>
      <c r="T36" s="800"/>
      <c r="U36" s="771"/>
      <c r="V36" s="772"/>
      <c r="W36" s="772"/>
      <c r="X36" s="773"/>
      <c r="Y36" s="765"/>
      <c r="Z36" s="766"/>
      <c r="AA36" s="766"/>
      <c r="AB36" s="767"/>
      <c r="AC36" s="765"/>
      <c r="AD36" s="766"/>
      <c r="AE36" s="775"/>
      <c r="AG36" s="128"/>
      <c r="AH36" s="128"/>
      <c r="AI36" s="128"/>
      <c r="AJ36" s="128"/>
      <c r="AK36" s="128"/>
      <c r="AL36" s="128"/>
      <c r="AM36" s="128"/>
      <c r="AN36" s="128"/>
      <c r="AO36" s="128"/>
    </row>
    <row r="37" spans="1:41" s="207" customFormat="1" ht="17.25" customHeight="1" thickBot="1" x14ac:dyDescent="0.25"/>
    <row r="38" spans="1:41" ht="45" customHeight="1" thickBot="1" x14ac:dyDescent="0.3">
      <c r="A38" s="589" t="s">
        <v>166</v>
      </c>
      <c r="B38" s="590"/>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1"/>
      <c r="AG38" s="128"/>
      <c r="AH38" s="128"/>
      <c r="AI38" s="128"/>
      <c r="AJ38" s="128"/>
      <c r="AK38" s="128"/>
      <c r="AL38" s="128"/>
      <c r="AM38" s="128"/>
      <c r="AN38" s="128"/>
      <c r="AO38" s="128"/>
    </row>
    <row r="39" spans="1:41" ht="26.1" customHeight="1" x14ac:dyDescent="0.25">
      <c r="A39" s="592" t="s">
        <v>60</v>
      </c>
      <c r="B39" s="594" t="s">
        <v>167</v>
      </c>
      <c r="C39" s="596" t="s">
        <v>168</v>
      </c>
      <c r="D39" s="598" t="s">
        <v>169</v>
      </c>
      <c r="E39" s="599"/>
      <c r="F39" s="599"/>
      <c r="G39" s="599"/>
      <c r="H39" s="599"/>
      <c r="I39" s="599"/>
      <c r="J39" s="599"/>
      <c r="K39" s="599"/>
      <c r="L39" s="599"/>
      <c r="M39" s="599"/>
      <c r="N39" s="599"/>
      <c r="O39" s="599"/>
      <c r="P39" s="600"/>
      <c r="Q39" s="594" t="s">
        <v>170</v>
      </c>
      <c r="R39" s="594"/>
      <c r="S39" s="594"/>
      <c r="T39" s="594"/>
      <c r="U39" s="594"/>
      <c r="V39" s="594"/>
      <c r="W39" s="594"/>
      <c r="X39" s="594"/>
      <c r="Y39" s="594"/>
      <c r="Z39" s="594"/>
      <c r="AA39" s="594"/>
      <c r="AB39" s="594"/>
      <c r="AC39" s="594"/>
      <c r="AD39" s="594"/>
      <c r="AE39" s="684"/>
      <c r="AG39" s="128"/>
      <c r="AH39" s="128"/>
      <c r="AI39" s="128"/>
      <c r="AJ39" s="128"/>
      <c r="AK39" s="128"/>
      <c r="AL39" s="128"/>
      <c r="AM39" s="128"/>
      <c r="AN39" s="128"/>
      <c r="AO39" s="128"/>
    </row>
    <row r="40" spans="1:41" ht="26.1" customHeight="1" x14ac:dyDescent="0.25">
      <c r="A40" s="593"/>
      <c r="B40" s="595"/>
      <c r="C40" s="597"/>
      <c r="D40" s="48" t="s">
        <v>171</v>
      </c>
      <c r="E40" s="48" t="s">
        <v>172</v>
      </c>
      <c r="F40" s="48" t="s">
        <v>173</v>
      </c>
      <c r="G40" s="48" t="s">
        <v>174</v>
      </c>
      <c r="H40" s="48" t="s">
        <v>175</v>
      </c>
      <c r="I40" s="48" t="s">
        <v>176</v>
      </c>
      <c r="J40" s="48" t="s">
        <v>177</v>
      </c>
      <c r="K40" s="48" t="s">
        <v>178</v>
      </c>
      <c r="L40" s="48" t="s">
        <v>179</v>
      </c>
      <c r="M40" s="48" t="s">
        <v>180</v>
      </c>
      <c r="N40" s="48" t="s">
        <v>181</v>
      </c>
      <c r="O40" s="48" t="s">
        <v>182</v>
      </c>
      <c r="P40" s="48" t="s">
        <v>183</v>
      </c>
      <c r="Q40" s="681" t="s">
        <v>184</v>
      </c>
      <c r="R40" s="682"/>
      <c r="S40" s="682"/>
      <c r="T40" s="682"/>
      <c r="U40" s="682"/>
      <c r="V40" s="682"/>
      <c r="W40" s="682"/>
      <c r="X40" s="683"/>
      <c r="Y40" s="681" t="s">
        <v>68</v>
      </c>
      <c r="Z40" s="682"/>
      <c r="AA40" s="682"/>
      <c r="AB40" s="682"/>
      <c r="AC40" s="682"/>
      <c r="AD40" s="682"/>
      <c r="AE40" s="685"/>
      <c r="AG40" s="208"/>
      <c r="AH40" s="208"/>
      <c r="AI40" s="208"/>
      <c r="AJ40" s="208"/>
      <c r="AK40" s="208"/>
      <c r="AL40" s="208"/>
      <c r="AM40" s="208"/>
      <c r="AN40" s="208"/>
      <c r="AO40" s="208"/>
    </row>
    <row r="41" spans="1:41" ht="109.15" customHeight="1" x14ac:dyDescent="0.25">
      <c r="A41" s="702" t="s">
        <v>240</v>
      </c>
      <c r="B41" s="703">
        <v>0.05</v>
      </c>
      <c r="C41" s="56" t="s">
        <v>48</v>
      </c>
      <c r="D41" s="57">
        <v>0</v>
      </c>
      <c r="E41" s="57">
        <v>0</v>
      </c>
      <c r="F41" s="57">
        <v>0</v>
      </c>
      <c r="G41" s="57">
        <v>0</v>
      </c>
      <c r="H41" s="57">
        <v>0</v>
      </c>
      <c r="I41" s="57">
        <v>0</v>
      </c>
      <c r="J41" s="57">
        <v>0</v>
      </c>
      <c r="K41" s="57">
        <v>0.2</v>
      </c>
      <c r="L41" s="57">
        <v>0.4</v>
      </c>
      <c r="M41" s="57">
        <v>0.3</v>
      </c>
      <c r="N41" s="57">
        <v>0.1</v>
      </c>
      <c r="O41" s="57">
        <v>0</v>
      </c>
      <c r="P41" s="58">
        <f t="shared" ref="P41:P44" si="3">SUM(D41:O41)</f>
        <v>1.0000000000000002</v>
      </c>
      <c r="Q41" s="801" t="s">
        <v>241</v>
      </c>
      <c r="R41" s="802"/>
      <c r="S41" s="802"/>
      <c r="T41" s="802"/>
      <c r="U41" s="802"/>
      <c r="V41" s="802"/>
      <c r="W41" s="802"/>
      <c r="X41" s="803"/>
      <c r="Y41" s="807" t="s">
        <v>242</v>
      </c>
      <c r="Z41" s="807"/>
      <c r="AA41" s="807"/>
      <c r="AB41" s="807"/>
      <c r="AC41" s="807"/>
      <c r="AD41" s="807"/>
      <c r="AE41" s="807"/>
      <c r="AG41" s="209"/>
      <c r="AH41" s="209"/>
      <c r="AI41" s="209"/>
      <c r="AJ41" s="209"/>
      <c r="AK41" s="209"/>
      <c r="AL41" s="209"/>
      <c r="AM41" s="209"/>
      <c r="AN41" s="209"/>
      <c r="AO41" s="209"/>
    </row>
    <row r="42" spans="1:41" ht="109.15" customHeight="1" x14ac:dyDescent="0.25">
      <c r="A42" s="702"/>
      <c r="B42" s="703"/>
      <c r="C42" s="59" t="s">
        <v>50</v>
      </c>
      <c r="D42" s="60">
        <v>0</v>
      </c>
      <c r="E42" s="60">
        <v>0</v>
      </c>
      <c r="F42" s="60">
        <v>0</v>
      </c>
      <c r="G42" s="60">
        <v>0</v>
      </c>
      <c r="H42" s="60">
        <v>0</v>
      </c>
      <c r="I42" s="60">
        <v>0</v>
      </c>
      <c r="J42" s="60">
        <v>0</v>
      </c>
      <c r="K42" s="60">
        <v>0.2</v>
      </c>
      <c r="L42" s="60">
        <v>0.4</v>
      </c>
      <c r="M42" s="60">
        <v>0.3</v>
      </c>
      <c r="N42" s="60">
        <v>0.1</v>
      </c>
      <c r="O42" s="60">
        <v>0</v>
      </c>
      <c r="P42" s="172">
        <f t="shared" si="3"/>
        <v>1.0000000000000002</v>
      </c>
      <c r="Q42" s="804"/>
      <c r="R42" s="805"/>
      <c r="S42" s="805"/>
      <c r="T42" s="805"/>
      <c r="U42" s="805"/>
      <c r="V42" s="805"/>
      <c r="W42" s="805"/>
      <c r="X42" s="806"/>
      <c r="Y42" s="808"/>
      <c r="Z42" s="808"/>
      <c r="AA42" s="808"/>
      <c r="AB42" s="808"/>
      <c r="AC42" s="808"/>
      <c r="AD42" s="808"/>
      <c r="AE42" s="808"/>
    </row>
    <row r="43" spans="1:41" ht="66.599999999999994" customHeight="1" x14ac:dyDescent="0.25">
      <c r="A43" s="702" t="s">
        <v>243</v>
      </c>
      <c r="B43" s="703">
        <v>0.02</v>
      </c>
      <c r="C43" s="56" t="s">
        <v>48</v>
      </c>
      <c r="D43" s="57">
        <v>0</v>
      </c>
      <c r="E43" s="57">
        <v>0</v>
      </c>
      <c r="F43" s="57">
        <v>0</v>
      </c>
      <c r="G43" s="57">
        <v>0</v>
      </c>
      <c r="H43" s="57">
        <v>0</v>
      </c>
      <c r="I43" s="57">
        <v>0</v>
      </c>
      <c r="J43" s="57">
        <v>0</v>
      </c>
      <c r="K43" s="57">
        <v>0</v>
      </c>
      <c r="L43" s="57">
        <v>0</v>
      </c>
      <c r="M43" s="57">
        <v>0.2</v>
      </c>
      <c r="N43" s="57">
        <v>0.4</v>
      </c>
      <c r="O43" s="57">
        <v>0.4</v>
      </c>
      <c r="P43" s="58">
        <f t="shared" si="3"/>
        <v>1</v>
      </c>
      <c r="Q43" s="724" t="s">
        <v>244</v>
      </c>
      <c r="R43" s="713"/>
      <c r="S43" s="713"/>
      <c r="T43" s="713"/>
      <c r="U43" s="713"/>
      <c r="V43" s="713"/>
      <c r="W43" s="713"/>
      <c r="X43" s="713"/>
      <c r="Y43" s="711" t="s">
        <v>245</v>
      </c>
      <c r="Z43" s="711"/>
      <c r="AA43" s="711"/>
      <c r="AB43" s="711"/>
      <c r="AC43" s="711"/>
      <c r="AD43" s="711"/>
      <c r="AE43" s="711"/>
    </row>
    <row r="44" spans="1:41" ht="66.599999999999994" customHeight="1" x14ac:dyDescent="0.25">
      <c r="A44" s="702"/>
      <c r="B44" s="703"/>
      <c r="C44" s="59" t="s">
        <v>50</v>
      </c>
      <c r="D44" s="60">
        <v>0</v>
      </c>
      <c r="E44" s="60">
        <v>0</v>
      </c>
      <c r="F44" s="60">
        <v>0</v>
      </c>
      <c r="G44" s="60">
        <v>0</v>
      </c>
      <c r="H44" s="60">
        <v>0</v>
      </c>
      <c r="I44" s="60">
        <v>0</v>
      </c>
      <c r="J44" s="60">
        <v>0</v>
      </c>
      <c r="K44" s="60">
        <v>0</v>
      </c>
      <c r="L44" s="60">
        <v>0</v>
      </c>
      <c r="M44" s="60">
        <v>0.2</v>
      </c>
      <c r="N44" s="60">
        <v>0.4</v>
      </c>
      <c r="O44" s="60">
        <v>0.4</v>
      </c>
      <c r="P44" s="172">
        <f t="shared" si="3"/>
        <v>1</v>
      </c>
      <c r="Q44" s="715"/>
      <c r="R44" s="716"/>
      <c r="S44" s="716"/>
      <c r="T44" s="716"/>
      <c r="U44" s="716"/>
      <c r="V44" s="716"/>
      <c r="W44" s="716"/>
      <c r="X44" s="716"/>
      <c r="Y44" s="711"/>
      <c r="Z44" s="711"/>
      <c r="AA44" s="711"/>
      <c r="AB44" s="711"/>
      <c r="AC44" s="711"/>
      <c r="AD44" s="711"/>
      <c r="AE44" s="711"/>
    </row>
    <row r="45" spans="1:41" ht="137.44999999999999" customHeight="1" x14ac:dyDescent="0.25">
      <c r="A45" s="785" t="s">
        <v>246</v>
      </c>
      <c r="B45" s="703">
        <v>0.01</v>
      </c>
      <c r="C45" s="149" t="s">
        <v>48</v>
      </c>
      <c r="D45" s="57">
        <v>0</v>
      </c>
      <c r="E45" s="57">
        <v>0</v>
      </c>
      <c r="F45" s="57">
        <v>0</v>
      </c>
      <c r="G45" s="57">
        <v>0</v>
      </c>
      <c r="H45" s="57">
        <v>0</v>
      </c>
      <c r="I45" s="57">
        <v>0</v>
      </c>
      <c r="J45" s="57">
        <v>0</v>
      </c>
      <c r="K45" s="57">
        <v>0.2</v>
      </c>
      <c r="L45" s="57">
        <v>0.2</v>
      </c>
      <c r="M45" s="57">
        <v>0.2</v>
      </c>
      <c r="N45" s="57">
        <v>0.2</v>
      </c>
      <c r="O45" s="57">
        <v>0.2</v>
      </c>
      <c r="P45" s="58">
        <f>SUM(D45:O45)</f>
        <v>1</v>
      </c>
      <c r="Q45" s="809" t="s">
        <v>247</v>
      </c>
      <c r="R45" s="810"/>
      <c r="S45" s="810"/>
      <c r="T45" s="810"/>
      <c r="U45" s="810"/>
      <c r="V45" s="810"/>
      <c r="W45" s="810"/>
      <c r="X45" s="810"/>
      <c r="Y45" s="813" t="s">
        <v>248</v>
      </c>
      <c r="Z45" s="813"/>
      <c r="AA45" s="813"/>
      <c r="AB45" s="813"/>
      <c r="AC45" s="813"/>
      <c r="AD45" s="813"/>
      <c r="AE45" s="813"/>
    </row>
    <row r="46" spans="1:41" ht="137.44999999999999" customHeight="1" x14ac:dyDescent="0.25">
      <c r="A46" s="786"/>
      <c r="B46" s="703"/>
      <c r="C46" s="150" t="s">
        <v>50</v>
      </c>
      <c r="D46" s="60">
        <v>0</v>
      </c>
      <c r="E46" s="60">
        <v>0</v>
      </c>
      <c r="F46" s="60">
        <v>0</v>
      </c>
      <c r="G46" s="60">
        <v>0</v>
      </c>
      <c r="H46" s="60">
        <v>0</v>
      </c>
      <c r="I46" s="60">
        <v>0</v>
      </c>
      <c r="J46" s="60">
        <v>0</v>
      </c>
      <c r="K46" s="148">
        <v>0.2</v>
      </c>
      <c r="L46" s="148">
        <v>0.2</v>
      </c>
      <c r="M46" s="148">
        <v>0.2</v>
      </c>
      <c r="N46" s="148">
        <v>0.2</v>
      </c>
      <c r="O46" s="148">
        <v>0.2</v>
      </c>
      <c r="P46" s="172">
        <f>SUM(D46:O46)</f>
        <v>1</v>
      </c>
      <c r="Q46" s="811"/>
      <c r="R46" s="812"/>
      <c r="S46" s="812"/>
      <c r="T46" s="812"/>
      <c r="U46" s="812"/>
      <c r="V46" s="812"/>
      <c r="W46" s="812"/>
      <c r="X46" s="812"/>
      <c r="Y46" s="814"/>
      <c r="Z46" s="814"/>
      <c r="AA46" s="814"/>
      <c r="AB46" s="814"/>
      <c r="AC46" s="814"/>
      <c r="AD46" s="814"/>
      <c r="AE46" s="814"/>
    </row>
    <row r="47" spans="1:41" ht="57.6" customHeight="1" x14ac:dyDescent="0.25">
      <c r="A47" s="785" t="s">
        <v>249</v>
      </c>
      <c r="B47" s="703">
        <v>0.01</v>
      </c>
      <c r="C47" s="149" t="s">
        <v>48</v>
      </c>
      <c r="D47" s="57">
        <v>0</v>
      </c>
      <c r="E47" s="57">
        <v>0</v>
      </c>
      <c r="F47" s="57">
        <v>0</v>
      </c>
      <c r="G47" s="57">
        <v>0</v>
      </c>
      <c r="H47" s="57">
        <v>0</v>
      </c>
      <c r="I47" s="57">
        <v>0</v>
      </c>
      <c r="J47" s="57">
        <v>0</v>
      </c>
      <c r="K47" s="57">
        <v>0.2</v>
      </c>
      <c r="L47" s="57">
        <v>0.2</v>
      </c>
      <c r="M47" s="57">
        <v>0.2</v>
      </c>
      <c r="N47" s="57">
        <v>0.2</v>
      </c>
      <c r="O47" s="57">
        <v>0.2</v>
      </c>
      <c r="P47" s="58">
        <f>SUM(D47:O47)</f>
        <v>1</v>
      </c>
      <c r="Q47" s="947" t="s">
        <v>250</v>
      </c>
      <c r="R47" s="948"/>
      <c r="S47" s="948"/>
      <c r="T47" s="948"/>
      <c r="U47" s="948"/>
      <c r="V47" s="948"/>
      <c r="W47" s="948"/>
      <c r="X47" s="948"/>
      <c r="Y47" s="813" t="s">
        <v>251</v>
      </c>
      <c r="Z47" s="813"/>
      <c r="AA47" s="813"/>
      <c r="AB47" s="813"/>
      <c r="AC47" s="813"/>
      <c r="AD47" s="813"/>
      <c r="AE47" s="813"/>
    </row>
    <row r="48" spans="1:41" ht="57.6" customHeight="1" x14ac:dyDescent="0.25">
      <c r="A48" s="786"/>
      <c r="B48" s="703"/>
      <c r="C48" s="150" t="s">
        <v>50</v>
      </c>
      <c r="D48" s="60">
        <v>0</v>
      </c>
      <c r="E48" s="60">
        <v>0</v>
      </c>
      <c r="F48" s="60">
        <v>0</v>
      </c>
      <c r="G48" s="60">
        <v>0</v>
      </c>
      <c r="H48" s="60">
        <v>0</v>
      </c>
      <c r="I48" s="60">
        <v>0</v>
      </c>
      <c r="J48" s="60">
        <v>0</v>
      </c>
      <c r="K48" s="148">
        <v>0.2</v>
      </c>
      <c r="L48" s="148">
        <v>0.2</v>
      </c>
      <c r="M48" s="148">
        <v>0.2</v>
      </c>
      <c r="N48" s="148">
        <v>0.2</v>
      </c>
      <c r="O48" s="148">
        <v>0.2</v>
      </c>
      <c r="P48" s="172">
        <f>SUM(D48:O48)</f>
        <v>1</v>
      </c>
      <c r="Q48" s="949"/>
      <c r="R48" s="950"/>
      <c r="S48" s="950"/>
      <c r="T48" s="950"/>
      <c r="U48" s="950"/>
      <c r="V48" s="950"/>
      <c r="W48" s="950"/>
      <c r="X48" s="950"/>
      <c r="Y48" s="814"/>
      <c r="Z48" s="814"/>
      <c r="AA48" s="814"/>
      <c r="AB48" s="814"/>
      <c r="AC48" s="814"/>
      <c r="AD48" s="814"/>
      <c r="AE48" s="814"/>
    </row>
    <row r="49" spans="1:31" ht="15" customHeight="1" x14ac:dyDescent="0.25">
      <c r="A49" s="125" t="s">
        <v>197</v>
      </c>
      <c r="B49" s="243">
        <f>SUM(B41:B48)</f>
        <v>0.09</v>
      </c>
      <c r="Q49" s="210"/>
      <c r="R49" s="210"/>
      <c r="S49" s="210"/>
      <c r="T49" s="210"/>
      <c r="U49" s="210"/>
      <c r="V49" s="210"/>
      <c r="W49" s="210"/>
      <c r="X49" s="210"/>
      <c r="Y49" s="210"/>
      <c r="Z49" s="210"/>
      <c r="AA49" s="210"/>
      <c r="AB49" s="210"/>
      <c r="AC49" s="210"/>
      <c r="AD49" s="210"/>
      <c r="AE49" s="210"/>
    </row>
    <row r="50" spans="1:31" x14ac:dyDescent="0.25">
      <c r="Q50" s="210"/>
      <c r="R50" s="210"/>
      <c r="S50" s="210"/>
      <c r="T50" s="210"/>
      <c r="U50" s="210"/>
      <c r="V50" s="210"/>
      <c r="W50" s="210"/>
      <c r="X50" s="210"/>
      <c r="Y50" s="210"/>
      <c r="Z50" s="210"/>
      <c r="AA50" s="210"/>
      <c r="AB50" s="210"/>
      <c r="AC50" s="210"/>
      <c r="AD50" s="210"/>
      <c r="AE50" s="210"/>
    </row>
    <row r="51" spans="1:31" x14ac:dyDescent="0.25">
      <c r="Q51" s="210"/>
      <c r="R51" s="210"/>
      <c r="S51" s="210"/>
      <c r="T51" s="210"/>
      <c r="U51" s="210"/>
      <c r="V51" s="210"/>
      <c r="W51" s="210"/>
      <c r="X51" s="210"/>
      <c r="Y51" s="210"/>
      <c r="Z51" s="210"/>
      <c r="AA51" s="210"/>
      <c r="AB51" s="210"/>
      <c r="AC51" s="210"/>
      <c r="AD51" s="210"/>
      <c r="AE51" s="210"/>
    </row>
    <row r="52" spans="1:31" x14ac:dyDescent="0.25">
      <c r="Q52" s="210"/>
      <c r="R52" s="210"/>
      <c r="S52" s="210"/>
      <c r="T52" s="210"/>
      <c r="U52" s="210"/>
      <c r="V52" s="210"/>
      <c r="W52" s="210"/>
      <c r="X52" s="210"/>
      <c r="Y52" s="210"/>
      <c r="Z52" s="210"/>
      <c r="AA52" s="210"/>
      <c r="AB52" s="210"/>
      <c r="AC52" s="210"/>
      <c r="AD52" s="210"/>
      <c r="AE52" s="210"/>
    </row>
    <row r="53" spans="1:31" x14ac:dyDescent="0.25">
      <c r="Q53" s="210"/>
      <c r="R53" s="210"/>
      <c r="S53" s="210"/>
      <c r="T53" s="210"/>
      <c r="U53" s="210"/>
      <c r="V53" s="210"/>
      <c r="W53" s="210"/>
      <c r="X53" s="210"/>
      <c r="Y53" s="210"/>
      <c r="Z53" s="210"/>
      <c r="AA53" s="210"/>
      <c r="AB53" s="210"/>
      <c r="AC53" s="210"/>
      <c r="AD53" s="210"/>
      <c r="AE53" s="210"/>
    </row>
    <row r="54" spans="1:31" hidden="1" x14ac:dyDescent="0.25">
      <c r="Q54" s="210"/>
      <c r="R54" s="210"/>
      <c r="S54" s="210"/>
      <c r="T54" s="210"/>
      <c r="U54" s="210"/>
      <c r="V54" s="210"/>
      <c r="W54" s="210"/>
      <c r="X54" s="210"/>
      <c r="Y54" s="210"/>
      <c r="Z54" s="210"/>
      <c r="AA54" s="210"/>
      <c r="AB54" s="210"/>
      <c r="AC54" s="210"/>
      <c r="AD54" s="210"/>
      <c r="AE54" s="210"/>
    </row>
    <row r="55" spans="1:31" hidden="1" x14ac:dyDescent="0.25">
      <c r="Q55" s="210"/>
      <c r="R55" s="210"/>
      <c r="S55" s="210"/>
      <c r="T55" s="210"/>
      <c r="U55" s="210"/>
      <c r="V55" s="210"/>
      <c r="W55" s="210"/>
      <c r="X55" s="210"/>
      <c r="Y55" s="210"/>
      <c r="Z55" s="210"/>
      <c r="AA55" s="210"/>
      <c r="AB55" s="210"/>
      <c r="AC55" s="210"/>
      <c r="AD55" s="210"/>
      <c r="AE55" s="210"/>
    </row>
    <row r="56" spans="1:31" hidden="1" x14ac:dyDescent="0.25">
      <c r="Q56" s="210"/>
      <c r="R56" s="210"/>
      <c r="S56" s="210"/>
      <c r="T56" s="210"/>
      <c r="U56" s="210"/>
      <c r="V56" s="210"/>
      <c r="W56" s="210"/>
      <c r="X56" s="210"/>
      <c r="Y56" s="210"/>
      <c r="Z56" s="210"/>
      <c r="AA56" s="210"/>
      <c r="AB56" s="210"/>
      <c r="AC56" s="210"/>
      <c r="AD56" s="210"/>
      <c r="AE56" s="210"/>
    </row>
    <row r="57" spans="1:31" hidden="1" x14ac:dyDescent="0.25">
      <c r="Q57" s="210"/>
      <c r="R57" s="210"/>
      <c r="S57" s="210"/>
      <c r="T57" s="210"/>
      <c r="U57" s="210"/>
      <c r="V57" s="210"/>
      <c r="W57" s="210"/>
      <c r="X57" s="210"/>
      <c r="Y57" s="210"/>
      <c r="Z57" s="210"/>
      <c r="AA57" s="210"/>
      <c r="AB57" s="210"/>
      <c r="AC57" s="210"/>
      <c r="AD57" s="210"/>
      <c r="AE57" s="210"/>
    </row>
    <row r="58" spans="1:31" hidden="1" x14ac:dyDescent="0.25">
      <c r="Q58" s="210"/>
      <c r="R58" s="210"/>
      <c r="S58" s="210"/>
      <c r="T58" s="210"/>
      <c r="U58" s="210"/>
      <c r="V58" s="210"/>
      <c r="W58" s="210"/>
      <c r="X58" s="210"/>
      <c r="Y58" s="210"/>
      <c r="Z58" s="210"/>
      <c r="AA58" s="210"/>
      <c r="AB58" s="210"/>
      <c r="AC58" s="210"/>
      <c r="AD58" s="210"/>
      <c r="AE58" s="210"/>
    </row>
    <row r="59" spans="1:31" s="214" customFormat="1" ht="15" hidden="1" x14ac:dyDescent="0.25">
      <c r="A59" s="578" t="s">
        <v>44</v>
      </c>
      <c r="B59" s="580" t="s">
        <v>167</v>
      </c>
      <c r="C59" s="582" t="s">
        <v>169</v>
      </c>
      <c r="D59" s="583"/>
      <c r="E59" s="583"/>
      <c r="F59" s="583"/>
      <c r="G59" s="583"/>
      <c r="H59" s="583"/>
      <c r="I59" s="583"/>
      <c r="J59" s="583"/>
      <c r="K59" s="583"/>
      <c r="L59" s="583"/>
      <c r="M59" s="583"/>
      <c r="N59" s="583"/>
      <c r="O59" s="583"/>
      <c r="P59" s="584"/>
      <c r="Q59" s="211"/>
      <c r="R59" s="211"/>
      <c r="S59" s="212"/>
      <c r="T59" s="212"/>
      <c r="U59" s="212"/>
      <c r="V59" s="212"/>
      <c r="W59" s="212"/>
      <c r="X59" s="212"/>
      <c r="Y59" s="212"/>
      <c r="Z59" s="212"/>
      <c r="AA59" s="212"/>
      <c r="AB59" s="212"/>
      <c r="AC59" s="212"/>
      <c r="AD59" s="212"/>
      <c r="AE59" s="213"/>
    </row>
    <row r="60" spans="1:31" s="214" customFormat="1" ht="21" hidden="1" x14ac:dyDescent="0.25">
      <c r="A60" s="579"/>
      <c r="B60" s="581"/>
      <c r="C60" s="215" t="s">
        <v>168</v>
      </c>
      <c r="D60" s="215" t="s">
        <v>171</v>
      </c>
      <c r="E60" s="215" t="s">
        <v>172</v>
      </c>
      <c r="F60" s="215" t="s">
        <v>173</v>
      </c>
      <c r="G60" s="215" t="s">
        <v>174</v>
      </c>
      <c r="H60" s="215" t="s">
        <v>175</v>
      </c>
      <c r="I60" s="215" t="s">
        <v>176</v>
      </c>
      <c r="J60" s="215" t="s">
        <v>177</v>
      </c>
      <c r="K60" s="215" t="s">
        <v>178</v>
      </c>
      <c r="L60" s="215" t="s">
        <v>179</v>
      </c>
      <c r="M60" s="215" t="s">
        <v>180</v>
      </c>
      <c r="N60" s="215" t="s">
        <v>181</v>
      </c>
      <c r="O60" s="215" t="s">
        <v>182</v>
      </c>
      <c r="P60" s="216" t="s">
        <v>183</v>
      </c>
      <c r="Q60" s="211"/>
      <c r="R60" s="211"/>
      <c r="S60" s="212"/>
      <c r="T60" s="212"/>
      <c r="U60" s="212"/>
      <c r="V60" s="212"/>
      <c r="W60" s="212"/>
      <c r="X60" s="212"/>
      <c r="Y60" s="212"/>
      <c r="Z60" s="212"/>
      <c r="AA60" s="212"/>
      <c r="AB60" s="212"/>
      <c r="AC60" s="212"/>
      <c r="AD60" s="212"/>
      <c r="AE60" s="213"/>
    </row>
    <row r="61" spans="1:31" s="214" customFormat="1" ht="18" hidden="1" customHeight="1" x14ac:dyDescent="0.25">
      <c r="A61" s="574" t="str">
        <f>A41</f>
        <v>14. Adelantar la revisión de documentos diagnósticos y complementar las acciones de investigación para la consolidación de la línea base de una estrategia que promueva y garantice el libre ejercicio de los derechos de las mujeres y la equidad de género.</v>
      </c>
      <c r="B61" s="576">
        <f>B41</f>
        <v>0.05</v>
      </c>
      <c r="C61" s="217" t="s">
        <v>48</v>
      </c>
      <c r="D61" s="218">
        <f>D41*$B$41/$P$41</f>
        <v>0</v>
      </c>
      <c r="E61" s="218">
        <f t="shared" ref="E61:O61" si="4">E41*$B$41/$P$41</f>
        <v>0</v>
      </c>
      <c r="F61" s="218">
        <f t="shared" si="4"/>
        <v>0</v>
      </c>
      <c r="G61" s="218">
        <f t="shared" si="4"/>
        <v>0</v>
      </c>
      <c r="H61" s="218">
        <f t="shared" si="4"/>
        <v>0</v>
      </c>
      <c r="I61" s="218">
        <f t="shared" si="4"/>
        <v>0</v>
      </c>
      <c r="J61" s="218">
        <f t="shared" si="4"/>
        <v>0</v>
      </c>
      <c r="K61" s="218">
        <f t="shared" si="4"/>
        <v>0.01</v>
      </c>
      <c r="L61" s="218">
        <f t="shared" si="4"/>
        <v>0.02</v>
      </c>
      <c r="M61" s="218">
        <f t="shared" si="4"/>
        <v>1.4999999999999996E-2</v>
      </c>
      <c r="N61" s="218">
        <f t="shared" si="4"/>
        <v>5.0000000000000001E-3</v>
      </c>
      <c r="O61" s="218">
        <f t="shared" si="4"/>
        <v>0</v>
      </c>
      <c r="P61" s="219">
        <f>SUM(D61:O61)</f>
        <v>4.9999999999999996E-2</v>
      </c>
      <c r="Q61" s="220"/>
      <c r="R61" s="221"/>
      <c r="S61" s="212"/>
      <c r="T61" s="212"/>
      <c r="U61" s="212"/>
      <c r="V61" s="212"/>
      <c r="W61" s="212"/>
      <c r="X61" s="212"/>
      <c r="Y61" s="212"/>
      <c r="Z61" s="212"/>
      <c r="AA61" s="212"/>
      <c r="AB61" s="212"/>
      <c r="AC61" s="212"/>
      <c r="AD61" s="212"/>
      <c r="AE61" s="213"/>
    </row>
    <row r="62" spans="1:31" s="214" customFormat="1" ht="18" hidden="1" customHeight="1" x14ac:dyDescent="0.25">
      <c r="A62" s="575"/>
      <c r="B62" s="577"/>
      <c r="C62" s="222" t="s">
        <v>50</v>
      </c>
      <c r="D62" s="223">
        <f>D42*$B$41/$P$41</f>
        <v>0</v>
      </c>
      <c r="E62" s="223">
        <f t="shared" ref="E62:O62" si="5">E42*$B$41/$P$41</f>
        <v>0</v>
      </c>
      <c r="F62" s="223">
        <f t="shared" si="5"/>
        <v>0</v>
      </c>
      <c r="G62" s="223">
        <f t="shared" si="5"/>
        <v>0</v>
      </c>
      <c r="H62" s="223">
        <f t="shared" si="5"/>
        <v>0</v>
      </c>
      <c r="I62" s="223">
        <f t="shared" si="5"/>
        <v>0</v>
      </c>
      <c r="J62" s="223">
        <f t="shared" si="5"/>
        <v>0</v>
      </c>
      <c r="K62" s="223">
        <f t="shared" si="5"/>
        <v>0.01</v>
      </c>
      <c r="L62" s="223">
        <f t="shared" si="5"/>
        <v>0.02</v>
      </c>
      <c r="M62" s="223">
        <f t="shared" si="5"/>
        <v>1.4999999999999996E-2</v>
      </c>
      <c r="N62" s="223">
        <f t="shared" si="5"/>
        <v>5.0000000000000001E-3</v>
      </c>
      <c r="O62" s="223">
        <f t="shared" si="5"/>
        <v>0</v>
      </c>
      <c r="P62" s="224">
        <f>SUM(D62:O62)</f>
        <v>4.9999999999999996E-2</v>
      </c>
      <c r="Q62" s="225"/>
      <c r="R62" s="221"/>
      <c r="S62" s="212"/>
      <c r="T62" s="212"/>
      <c r="U62" s="212"/>
      <c r="V62" s="212"/>
      <c r="W62" s="212"/>
      <c r="X62" s="212"/>
      <c r="Y62" s="212"/>
      <c r="Z62" s="212"/>
      <c r="AA62" s="212"/>
      <c r="AB62" s="212"/>
      <c r="AC62" s="212"/>
      <c r="AD62" s="212"/>
      <c r="AE62" s="213"/>
    </row>
    <row r="63" spans="1:31" s="214" customFormat="1" ht="18" hidden="1" customHeight="1" x14ac:dyDescent="0.25">
      <c r="A63" s="574" t="str">
        <f t="shared" ref="A63" si="6">A43</f>
        <v xml:space="preserve">15. Avanzar en el diseño de una estrategia de transformación cultural que promueva y garantice el libre ejercicio de los derechos de las mujeres y la equidad de género (a partir de la línea base de investigación) </v>
      </c>
      <c r="B63" s="576">
        <f t="shared" ref="B63" si="7">B43</f>
        <v>0.02</v>
      </c>
      <c r="C63" s="217" t="s">
        <v>48</v>
      </c>
      <c r="D63" s="218">
        <f>D43*$B$43/$P$43</f>
        <v>0</v>
      </c>
      <c r="E63" s="218">
        <f t="shared" ref="E63:O63" si="8">E43*$B$43/$P$43</f>
        <v>0</v>
      </c>
      <c r="F63" s="218">
        <f t="shared" si="8"/>
        <v>0</v>
      </c>
      <c r="G63" s="218">
        <f t="shared" si="8"/>
        <v>0</v>
      </c>
      <c r="H63" s="218">
        <f t="shared" si="8"/>
        <v>0</v>
      </c>
      <c r="I63" s="218">
        <f t="shared" si="8"/>
        <v>0</v>
      </c>
      <c r="J63" s="218">
        <f t="shared" si="8"/>
        <v>0</v>
      </c>
      <c r="K63" s="218">
        <f t="shared" si="8"/>
        <v>0</v>
      </c>
      <c r="L63" s="218">
        <f t="shared" si="8"/>
        <v>0</v>
      </c>
      <c r="M63" s="218">
        <f t="shared" si="8"/>
        <v>4.0000000000000001E-3</v>
      </c>
      <c r="N63" s="218">
        <f t="shared" si="8"/>
        <v>8.0000000000000002E-3</v>
      </c>
      <c r="O63" s="218">
        <f t="shared" si="8"/>
        <v>8.0000000000000002E-3</v>
      </c>
      <c r="P63" s="219">
        <f>SUM(D63:O63)</f>
        <v>0.02</v>
      </c>
      <c r="Q63" s="220"/>
      <c r="R63" s="221"/>
      <c r="S63" s="212"/>
      <c r="T63" s="212"/>
      <c r="U63" s="212"/>
      <c r="V63" s="212"/>
      <c r="W63" s="212"/>
      <c r="X63" s="212"/>
      <c r="Y63" s="212"/>
      <c r="Z63" s="212"/>
      <c r="AA63" s="212"/>
      <c r="AB63" s="212"/>
      <c r="AC63" s="212"/>
      <c r="AD63" s="212"/>
      <c r="AE63" s="213"/>
    </row>
    <row r="64" spans="1:31" s="214" customFormat="1" ht="18" hidden="1" customHeight="1" x14ac:dyDescent="0.25">
      <c r="A64" s="575"/>
      <c r="B64" s="577"/>
      <c r="C64" s="222" t="s">
        <v>50</v>
      </c>
      <c r="D64" s="223">
        <f>D44*$B$43/$P$43</f>
        <v>0</v>
      </c>
      <c r="E64" s="223">
        <f t="shared" ref="E64:O64" si="9">E44*$B$43/$P$43</f>
        <v>0</v>
      </c>
      <c r="F64" s="223">
        <f t="shared" si="9"/>
        <v>0</v>
      </c>
      <c r="G64" s="223">
        <f t="shared" si="9"/>
        <v>0</v>
      </c>
      <c r="H64" s="223">
        <f t="shared" si="9"/>
        <v>0</v>
      </c>
      <c r="I64" s="223">
        <f t="shared" si="9"/>
        <v>0</v>
      </c>
      <c r="J64" s="223">
        <f t="shared" si="9"/>
        <v>0</v>
      </c>
      <c r="K64" s="223">
        <f t="shared" si="9"/>
        <v>0</v>
      </c>
      <c r="L64" s="223">
        <f t="shared" si="9"/>
        <v>0</v>
      </c>
      <c r="M64" s="223">
        <f t="shared" si="9"/>
        <v>4.0000000000000001E-3</v>
      </c>
      <c r="N64" s="223">
        <f t="shared" si="9"/>
        <v>8.0000000000000002E-3</v>
      </c>
      <c r="O64" s="223">
        <f t="shared" si="9"/>
        <v>8.0000000000000002E-3</v>
      </c>
      <c r="P64" s="224">
        <f t="shared" ref="P64" si="10">SUM(D64:O64)</f>
        <v>0.02</v>
      </c>
      <c r="Q64" s="225"/>
      <c r="R64" s="221"/>
      <c r="S64" s="212"/>
      <c r="T64" s="212"/>
      <c r="U64" s="212"/>
      <c r="V64" s="212"/>
      <c r="W64" s="212"/>
      <c r="X64" s="212"/>
      <c r="Y64" s="212"/>
      <c r="Z64" s="212"/>
      <c r="AA64" s="212"/>
      <c r="AB64" s="212"/>
      <c r="AC64" s="212"/>
      <c r="AD64" s="212"/>
      <c r="AE64" s="213"/>
    </row>
    <row r="65" spans="1:31" s="214" customFormat="1" ht="18" hidden="1" customHeight="1" x14ac:dyDescent="0.25">
      <c r="A65" s="574" t="str">
        <f t="shared" ref="A65" si="11">A45</f>
        <v>16.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v>
      </c>
      <c r="B65" s="576">
        <f t="shared" ref="B65" si="12">B45</f>
        <v>0.01</v>
      </c>
      <c r="C65" s="217" t="s">
        <v>48</v>
      </c>
      <c r="D65" s="218">
        <f>D45*$B$45/$P$45</f>
        <v>0</v>
      </c>
      <c r="E65" s="218">
        <f t="shared" ref="E65:O65" si="13">E45*$B$45/$P$45</f>
        <v>0</v>
      </c>
      <c r="F65" s="218">
        <f t="shared" si="13"/>
        <v>0</v>
      </c>
      <c r="G65" s="218">
        <f t="shared" si="13"/>
        <v>0</v>
      </c>
      <c r="H65" s="218">
        <f t="shared" si="13"/>
        <v>0</v>
      </c>
      <c r="I65" s="218">
        <f t="shared" si="13"/>
        <v>0</v>
      </c>
      <c r="J65" s="218">
        <f t="shared" si="13"/>
        <v>0</v>
      </c>
      <c r="K65" s="218">
        <f t="shared" si="13"/>
        <v>2E-3</v>
      </c>
      <c r="L65" s="218">
        <f t="shared" si="13"/>
        <v>2E-3</v>
      </c>
      <c r="M65" s="218">
        <f t="shared" si="13"/>
        <v>2E-3</v>
      </c>
      <c r="N65" s="218">
        <f t="shared" si="13"/>
        <v>2E-3</v>
      </c>
      <c r="O65" s="218">
        <f t="shared" si="13"/>
        <v>2E-3</v>
      </c>
      <c r="P65" s="219">
        <f>SUM(D65:O65)</f>
        <v>0.01</v>
      </c>
      <c r="Q65" s="220"/>
      <c r="R65" s="221"/>
      <c r="S65" s="212"/>
      <c r="T65" s="212"/>
      <c r="U65" s="212"/>
      <c r="V65" s="212"/>
      <c r="W65" s="212"/>
      <c r="X65" s="212"/>
      <c r="Y65" s="212"/>
      <c r="Z65" s="212"/>
      <c r="AA65" s="212"/>
      <c r="AB65" s="212"/>
      <c r="AC65" s="212"/>
      <c r="AD65" s="212"/>
      <c r="AE65" s="213"/>
    </row>
    <row r="66" spans="1:31" s="214" customFormat="1" ht="18" hidden="1" customHeight="1" x14ac:dyDescent="0.25">
      <c r="A66" s="575"/>
      <c r="B66" s="577"/>
      <c r="C66" s="222" t="s">
        <v>50</v>
      </c>
      <c r="D66" s="223">
        <f>D46*$B$45/$P$45</f>
        <v>0</v>
      </c>
      <c r="E66" s="223">
        <f t="shared" ref="E66:O66" si="14">E46*$B$45/$P$45</f>
        <v>0</v>
      </c>
      <c r="F66" s="223">
        <f t="shared" si="14"/>
        <v>0</v>
      </c>
      <c r="G66" s="223">
        <f t="shared" si="14"/>
        <v>0</v>
      </c>
      <c r="H66" s="223">
        <f t="shared" si="14"/>
        <v>0</v>
      </c>
      <c r="I66" s="223">
        <f t="shared" si="14"/>
        <v>0</v>
      </c>
      <c r="J66" s="223">
        <f t="shared" si="14"/>
        <v>0</v>
      </c>
      <c r="K66" s="223">
        <f t="shared" si="14"/>
        <v>2E-3</v>
      </c>
      <c r="L66" s="223">
        <f t="shared" si="14"/>
        <v>2E-3</v>
      </c>
      <c r="M66" s="223">
        <f t="shared" si="14"/>
        <v>2E-3</v>
      </c>
      <c r="N66" s="223">
        <f t="shared" si="14"/>
        <v>2E-3</v>
      </c>
      <c r="O66" s="223">
        <f t="shared" si="14"/>
        <v>2E-3</v>
      </c>
      <c r="P66" s="224">
        <f>SUM(D66:O66)</f>
        <v>0.01</v>
      </c>
      <c r="Q66" s="225"/>
      <c r="R66" s="221"/>
      <c r="S66" s="212"/>
      <c r="T66" s="212"/>
      <c r="U66" s="212"/>
      <c r="V66" s="212"/>
      <c r="W66" s="212"/>
      <c r="X66" s="212"/>
      <c r="Y66" s="212"/>
      <c r="Z66" s="212"/>
      <c r="AA66" s="212"/>
      <c r="AB66" s="212"/>
      <c r="AC66" s="212"/>
      <c r="AD66" s="212"/>
      <c r="AE66" s="213"/>
    </row>
    <row r="67" spans="1:31" s="214" customFormat="1" ht="18" hidden="1" customHeight="1" x14ac:dyDescent="0.25">
      <c r="A67" s="574" t="str">
        <f t="shared" ref="A67" si="15">A47</f>
        <v>17. Socializar e implementar la hoja de ruta para incorporar los enfoques de derechos de las mujeres, de género y diferencial, mediante el acompañamiento técnico a dos instancias de participación del Distrito Capital, priorizadas por la Subsecretaría del Cuidado y Políticas de Igualdad</v>
      </c>
      <c r="B67" s="576">
        <f t="shared" ref="B67" si="16">B47</f>
        <v>0.01</v>
      </c>
      <c r="C67" s="217" t="s">
        <v>48</v>
      </c>
      <c r="D67" s="218">
        <f>D47*$B$47/$P$47</f>
        <v>0</v>
      </c>
      <c r="E67" s="218">
        <f t="shared" ref="E67:O67" si="17">E47*$B$47/$P$47</f>
        <v>0</v>
      </c>
      <c r="F67" s="218">
        <f t="shared" si="17"/>
        <v>0</v>
      </c>
      <c r="G67" s="218">
        <f t="shared" si="17"/>
        <v>0</v>
      </c>
      <c r="H67" s="218">
        <f t="shared" si="17"/>
        <v>0</v>
      </c>
      <c r="I67" s="218">
        <f t="shared" si="17"/>
        <v>0</v>
      </c>
      <c r="J67" s="218">
        <f t="shared" si="17"/>
        <v>0</v>
      </c>
      <c r="K67" s="218">
        <f t="shared" si="17"/>
        <v>2E-3</v>
      </c>
      <c r="L67" s="218">
        <f t="shared" si="17"/>
        <v>2E-3</v>
      </c>
      <c r="M67" s="218">
        <f t="shared" si="17"/>
        <v>2E-3</v>
      </c>
      <c r="N67" s="218">
        <f t="shared" si="17"/>
        <v>2E-3</v>
      </c>
      <c r="O67" s="218">
        <f t="shared" si="17"/>
        <v>2E-3</v>
      </c>
      <c r="P67" s="219">
        <f>SUM(D67:O67)</f>
        <v>0.01</v>
      </c>
      <c r="Q67" s="220"/>
      <c r="R67" s="221"/>
      <c r="S67" s="212"/>
      <c r="T67" s="212"/>
      <c r="U67" s="212"/>
      <c r="V67" s="212"/>
      <c r="W67" s="212"/>
      <c r="X67" s="212"/>
      <c r="Y67" s="212"/>
      <c r="Z67" s="212"/>
      <c r="AA67" s="212"/>
      <c r="AB67" s="212"/>
      <c r="AC67" s="212"/>
      <c r="AD67" s="212"/>
      <c r="AE67" s="213"/>
    </row>
    <row r="68" spans="1:31" s="214" customFormat="1" ht="18" hidden="1" customHeight="1" x14ac:dyDescent="0.25">
      <c r="A68" s="575"/>
      <c r="B68" s="577"/>
      <c r="C68" s="222" t="s">
        <v>50</v>
      </c>
      <c r="D68" s="223">
        <f>D48*$B$47/$P$47</f>
        <v>0</v>
      </c>
      <c r="E68" s="223">
        <f t="shared" ref="E68:O68" si="18">E48*$B$47/$P$47</f>
        <v>0</v>
      </c>
      <c r="F68" s="223">
        <f t="shared" si="18"/>
        <v>0</v>
      </c>
      <c r="G68" s="223">
        <f t="shared" si="18"/>
        <v>0</v>
      </c>
      <c r="H68" s="223">
        <f t="shared" si="18"/>
        <v>0</v>
      </c>
      <c r="I68" s="223">
        <f t="shared" si="18"/>
        <v>0</v>
      </c>
      <c r="J68" s="223">
        <f t="shared" si="18"/>
        <v>0</v>
      </c>
      <c r="K68" s="223">
        <f t="shared" si="18"/>
        <v>2E-3</v>
      </c>
      <c r="L68" s="223">
        <f t="shared" si="18"/>
        <v>2E-3</v>
      </c>
      <c r="M68" s="223">
        <f t="shared" si="18"/>
        <v>2E-3</v>
      </c>
      <c r="N68" s="223">
        <f t="shared" si="18"/>
        <v>2E-3</v>
      </c>
      <c r="O68" s="223">
        <f t="shared" si="18"/>
        <v>2E-3</v>
      </c>
      <c r="P68" s="224">
        <f t="shared" ref="P68" si="19">SUM(D68:O68)</f>
        <v>0.01</v>
      </c>
      <c r="Q68" s="225"/>
      <c r="R68" s="221"/>
      <c r="S68" s="212"/>
      <c r="T68" s="212"/>
      <c r="U68" s="212"/>
      <c r="V68" s="212"/>
      <c r="W68" s="212"/>
      <c r="X68" s="212"/>
      <c r="Y68" s="212"/>
      <c r="Z68" s="212"/>
      <c r="AA68" s="212"/>
      <c r="AB68" s="212"/>
      <c r="AC68" s="212"/>
      <c r="AD68" s="212"/>
      <c r="AE68" s="213"/>
    </row>
    <row r="69" spans="1:31" s="214" customFormat="1" ht="15" hidden="1" x14ac:dyDescent="0.25">
      <c r="A69" s="230"/>
      <c r="B69" s="231"/>
      <c r="C69" s="228"/>
      <c r="D69" s="232"/>
      <c r="E69" s="232"/>
      <c r="F69" s="232"/>
      <c r="G69" s="232"/>
      <c r="H69" s="232"/>
      <c r="I69" s="232"/>
      <c r="J69" s="232"/>
      <c r="K69" s="232"/>
      <c r="L69" s="232"/>
      <c r="M69" s="232"/>
      <c r="N69" s="232"/>
      <c r="O69" s="232"/>
      <c r="P69" s="229"/>
      <c r="Q69" s="225"/>
      <c r="R69" s="221"/>
      <c r="S69" s="212"/>
      <c r="T69" s="212"/>
      <c r="U69" s="212"/>
      <c r="V69" s="212"/>
      <c r="W69" s="212"/>
      <c r="X69" s="212"/>
      <c r="Y69" s="212"/>
      <c r="Z69" s="212"/>
      <c r="AA69" s="212"/>
      <c r="AB69" s="212"/>
      <c r="AC69" s="212"/>
      <c r="AD69" s="212"/>
      <c r="AE69" s="213"/>
    </row>
    <row r="70" spans="1:31" s="214" customFormat="1" ht="15" hidden="1" x14ac:dyDescent="0.25">
      <c r="A70" s="570"/>
      <c r="B70" s="572"/>
      <c r="C70" s="228"/>
      <c r="D70" s="218"/>
      <c r="E70" s="218"/>
      <c r="F70" s="218"/>
      <c r="G70" s="218"/>
      <c r="H70" s="218"/>
      <c r="I70" s="218"/>
      <c r="J70" s="218"/>
      <c r="K70" s="218"/>
      <c r="L70" s="218"/>
      <c r="M70" s="218"/>
      <c r="N70" s="218"/>
      <c r="O70" s="218"/>
      <c r="P70" s="229"/>
      <c r="Q70" s="220"/>
      <c r="R70" s="221"/>
      <c r="S70" s="212"/>
      <c r="T70" s="212"/>
      <c r="U70" s="212"/>
      <c r="V70" s="212"/>
      <c r="W70" s="212"/>
      <c r="X70" s="212"/>
      <c r="Y70" s="212"/>
      <c r="Z70" s="212"/>
      <c r="AA70" s="212"/>
      <c r="AB70" s="212"/>
      <c r="AC70" s="212"/>
      <c r="AD70" s="212"/>
      <c r="AE70" s="213"/>
    </row>
    <row r="71" spans="1:31" s="214" customFormat="1" ht="15" hidden="1" x14ac:dyDescent="0.25">
      <c r="A71" s="571"/>
      <c r="B71" s="573"/>
      <c r="C71" s="228"/>
      <c r="D71" s="232"/>
      <c r="E71" s="232"/>
      <c r="F71" s="232"/>
      <c r="G71" s="232"/>
      <c r="H71" s="232"/>
      <c r="I71" s="232"/>
      <c r="J71" s="232"/>
      <c r="K71" s="232"/>
      <c r="L71" s="232"/>
      <c r="M71" s="232"/>
      <c r="N71" s="232"/>
      <c r="O71" s="232"/>
      <c r="P71" s="229"/>
      <c r="Q71" s="225"/>
      <c r="R71" s="221"/>
      <c r="S71" s="212"/>
      <c r="T71" s="212"/>
      <c r="U71" s="212"/>
      <c r="V71" s="212"/>
      <c r="W71" s="212"/>
      <c r="X71" s="212"/>
      <c r="Y71" s="212"/>
      <c r="Z71" s="212"/>
      <c r="AA71" s="212"/>
      <c r="AB71" s="212"/>
      <c r="AC71" s="212"/>
      <c r="AD71" s="212"/>
      <c r="AE71" s="213"/>
    </row>
    <row r="72" spans="1:31" s="214" customFormat="1" ht="15" hidden="1" x14ac:dyDescent="0.25">
      <c r="A72" s="570"/>
      <c r="B72" s="572"/>
      <c r="C72" s="228"/>
      <c r="D72" s="218"/>
      <c r="E72" s="218"/>
      <c r="F72" s="218"/>
      <c r="G72" s="218"/>
      <c r="H72" s="218"/>
      <c r="I72" s="218"/>
      <c r="J72" s="218"/>
      <c r="K72" s="218"/>
      <c r="L72" s="218"/>
      <c r="M72" s="218"/>
      <c r="N72" s="218"/>
      <c r="O72" s="218"/>
      <c r="P72" s="229"/>
      <c r="Q72" s="220"/>
      <c r="R72" s="221"/>
      <c r="S72" s="212"/>
      <c r="T72" s="212"/>
      <c r="U72" s="212"/>
      <c r="V72" s="212"/>
      <c r="W72" s="212"/>
      <c r="X72" s="212"/>
      <c r="Y72" s="212"/>
      <c r="Z72" s="212"/>
      <c r="AA72" s="212"/>
      <c r="AB72" s="212"/>
      <c r="AC72" s="212"/>
      <c r="AD72" s="212"/>
      <c r="AE72" s="213"/>
    </row>
    <row r="73" spans="1:31" s="214" customFormat="1" ht="15" hidden="1" x14ac:dyDescent="0.25">
      <c r="A73" s="571"/>
      <c r="B73" s="573"/>
      <c r="C73" s="228"/>
      <c r="D73" s="232"/>
      <c r="E73" s="232"/>
      <c r="F73" s="232"/>
      <c r="G73" s="232"/>
      <c r="H73" s="232"/>
      <c r="I73" s="232"/>
      <c r="J73" s="232"/>
      <c r="K73" s="232"/>
      <c r="L73" s="232"/>
      <c r="M73" s="232"/>
      <c r="N73" s="232"/>
      <c r="O73" s="232"/>
      <c r="P73" s="229"/>
      <c r="Q73" s="225"/>
      <c r="R73" s="221"/>
      <c r="S73" s="212"/>
      <c r="T73" s="212"/>
      <c r="U73" s="212"/>
      <c r="V73" s="212"/>
      <c r="W73" s="212"/>
      <c r="X73" s="212"/>
      <c r="Y73" s="212"/>
      <c r="Z73" s="212"/>
      <c r="AA73" s="212"/>
      <c r="AB73" s="212"/>
      <c r="AC73" s="212"/>
      <c r="AD73" s="212"/>
      <c r="AE73" s="213"/>
    </row>
    <row r="74" spans="1:31" s="214" customFormat="1" ht="15" hidden="1" x14ac:dyDescent="0.25">
      <c r="A74" s="211"/>
      <c r="B74" s="233"/>
      <c r="C74" s="234"/>
      <c r="D74" s="235">
        <f>D62+D64+D66+D68</f>
        <v>0</v>
      </c>
      <c r="E74" s="235">
        <f t="shared" ref="E74:O74" si="20">E62+E64+E66+E68</f>
        <v>0</v>
      </c>
      <c r="F74" s="235">
        <f t="shared" si="20"/>
        <v>0</v>
      </c>
      <c r="G74" s="235">
        <f t="shared" si="20"/>
        <v>0</v>
      </c>
      <c r="H74" s="235">
        <f t="shared" si="20"/>
        <v>0</v>
      </c>
      <c r="I74" s="235">
        <f t="shared" si="20"/>
        <v>0</v>
      </c>
      <c r="J74" s="235">
        <f t="shared" si="20"/>
        <v>0</v>
      </c>
      <c r="K74" s="235">
        <f t="shared" si="20"/>
        <v>1.4E-2</v>
      </c>
      <c r="L74" s="235">
        <f t="shared" si="20"/>
        <v>2.4E-2</v>
      </c>
      <c r="M74" s="235">
        <f t="shared" si="20"/>
        <v>2.3E-2</v>
      </c>
      <c r="N74" s="235">
        <f t="shared" si="20"/>
        <v>1.7000000000000001E-2</v>
      </c>
      <c r="O74" s="235">
        <f t="shared" si="20"/>
        <v>1.2E-2</v>
      </c>
      <c r="P74" s="235">
        <f>P62+P64</f>
        <v>6.9999999999999993E-2</v>
      </c>
      <c r="Q74" s="211"/>
      <c r="R74" s="221"/>
      <c r="S74" s="212"/>
      <c r="T74" s="212"/>
      <c r="U74" s="212"/>
      <c r="V74" s="212"/>
      <c r="W74" s="212"/>
      <c r="X74" s="212"/>
      <c r="Y74" s="212"/>
      <c r="Z74" s="212"/>
      <c r="AA74" s="212"/>
      <c r="AB74" s="212"/>
      <c r="AC74" s="212"/>
      <c r="AD74" s="212"/>
      <c r="AE74" s="213"/>
    </row>
    <row r="75" spans="1:31" s="214" customFormat="1" ht="15" hidden="1" x14ac:dyDescent="0.25">
      <c r="A75" s="211"/>
      <c r="B75" s="236"/>
      <c r="C75" s="237" t="s">
        <v>50</v>
      </c>
      <c r="D75" s="238">
        <f>D74*1/$B$35</f>
        <v>0</v>
      </c>
      <c r="E75" s="238">
        <f t="shared" ref="E75:O75" si="21">E74*1/$B$35</f>
        <v>0</v>
      </c>
      <c r="F75" s="238">
        <f t="shared" si="21"/>
        <v>0</v>
      </c>
      <c r="G75" s="238">
        <f t="shared" si="21"/>
        <v>0</v>
      </c>
      <c r="H75" s="238">
        <f t="shared" si="21"/>
        <v>0</v>
      </c>
      <c r="I75" s="238">
        <f t="shared" si="21"/>
        <v>0</v>
      </c>
      <c r="J75" s="238">
        <f t="shared" si="21"/>
        <v>0</v>
      </c>
      <c r="K75" s="238">
        <f t="shared" si="21"/>
        <v>0.15555555555555556</v>
      </c>
      <c r="L75" s="238">
        <f t="shared" si="21"/>
        <v>0.26666666666666666</v>
      </c>
      <c r="M75" s="238">
        <f t="shared" si="21"/>
        <v>0.25555555555555554</v>
      </c>
      <c r="N75" s="238">
        <f t="shared" si="21"/>
        <v>0.18888888888888891</v>
      </c>
      <c r="O75" s="238">
        <f t="shared" si="21"/>
        <v>0.13333333333333333</v>
      </c>
      <c r="P75" s="239">
        <f>SUM(D75:O75)</f>
        <v>1</v>
      </c>
      <c r="Q75" s="240"/>
      <c r="R75" s="211"/>
      <c r="S75" s="212"/>
      <c r="T75" s="212"/>
      <c r="U75" s="212"/>
      <c r="V75" s="212"/>
      <c r="W75" s="212"/>
      <c r="X75" s="212"/>
      <c r="Y75" s="212"/>
      <c r="Z75" s="212"/>
      <c r="AA75" s="212"/>
      <c r="AB75" s="212"/>
      <c r="AC75" s="212"/>
      <c r="AD75" s="212"/>
      <c r="AE75" s="213"/>
    </row>
    <row r="76" spans="1:31" s="214" customFormat="1" ht="15" hidden="1" x14ac:dyDescent="0.25">
      <c r="A76" s="240"/>
      <c r="B76" s="241"/>
      <c r="C76" s="241"/>
      <c r="D76" s="241"/>
      <c r="E76" s="241"/>
      <c r="F76" s="241"/>
      <c r="G76" s="241"/>
      <c r="H76" s="241"/>
      <c r="I76" s="241"/>
      <c r="J76" s="241"/>
      <c r="K76" s="241"/>
      <c r="L76" s="241"/>
      <c r="M76" s="241"/>
      <c r="N76" s="241"/>
      <c r="O76" s="241"/>
      <c r="P76" s="241"/>
      <c r="Q76" s="240"/>
      <c r="R76" s="240"/>
      <c r="S76" s="212"/>
      <c r="T76" s="212"/>
      <c r="U76" s="212"/>
      <c r="V76" s="212"/>
      <c r="W76" s="212"/>
      <c r="X76" s="212"/>
      <c r="Y76" s="212"/>
      <c r="Z76" s="212"/>
      <c r="AA76" s="212"/>
      <c r="AB76" s="212"/>
      <c r="AC76" s="212"/>
      <c r="AD76" s="212"/>
      <c r="AE76" s="213"/>
    </row>
    <row r="77" spans="1:31" s="214" customFormat="1" ht="15" hidden="1" x14ac:dyDescent="0.25">
      <c r="A77" s="220"/>
      <c r="B77" s="242"/>
      <c r="C77" s="242"/>
      <c r="D77" s="235">
        <f>+D61+D63+D65+D67</f>
        <v>0</v>
      </c>
      <c r="E77" s="235">
        <f t="shared" ref="E77:O77" si="22">+E61+E63+E65+E67</f>
        <v>0</v>
      </c>
      <c r="F77" s="235">
        <f t="shared" si="22"/>
        <v>0</v>
      </c>
      <c r="G77" s="235">
        <f t="shared" si="22"/>
        <v>0</v>
      </c>
      <c r="H77" s="235">
        <f t="shared" si="22"/>
        <v>0</v>
      </c>
      <c r="I77" s="235">
        <f t="shared" si="22"/>
        <v>0</v>
      </c>
      <c r="J77" s="235">
        <f t="shared" si="22"/>
        <v>0</v>
      </c>
      <c r="K77" s="235">
        <f t="shared" si="22"/>
        <v>1.4E-2</v>
      </c>
      <c r="L77" s="235">
        <f t="shared" si="22"/>
        <v>2.4E-2</v>
      </c>
      <c r="M77" s="235">
        <f t="shared" si="22"/>
        <v>2.3E-2</v>
      </c>
      <c r="N77" s="235">
        <f t="shared" si="22"/>
        <v>1.7000000000000001E-2</v>
      </c>
      <c r="O77" s="235">
        <f t="shared" si="22"/>
        <v>1.2E-2</v>
      </c>
      <c r="P77" s="235">
        <f>+P61+P63</f>
        <v>6.9999999999999993E-2</v>
      </c>
      <c r="Q77" s="220"/>
      <c r="R77" s="220"/>
      <c r="S77" s="212"/>
      <c r="T77" s="212"/>
      <c r="U77" s="212"/>
      <c r="V77" s="212"/>
      <c r="W77" s="212"/>
      <c r="X77" s="212"/>
      <c r="Y77" s="212"/>
      <c r="Z77" s="212"/>
      <c r="AA77" s="212"/>
      <c r="AB77" s="212"/>
      <c r="AC77" s="212"/>
      <c r="AD77" s="212"/>
      <c r="AE77" s="213"/>
    </row>
    <row r="78" spans="1:31" s="214" customFormat="1" ht="15" hidden="1" x14ac:dyDescent="0.25">
      <c r="A78" s="220"/>
      <c r="B78" s="242"/>
      <c r="C78" s="237" t="s">
        <v>48</v>
      </c>
      <c r="D78" s="238">
        <f>D77*1/$B$35</f>
        <v>0</v>
      </c>
      <c r="E78" s="238">
        <f t="shared" ref="E78:O78" si="23">E77*1/$B$35</f>
        <v>0</v>
      </c>
      <c r="F78" s="238">
        <f t="shared" si="23"/>
        <v>0</v>
      </c>
      <c r="G78" s="238">
        <f t="shared" si="23"/>
        <v>0</v>
      </c>
      <c r="H78" s="238">
        <f t="shared" si="23"/>
        <v>0</v>
      </c>
      <c r="I78" s="238">
        <f t="shared" si="23"/>
        <v>0</v>
      </c>
      <c r="J78" s="238">
        <f t="shared" si="23"/>
        <v>0</v>
      </c>
      <c r="K78" s="238">
        <f t="shared" si="23"/>
        <v>0.15555555555555556</v>
      </c>
      <c r="L78" s="238">
        <f t="shared" si="23"/>
        <v>0.26666666666666666</v>
      </c>
      <c r="M78" s="238">
        <f t="shared" si="23"/>
        <v>0.25555555555555554</v>
      </c>
      <c r="N78" s="238">
        <f t="shared" si="23"/>
        <v>0.18888888888888891</v>
      </c>
      <c r="O78" s="238">
        <f t="shared" si="23"/>
        <v>0.13333333333333333</v>
      </c>
      <c r="P78" s="239">
        <f>SUM(D78:O78)</f>
        <v>1</v>
      </c>
      <c r="Q78" s="220"/>
      <c r="R78" s="220"/>
      <c r="S78" s="212"/>
      <c r="T78" s="212"/>
      <c r="U78" s="212"/>
      <c r="V78" s="212"/>
      <c r="W78" s="212"/>
      <c r="X78" s="212"/>
      <c r="Y78" s="212"/>
      <c r="Z78" s="212"/>
      <c r="AA78" s="212"/>
      <c r="AB78" s="212"/>
      <c r="AC78" s="212"/>
      <c r="AD78" s="212"/>
      <c r="AE78" s="213"/>
    </row>
    <row r="79" spans="1:31" s="214" customFormat="1" ht="15" hidden="1" x14ac:dyDescent="0.25">
      <c r="A79" s="212"/>
      <c r="Q79" s="212"/>
      <c r="R79" s="212"/>
      <c r="S79" s="212"/>
      <c r="T79" s="212"/>
      <c r="U79" s="212"/>
      <c r="V79" s="212"/>
      <c r="W79" s="212"/>
      <c r="X79" s="212"/>
      <c r="Y79" s="212"/>
      <c r="Z79" s="212"/>
      <c r="AA79" s="212"/>
      <c r="AB79" s="212"/>
      <c r="AC79" s="212"/>
      <c r="AD79" s="212"/>
      <c r="AE79" s="213"/>
    </row>
    <row r="80" spans="1:31" s="214" customFormat="1" ht="15" hidden="1" x14ac:dyDescent="0.25">
      <c r="A80" s="212"/>
      <c r="Q80" s="212"/>
      <c r="R80" s="212"/>
      <c r="S80" s="212"/>
      <c r="T80" s="212"/>
      <c r="U80" s="212"/>
      <c r="V80" s="212"/>
      <c r="W80" s="212"/>
      <c r="X80" s="212"/>
      <c r="Y80" s="212"/>
      <c r="Z80" s="212"/>
      <c r="AA80" s="212"/>
      <c r="AB80" s="212"/>
      <c r="AC80" s="212"/>
      <c r="AD80" s="212"/>
      <c r="AE80" s="213"/>
    </row>
    <row r="81" spans="1:31" s="214" customFormat="1" ht="15" hidden="1" x14ac:dyDescent="0.25">
      <c r="A81" s="212"/>
      <c r="Q81" s="212"/>
      <c r="R81" s="212"/>
      <c r="S81" s="212"/>
      <c r="T81" s="212"/>
      <c r="U81" s="212"/>
      <c r="V81" s="212"/>
      <c r="W81" s="212"/>
      <c r="X81" s="212"/>
      <c r="Y81" s="212"/>
      <c r="Z81" s="212"/>
      <c r="AA81" s="212"/>
      <c r="AB81" s="212"/>
      <c r="AC81" s="212"/>
      <c r="AD81" s="212"/>
      <c r="AE81" s="213"/>
    </row>
    <row r="82" spans="1:31" hidden="1" x14ac:dyDescent="0.25">
      <c r="Q82" s="210"/>
      <c r="R82" s="210"/>
      <c r="S82" s="210"/>
      <c r="T82" s="210"/>
      <c r="U82" s="210"/>
      <c r="V82" s="210"/>
      <c r="W82" s="210"/>
      <c r="X82" s="210"/>
      <c r="Y82" s="210"/>
      <c r="Z82" s="210"/>
      <c r="AA82" s="210"/>
      <c r="AB82" s="210"/>
      <c r="AC82" s="210"/>
      <c r="AD82" s="210"/>
      <c r="AE82" s="210"/>
    </row>
    <row r="83" spans="1:31" hidden="1" x14ac:dyDescent="0.25">
      <c r="Q83" s="210"/>
      <c r="R83" s="210"/>
      <c r="S83" s="210"/>
      <c r="T83" s="210"/>
      <c r="U83" s="210"/>
      <c r="V83" s="210"/>
      <c r="W83" s="210"/>
      <c r="X83" s="210"/>
      <c r="Y83" s="210"/>
      <c r="Z83" s="210"/>
      <c r="AA83" s="210"/>
      <c r="AB83" s="210"/>
      <c r="AC83" s="210"/>
      <c r="AD83" s="210"/>
      <c r="AE83" s="210"/>
    </row>
    <row r="84" spans="1:31" hidden="1" x14ac:dyDescent="0.25">
      <c r="Q84" s="210"/>
      <c r="R84" s="210"/>
      <c r="S84" s="210"/>
      <c r="T84" s="210"/>
      <c r="U84" s="210"/>
      <c r="V84" s="210"/>
      <c r="W84" s="210"/>
      <c r="X84" s="210"/>
      <c r="Y84" s="210"/>
      <c r="Z84" s="210"/>
      <c r="AA84" s="210"/>
      <c r="AB84" s="210"/>
      <c r="AC84" s="210"/>
      <c r="AD84" s="210"/>
      <c r="AE84" s="210"/>
    </row>
    <row r="85" spans="1:31" hidden="1" x14ac:dyDescent="0.25"/>
    <row r="86" spans="1:31" hidden="1" x14ac:dyDescent="0.25"/>
    <row r="87" spans="1:31" hidden="1" x14ac:dyDescent="0.25"/>
    <row r="88" spans="1:31" hidden="1" x14ac:dyDescent="0.25"/>
    <row r="89" spans="1:31" hidden="1" x14ac:dyDescent="0.25"/>
    <row r="90" spans="1:31" hidden="1" x14ac:dyDescent="0.25"/>
    <row r="91" spans="1:31" hidden="1" x14ac:dyDescent="0.25"/>
    <row r="92" spans="1:31" hidden="1" x14ac:dyDescent="0.25"/>
    <row r="93" spans="1:31" hidden="1" x14ac:dyDescent="0.25"/>
    <row r="94" spans="1:31" hidden="1" x14ac:dyDescent="0.25"/>
    <row r="95" spans="1:31" hidden="1" x14ac:dyDescent="0.25"/>
    <row r="96" spans="1:3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sheetData>
  <mergeCells count="98">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59:A60"/>
    <mergeCell ref="B59:B60"/>
    <mergeCell ref="C59:P59"/>
    <mergeCell ref="A61:A62"/>
    <mergeCell ref="B61:B62"/>
    <mergeCell ref="A70:A71"/>
    <mergeCell ref="B70:B71"/>
    <mergeCell ref="A72:A73"/>
    <mergeCell ref="B72:B73"/>
    <mergeCell ref="A63:A64"/>
    <mergeCell ref="B63:B64"/>
    <mergeCell ref="A65:A66"/>
    <mergeCell ref="B65:B66"/>
    <mergeCell ref="A67:A68"/>
    <mergeCell ref="B67:B68"/>
  </mergeCells>
  <dataValidations count="4">
    <dataValidation type="textLength" operator="lessThanOrEqual" allowBlank="1" showInputMessage="1" showErrorMessage="1" errorTitle="Máximo 2.000 caracteres" error="Máximo 2.000 caracteres" sqref="Q41 Q43 Q47" xr:uid="{C4E3822F-1E97-4964-AAB3-7AAEB8C5112A}">
      <formula1>2000</formula1>
    </dataValidation>
    <dataValidation type="textLength" operator="lessThanOrEqual" allowBlank="1" showInputMessage="1" showErrorMessage="1" errorTitle="Máximo 2.000 caracteres" error="Máximo 2.000 caracteres" promptTitle="2.000 caracteres" sqref="Q30:Q31" xr:uid="{3A7B6EE1-E059-4DF4-99C5-E9E6D1E9AE99}">
      <formula1>2000</formula1>
    </dataValidation>
    <dataValidation type="list" allowBlank="1" showInputMessage="1" showErrorMessage="1" sqref="C7" xr:uid="{D97B1E49-1D78-4D4B-9CCB-32B006044765}">
      <formula1>$B$21:$M$21</formula1>
    </dataValidation>
    <dataValidation type="textLength" operator="lessThanOrEqual" allowBlank="1" showInputMessage="1" showErrorMessage="1" errorTitle="Máximo 2.000 caracteres" error="Máximo 2.000 caracteres" sqref="Q45:X46" xr:uid="{45AF1F2F-38FB-4EE4-87C7-5C3583486350}">
      <formula1>20000</formula1>
    </dataValidation>
  </dataValidations>
  <hyperlinks>
    <hyperlink ref="Y41" r:id="rId1" display="https://secretariadistritald.sharepoint.com/:f:/s/BogotCaminaSegura/Eu4N-xyBKChHnAQz69FsUWEBCRswyizXUXS7hOc1BJ4Y4Q?e=vksH3M_x000a__x000a_Septiembre_x000a_https://secretariadistritald.sharepoint.com/:f:/s/BogotCaminaSegura/EqABrL0MqthBgWAQStdJpFsBPzAzK9oJ8GUnO_ECgrPQ2w?e=8H" xr:uid="{6903BA29-715A-45A6-9D6A-3B717B3C369D}"/>
    <hyperlink ref="Y45:AE46" r:id="rId2" display="https://secretariadistritald.sharepoint.com/:f:/s/BogotCaminaSegura/EnPh24LzhnVPru-P6HIe5_cBYBGzWZGe36xPwITdY5aquQ?e=eBjO0s" xr:uid="{DCE5642C-925C-4060-9F6C-9F341D39CCDD}"/>
    <hyperlink ref="Y47:AE48" r:id="rId3" display="https://secretariadistritald.sharepoint.com/:f:/s/BogotCaminaSegura/Eks9d141O9JFn2qOOqYKeFIBP9EHvgUL9uElh81GGN6SEw?e=DLNwKO" xr:uid="{62C9DC0E-5907-470E-B0DC-65E8C2562EE0}"/>
  </hyperlinks>
  <printOptions horizontalCentered="1"/>
  <pageMargins left="0.39370078740157483" right="0.39370078740157483" top="0.39370078740157483" bottom="0.39370078740157483" header="0" footer="0"/>
  <pageSetup scale="19"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3A07AC08-D3D1-45CE-8BF3-8988E15C5A31}">
          <x14:formula1>
            <xm:f>listas!$D$2:$D$15</xm:f>
          </x14:formula1>
          <xm:sqref>C11:AE13</xm:sqref>
        </x14:dataValidation>
        <x14:dataValidation type="list" allowBlank="1" showInputMessage="1" showErrorMessage="1" xr:uid="{638B8189-B645-4A2D-8083-A07906DC4FE5}">
          <x14:formula1>
            <xm:f>listas!$A$2:$A$6</xm:f>
          </x14:formula1>
          <xm:sqref>C15:K15</xm:sqref>
        </x14:dataValidation>
        <x14:dataValidation type="list" allowBlank="1" showInputMessage="1" showErrorMessage="1" xr:uid="{6FB476BE-9989-4704-8C38-25037CCC9B69}">
          <x14:formula1>
            <xm:f>listas!$B$2:$B$8</xm:f>
          </x14:formula1>
          <xm:sqref>R15:X15</xm:sqref>
        </x14:dataValidation>
        <x14:dataValidation type="list" allowBlank="1" showInputMessage="1" showErrorMessage="1" xr:uid="{B93B40AD-989E-4023-A544-D44757557B52}">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BG23"/>
  <sheetViews>
    <sheetView view="pageBreakPreview" topLeftCell="S15" zoomScale="60" zoomScaleNormal="60" workbookViewId="0">
      <selection activeCell="H13" sqref="H13"/>
    </sheetView>
  </sheetViews>
  <sheetFormatPr baseColWidth="10" defaultColWidth="10.85546875" defaultRowHeight="31.5" customHeight="1" x14ac:dyDescent="0.25"/>
  <cols>
    <col min="1" max="1" width="15" style="15" customWidth="1"/>
    <col min="2" max="2" width="8.28515625" style="15" customWidth="1"/>
    <col min="3" max="3" width="11.42578125" style="15" customWidth="1"/>
    <col min="4" max="4" width="29.28515625" style="15" customWidth="1"/>
    <col min="5" max="5" width="24" style="15" customWidth="1"/>
    <col min="6" max="6" width="17.28515625" style="15" customWidth="1"/>
    <col min="7" max="7" width="14.7109375" style="27" customWidth="1"/>
    <col min="8" max="8" width="20.7109375" style="27" customWidth="1"/>
    <col min="9" max="9" width="10.5703125" style="15" customWidth="1"/>
    <col min="10" max="11" width="21.140625" style="15" hidden="1" customWidth="1"/>
    <col min="12" max="15" width="8.7109375" style="15" customWidth="1"/>
    <col min="16" max="16" width="22.28515625" style="15" customWidth="1"/>
    <col min="17" max="17" width="22.42578125" style="15" customWidth="1"/>
    <col min="18" max="28" width="7.42578125" style="27" customWidth="1"/>
    <col min="29" max="29" width="5.85546875" style="27" customWidth="1"/>
    <col min="30" max="40" width="8.140625" style="27" customWidth="1"/>
    <col min="41" max="41" width="5.85546875" style="27" customWidth="1"/>
    <col min="42" max="42" width="11.28515625" style="27" customWidth="1"/>
    <col min="43" max="43" width="11.28515625" style="171" customWidth="1"/>
    <col min="44" max="44" width="53.5703125" style="15" customWidth="1"/>
    <col min="45" max="45" width="45" style="15" customWidth="1"/>
    <col min="46" max="46" width="50.28515625" style="15" customWidth="1"/>
    <col min="47" max="48" width="45" style="15" customWidth="1"/>
    <col min="49" max="49" width="10.85546875" style="15"/>
    <col min="50" max="50" width="22.28515625" style="15" customWidth="1"/>
    <col min="51" max="57" width="10.85546875" style="15"/>
    <col min="58" max="58" width="9" style="15" customWidth="1"/>
    <col min="59" max="16384" width="10.85546875" style="15"/>
  </cols>
  <sheetData>
    <row r="1" spans="1:59" ht="31.5" customHeight="1" thickBot="1" x14ac:dyDescent="0.3">
      <c r="A1" s="852" t="s">
        <v>121</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4"/>
      <c r="AU1" s="848" t="s">
        <v>122</v>
      </c>
      <c r="AV1" s="849"/>
    </row>
    <row r="2" spans="1:59" ht="31.5" customHeight="1" thickBot="1" x14ac:dyDescent="0.3">
      <c r="A2" s="855" t="s">
        <v>123</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857"/>
      <c r="AU2" s="607" t="s">
        <v>124</v>
      </c>
      <c r="AV2" s="850"/>
    </row>
    <row r="3" spans="1:59" ht="31.5" customHeight="1" thickBot="1" x14ac:dyDescent="0.3">
      <c r="A3" s="858" t="s">
        <v>0</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60"/>
      <c r="AU3" s="607" t="s">
        <v>126</v>
      </c>
      <c r="AV3" s="850"/>
    </row>
    <row r="4" spans="1:59" ht="31.5" customHeight="1" x14ac:dyDescent="0.25">
      <c r="A4" s="852"/>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4"/>
      <c r="AU4" s="851" t="s">
        <v>252</v>
      </c>
      <c r="AV4" s="851"/>
    </row>
    <row r="5" spans="1:59" ht="31.5" customHeight="1" x14ac:dyDescent="0.25">
      <c r="A5" s="834" t="s">
        <v>253</v>
      </c>
      <c r="B5" s="835"/>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6"/>
      <c r="AD5" s="837" t="s">
        <v>132</v>
      </c>
      <c r="AE5" s="838"/>
      <c r="AF5" s="838"/>
      <c r="AG5" s="838"/>
      <c r="AH5" s="838"/>
      <c r="AI5" s="838"/>
      <c r="AJ5" s="838"/>
      <c r="AK5" s="838"/>
      <c r="AL5" s="838"/>
      <c r="AM5" s="838"/>
      <c r="AN5" s="838"/>
      <c r="AO5" s="838"/>
      <c r="AP5" s="838"/>
      <c r="AQ5" s="839"/>
      <c r="AR5" s="831" t="s">
        <v>104</v>
      </c>
      <c r="AS5" s="831" t="s">
        <v>106</v>
      </c>
      <c r="AT5" s="831" t="s">
        <v>108</v>
      </c>
      <c r="AU5" s="831" t="s">
        <v>110</v>
      </c>
      <c r="AV5" s="831" t="s">
        <v>254</v>
      </c>
    </row>
    <row r="6" spans="1:59" ht="31.5" customHeight="1" x14ac:dyDescent="0.25">
      <c r="A6" s="861" t="s">
        <v>6</v>
      </c>
      <c r="B6" s="862">
        <v>45301</v>
      </c>
      <c r="C6" s="863"/>
      <c r="D6" s="82" t="s">
        <v>129</v>
      </c>
      <c r="E6" s="83"/>
      <c r="F6" s="84"/>
      <c r="G6" s="156"/>
      <c r="H6" s="80"/>
      <c r="I6" s="85"/>
      <c r="J6" s="85"/>
      <c r="K6" s="85"/>
      <c r="L6" s="85"/>
      <c r="M6" s="85"/>
      <c r="N6" s="85"/>
      <c r="O6" s="85"/>
      <c r="P6" s="85"/>
      <c r="Q6" s="85"/>
      <c r="R6" s="80"/>
      <c r="S6" s="80"/>
      <c r="T6" s="80"/>
      <c r="U6" s="80"/>
      <c r="V6" s="80"/>
      <c r="W6" s="80"/>
      <c r="X6" s="80"/>
      <c r="Y6" s="80"/>
      <c r="Z6" s="80"/>
      <c r="AA6" s="80"/>
      <c r="AB6" s="80"/>
      <c r="AC6" s="366"/>
      <c r="AD6" s="840"/>
      <c r="AE6" s="841"/>
      <c r="AF6" s="841"/>
      <c r="AG6" s="841"/>
      <c r="AH6" s="841"/>
      <c r="AI6" s="841"/>
      <c r="AJ6" s="841"/>
      <c r="AK6" s="841"/>
      <c r="AL6" s="841"/>
      <c r="AM6" s="841"/>
      <c r="AN6" s="841"/>
      <c r="AO6" s="841"/>
      <c r="AP6" s="841"/>
      <c r="AQ6" s="842"/>
      <c r="AR6" s="833"/>
      <c r="AS6" s="833"/>
      <c r="AT6" s="833"/>
      <c r="AU6" s="833"/>
      <c r="AV6" s="833"/>
    </row>
    <row r="7" spans="1:59" ht="31.5" customHeight="1" x14ac:dyDescent="0.25">
      <c r="A7" s="861"/>
      <c r="B7" s="863"/>
      <c r="C7" s="863"/>
      <c r="D7" s="82" t="s">
        <v>130</v>
      </c>
      <c r="E7" s="83"/>
      <c r="F7" s="87"/>
      <c r="G7" s="157"/>
      <c r="H7" s="86"/>
      <c r="I7" s="88"/>
      <c r="J7" s="88"/>
      <c r="K7" s="88"/>
      <c r="L7" s="88"/>
      <c r="M7" s="88"/>
      <c r="N7" s="88"/>
      <c r="O7" s="88"/>
      <c r="P7" s="88"/>
      <c r="Q7" s="88"/>
      <c r="R7" s="86"/>
      <c r="S7" s="86"/>
      <c r="T7" s="86"/>
      <c r="U7" s="86"/>
      <c r="V7" s="86"/>
      <c r="W7" s="86"/>
      <c r="X7" s="86"/>
      <c r="Y7" s="86"/>
      <c r="Z7" s="86"/>
      <c r="AA7" s="86"/>
      <c r="AB7" s="86"/>
      <c r="AC7" s="377"/>
      <c r="AD7" s="840"/>
      <c r="AE7" s="841"/>
      <c r="AF7" s="841"/>
      <c r="AG7" s="841"/>
      <c r="AH7" s="841"/>
      <c r="AI7" s="841"/>
      <c r="AJ7" s="841"/>
      <c r="AK7" s="841"/>
      <c r="AL7" s="841"/>
      <c r="AM7" s="841"/>
      <c r="AN7" s="841"/>
      <c r="AO7" s="841"/>
      <c r="AP7" s="841"/>
      <c r="AQ7" s="842"/>
      <c r="AR7" s="833"/>
      <c r="AS7" s="833"/>
      <c r="AT7" s="833"/>
      <c r="AU7" s="833"/>
      <c r="AV7" s="833"/>
    </row>
    <row r="8" spans="1:59" ht="31.5" customHeight="1" x14ac:dyDescent="0.25">
      <c r="A8" s="861"/>
      <c r="B8" s="863"/>
      <c r="C8" s="863"/>
      <c r="D8" s="82" t="s">
        <v>132</v>
      </c>
      <c r="E8" s="83" t="s">
        <v>131</v>
      </c>
      <c r="F8" s="89"/>
      <c r="G8" s="158"/>
      <c r="H8" s="91"/>
      <c r="I8" s="90"/>
      <c r="J8" s="90"/>
      <c r="K8" s="90"/>
      <c r="L8" s="90"/>
      <c r="M8" s="90"/>
      <c r="N8" s="90"/>
      <c r="O8" s="90"/>
      <c r="P8" s="90"/>
      <c r="Q8" s="90"/>
      <c r="R8" s="91"/>
      <c r="S8" s="91"/>
      <c r="T8" s="91"/>
      <c r="U8" s="91"/>
      <c r="V8" s="91"/>
      <c r="W8" s="91"/>
      <c r="X8" s="91"/>
      <c r="Y8" s="91"/>
      <c r="Z8" s="91"/>
      <c r="AA8" s="91"/>
      <c r="AB8" s="91"/>
      <c r="AC8" s="365"/>
      <c r="AD8" s="840"/>
      <c r="AE8" s="841"/>
      <c r="AF8" s="841"/>
      <c r="AG8" s="841"/>
      <c r="AH8" s="841"/>
      <c r="AI8" s="841"/>
      <c r="AJ8" s="841"/>
      <c r="AK8" s="841"/>
      <c r="AL8" s="841"/>
      <c r="AM8" s="841"/>
      <c r="AN8" s="841"/>
      <c r="AO8" s="841"/>
      <c r="AP8" s="841"/>
      <c r="AQ8" s="842"/>
      <c r="AR8" s="833"/>
      <c r="AS8" s="833"/>
      <c r="AT8" s="833"/>
      <c r="AU8" s="833"/>
      <c r="AV8" s="833"/>
    </row>
    <row r="9" spans="1:59" ht="31.5" customHeight="1" x14ac:dyDescent="0.25">
      <c r="A9" s="846" t="s">
        <v>255</v>
      </c>
      <c r="B9" s="864"/>
      <c r="C9" s="864"/>
      <c r="D9" s="865" t="s">
        <v>256</v>
      </c>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40"/>
      <c r="AE9" s="841"/>
      <c r="AF9" s="841"/>
      <c r="AG9" s="841"/>
      <c r="AH9" s="841"/>
      <c r="AI9" s="841"/>
      <c r="AJ9" s="841"/>
      <c r="AK9" s="841"/>
      <c r="AL9" s="841"/>
      <c r="AM9" s="841"/>
      <c r="AN9" s="841"/>
      <c r="AO9" s="841"/>
      <c r="AP9" s="841"/>
      <c r="AQ9" s="842"/>
      <c r="AR9" s="833"/>
      <c r="AS9" s="833"/>
      <c r="AT9" s="833"/>
      <c r="AU9" s="833"/>
      <c r="AV9" s="833"/>
    </row>
    <row r="10" spans="1:59" ht="31.5" customHeight="1" x14ac:dyDescent="0.25">
      <c r="A10" s="846" t="s">
        <v>257</v>
      </c>
      <c r="B10" s="864"/>
      <c r="C10" s="864"/>
      <c r="D10" s="865" t="s">
        <v>134</v>
      </c>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43"/>
      <c r="AE10" s="844"/>
      <c r="AF10" s="844"/>
      <c r="AG10" s="844"/>
      <c r="AH10" s="844"/>
      <c r="AI10" s="844"/>
      <c r="AJ10" s="844"/>
      <c r="AK10" s="844"/>
      <c r="AL10" s="844"/>
      <c r="AM10" s="844"/>
      <c r="AN10" s="844"/>
      <c r="AO10" s="844"/>
      <c r="AP10" s="844"/>
      <c r="AQ10" s="845"/>
      <c r="AR10" s="833"/>
      <c r="AS10" s="833"/>
      <c r="AT10" s="833"/>
      <c r="AU10" s="833"/>
      <c r="AV10" s="833"/>
    </row>
    <row r="11" spans="1:59" ht="63.6" customHeight="1" x14ac:dyDescent="0.25">
      <c r="A11" s="846" t="s">
        <v>74</v>
      </c>
      <c r="B11" s="864"/>
      <c r="C11" s="864"/>
      <c r="D11" s="831" t="s">
        <v>258</v>
      </c>
      <c r="E11" s="831" t="s">
        <v>78</v>
      </c>
      <c r="F11" s="831" t="s">
        <v>80</v>
      </c>
      <c r="G11" s="831" t="s">
        <v>82</v>
      </c>
      <c r="H11" s="831" t="s">
        <v>259</v>
      </c>
      <c r="I11" s="831" t="s">
        <v>86</v>
      </c>
      <c r="J11" s="831" t="s">
        <v>88</v>
      </c>
      <c r="K11" s="831" t="s">
        <v>90</v>
      </c>
      <c r="L11" s="866" t="s">
        <v>92</v>
      </c>
      <c r="M11" s="867"/>
      <c r="N11" s="867"/>
      <c r="O11" s="867"/>
      <c r="P11" s="831" t="s">
        <v>94</v>
      </c>
      <c r="Q11" s="831" t="s">
        <v>96</v>
      </c>
      <c r="R11" s="834" t="s">
        <v>98</v>
      </c>
      <c r="S11" s="835"/>
      <c r="T11" s="835"/>
      <c r="U11" s="835"/>
      <c r="V11" s="835"/>
      <c r="W11" s="835"/>
      <c r="X11" s="835"/>
      <c r="Y11" s="835"/>
      <c r="Z11" s="835"/>
      <c r="AA11" s="835"/>
      <c r="AB11" s="835"/>
      <c r="AC11" s="836"/>
      <c r="AD11" s="834" t="s">
        <v>100</v>
      </c>
      <c r="AE11" s="835"/>
      <c r="AF11" s="835"/>
      <c r="AG11" s="835"/>
      <c r="AH11" s="835"/>
      <c r="AI11" s="835"/>
      <c r="AJ11" s="835"/>
      <c r="AK11" s="835"/>
      <c r="AL11" s="835"/>
      <c r="AM11" s="835"/>
      <c r="AN11" s="835"/>
      <c r="AO11" s="836"/>
      <c r="AP11" s="846" t="s">
        <v>102</v>
      </c>
      <c r="AQ11" s="847"/>
      <c r="AR11" s="833"/>
      <c r="AS11" s="833"/>
      <c r="AT11" s="833"/>
      <c r="AU11" s="833"/>
      <c r="AV11" s="833"/>
    </row>
    <row r="12" spans="1:59" ht="95.45" customHeight="1" x14ac:dyDescent="0.25">
      <c r="A12" s="81" t="s">
        <v>260</v>
      </c>
      <c r="B12" s="81" t="s">
        <v>261</v>
      </c>
      <c r="C12" s="81" t="s">
        <v>262</v>
      </c>
      <c r="D12" s="833"/>
      <c r="E12" s="832"/>
      <c r="F12" s="832"/>
      <c r="G12" s="832"/>
      <c r="H12" s="832"/>
      <c r="I12" s="832"/>
      <c r="J12" s="832"/>
      <c r="K12" s="832"/>
      <c r="L12" s="378">
        <v>2024</v>
      </c>
      <c r="M12" s="378">
        <v>2025</v>
      </c>
      <c r="N12" s="378">
        <v>2026</v>
      </c>
      <c r="O12" s="378">
        <v>2027</v>
      </c>
      <c r="P12" s="832"/>
      <c r="Q12" s="832"/>
      <c r="R12" s="92" t="s">
        <v>141</v>
      </c>
      <c r="S12" s="92" t="s">
        <v>142</v>
      </c>
      <c r="T12" s="92" t="s">
        <v>143</v>
      </c>
      <c r="U12" s="92" t="s">
        <v>144</v>
      </c>
      <c r="V12" s="92" t="s">
        <v>145</v>
      </c>
      <c r="W12" s="92" t="s">
        <v>146</v>
      </c>
      <c r="X12" s="92" t="s">
        <v>147</v>
      </c>
      <c r="Y12" s="92" t="s">
        <v>148</v>
      </c>
      <c r="Z12" s="92" t="s">
        <v>149</v>
      </c>
      <c r="AA12" s="92" t="s">
        <v>150</v>
      </c>
      <c r="AB12" s="92" t="s">
        <v>151</v>
      </c>
      <c r="AC12" s="92" t="s">
        <v>128</v>
      </c>
      <c r="AD12" s="92" t="s">
        <v>141</v>
      </c>
      <c r="AE12" s="92" t="s">
        <v>142</v>
      </c>
      <c r="AF12" s="92" t="s">
        <v>143</v>
      </c>
      <c r="AG12" s="92" t="s">
        <v>144</v>
      </c>
      <c r="AH12" s="92" t="s">
        <v>145</v>
      </c>
      <c r="AI12" s="92" t="s">
        <v>146</v>
      </c>
      <c r="AJ12" s="92" t="s">
        <v>147</v>
      </c>
      <c r="AK12" s="92" t="s">
        <v>148</v>
      </c>
      <c r="AL12" s="92" t="s">
        <v>149</v>
      </c>
      <c r="AM12" s="92" t="s">
        <v>150</v>
      </c>
      <c r="AN12" s="92" t="s">
        <v>151</v>
      </c>
      <c r="AO12" s="92" t="s">
        <v>128</v>
      </c>
      <c r="AP12" s="81" t="s">
        <v>263</v>
      </c>
      <c r="AQ12" s="93" t="s">
        <v>264</v>
      </c>
      <c r="AR12" s="832"/>
      <c r="AS12" s="832"/>
      <c r="AT12" s="832"/>
      <c r="AU12" s="832"/>
      <c r="AV12" s="832"/>
    </row>
    <row r="13" spans="1:59" s="147" customFormat="1" ht="178.15" customHeight="1" x14ac:dyDescent="0.25">
      <c r="A13" s="515" t="s">
        <v>136</v>
      </c>
      <c r="B13" s="83">
        <v>11</v>
      </c>
      <c r="C13" s="144"/>
      <c r="D13" s="144" t="s">
        <v>265</v>
      </c>
      <c r="E13" s="144" t="s">
        <v>266</v>
      </c>
      <c r="F13" s="144" t="s">
        <v>267</v>
      </c>
      <c r="G13" s="161" t="s">
        <v>268</v>
      </c>
      <c r="H13" s="83">
        <v>11000</v>
      </c>
      <c r="I13" s="143" t="s">
        <v>269</v>
      </c>
      <c r="J13" s="144" t="s">
        <v>270</v>
      </c>
      <c r="K13" s="144" t="s">
        <v>271</v>
      </c>
      <c r="L13" s="368">
        <v>1500</v>
      </c>
      <c r="M13" s="368">
        <v>3000</v>
      </c>
      <c r="N13" s="368">
        <v>3000</v>
      </c>
      <c r="O13" s="368">
        <v>3500</v>
      </c>
      <c r="P13" s="144" t="s">
        <v>272</v>
      </c>
      <c r="Q13" s="144" t="s">
        <v>273</v>
      </c>
      <c r="R13" s="83">
        <v>0</v>
      </c>
      <c r="S13" s="83">
        <v>0</v>
      </c>
      <c r="T13" s="83">
        <v>0</v>
      </c>
      <c r="U13" s="83">
        <v>0</v>
      </c>
      <c r="V13" s="83">
        <v>0</v>
      </c>
      <c r="W13" s="83">
        <v>0</v>
      </c>
      <c r="X13" s="83">
        <v>0</v>
      </c>
      <c r="Y13" s="83">
        <v>0</v>
      </c>
      <c r="Z13" s="83">
        <v>350</v>
      </c>
      <c r="AA13" s="83">
        <v>350</v>
      </c>
      <c r="AB13" s="83">
        <v>400</v>
      </c>
      <c r="AC13" s="83">
        <v>400</v>
      </c>
      <c r="AD13" s="83">
        <v>0</v>
      </c>
      <c r="AE13" s="83">
        <v>0</v>
      </c>
      <c r="AF13" s="83">
        <v>0</v>
      </c>
      <c r="AG13" s="83">
        <v>0</v>
      </c>
      <c r="AH13" s="83">
        <v>0</v>
      </c>
      <c r="AI13" s="83">
        <v>0</v>
      </c>
      <c r="AJ13" s="83">
        <v>0</v>
      </c>
      <c r="AK13" s="83">
        <v>0</v>
      </c>
      <c r="AL13" s="83">
        <v>184</v>
      </c>
      <c r="AM13" s="83">
        <v>422</v>
      </c>
      <c r="AN13" s="83">
        <v>987</v>
      </c>
      <c r="AO13" s="83">
        <v>167</v>
      </c>
      <c r="AP13" s="83">
        <f>SUM(AD13:AO13)</f>
        <v>1760</v>
      </c>
      <c r="AQ13" s="170" cm="1">
        <f t="array" ref="AQ13">+SUM(AD13:AO13/L13)</f>
        <v>1.1733333333333333</v>
      </c>
      <c r="AR13" s="271" t="s">
        <v>274</v>
      </c>
      <c r="AS13" s="533" t="s">
        <v>275</v>
      </c>
      <c r="AT13" s="531" t="s">
        <v>276</v>
      </c>
      <c r="AU13" s="146" t="s">
        <v>277</v>
      </c>
      <c r="AV13" s="146" t="s">
        <v>278</v>
      </c>
    </row>
    <row r="14" spans="1:59" s="147" customFormat="1" ht="408" customHeight="1" x14ac:dyDescent="0.25">
      <c r="A14" s="516"/>
      <c r="B14" s="144"/>
      <c r="C14" s="152"/>
      <c r="D14" s="155" t="s">
        <v>279</v>
      </c>
      <c r="E14" s="153" t="s">
        <v>280</v>
      </c>
      <c r="F14" s="143" t="s">
        <v>281</v>
      </c>
      <c r="G14" s="161" t="s">
        <v>268</v>
      </c>
      <c r="H14" s="161">
        <v>9</v>
      </c>
      <c r="I14" s="143" t="s">
        <v>269</v>
      </c>
      <c r="J14" s="143" t="s">
        <v>282</v>
      </c>
      <c r="K14" s="143" t="s">
        <v>271</v>
      </c>
      <c r="L14" s="379">
        <v>3</v>
      </c>
      <c r="M14" s="379">
        <v>3</v>
      </c>
      <c r="N14" s="379">
        <v>2</v>
      </c>
      <c r="O14" s="379">
        <v>1</v>
      </c>
      <c r="P14" s="145" t="s">
        <v>272</v>
      </c>
      <c r="Q14" s="145" t="s">
        <v>273</v>
      </c>
      <c r="R14" s="83">
        <v>0</v>
      </c>
      <c r="S14" s="83">
        <v>0</v>
      </c>
      <c r="T14" s="83">
        <v>0</v>
      </c>
      <c r="U14" s="83">
        <v>0</v>
      </c>
      <c r="V14" s="83">
        <v>0</v>
      </c>
      <c r="W14" s="83">
        <v>0</v>
      </c>
      <c r="X14" s="83">
        <v>0</v>
      </c>
      <c r="Y14" s="83">
        <v>0</v>
      </c>
      <c r="Z14" s="83">
        <v>1</v>
      </c>
      <c r="AA14" s="83">
        <v>1</v>
      </c>
      <c r="AB14" s="83">
        <v>1</v>
      </c>
      <c r="AC14" s="83">
        <v>0</v>
      </c>
      <c r="AD14" s="169">
        <f>+Meta.1!D36</f>
        <v>0</v>
      </c>
      <c r="AE14" s="169">
        <f>+Meta.1!E36</f>
        <v>0</v>
      </c>
      <c r="AF14" s="169">
        <f>+Meta.1!F36</f>
        <v>0</v>
      </c>
      <c r="AG14" s="169">
        <f>+Meta.1!G36</f>
        <v>0</v>
      </c>
      <c r="AH14" s="169">
        <f>+Meta.1!H36</f>
        <v>0</v>
      </c>
      <c r="AI14" s="169">
        <f>+Meta.1!I36</f>
        <v>0</v>
      </c>
      <c r="AJ14" s="169">
        <f>+Meta.1!J36</f>
        <v>0</v>
      </c>
      <c r="AK14" s="169">
        <f>+Meta.1!K36</f>
        <v>0.56999999999999995</v>
      </c>
      <c r="AL14" s="169">
        <f>+Meta.1!L36</f>
        <v>1.0349999999999997</v>
      </c>
      <c r="AM14" s="169">
        <f>+Meta.1!M36</f>
        <v>0.34500000000000003</v>
      </c>
      <c r="AN14" s="169">
        <f>+Meta.1!N36</f>
        <v>0.52500000000000002</v>
      </c>
      <c r="AO14" s="169">
        <f>+Meta.1!O36</f>
        <v>0.52500000000000002</v>
      </c>
      <c r="AP14" s="83">
        <f t="shared" ref="AP14:AP19" si="0">IF(G14="suma",SUM(AD14:AO14),IF(G14="creciente",MAX(AD14:AO14),IF(G14="DECRECIENTE",O14-MIN(AD14:AO14),IF(G14="CONSTANTE",AVERAGE(AD14:AO14)," "))))</f>
        <v>2.9999999999999996</v>
      </c>
      <c r="AQ14" s="170" cm="1">
        <f t="array" ref="AQ14">+SUM(AD14:AO14/L14)</f>
        <v>1</v>
      </c>
      <c r="AR14" s="270" t="s">
        <v>283</v>
      </c>
      <c r="AS14" s="534" t="s">
        <v>284</v>
      </c>
      <c r="AT14" s="951" t="s">
        <v>163</v>
      </c>
      <c r="AU14" s="146"/>
      <c r="AV14" s="146"/>
      <c r="AX14" s="363"/>
      <c r="AY14" s="147">
        <f>LEN(AX14)</f>
        <v>0</v>
      </c>
      <c r="BG14" s="147" t="s">
        <v>285</v>
      </c>
    </row>
    <row r="15" spans="1:59" s="147" customFormat="1" ht="409.15" customHeight="1" x14ac:dyDescent="0.25">
      <c r="A15" s="516"/>
      <c r="B15" s="144"/>
      <c r="C15" s="144"/>
      <c r="D15" s="154" t="s">
        <v>286</v>
      </c>
      <c r="E15" s="144" t="s">
        <v>287</v>
      </c>
      <c r="F15" s="144" t="s">
        <v>288</v>
      </c>
      <c r="G15" s="161" t="s">
        <v>268</v>
      </c>
      <c r="H15" s="83">
        <v>3</v>
      </c>
      <c r="I15" s="143" t="s">
        <v>269</v>
      </c>
      <c r="J15" s="144" t="s">
        <v>289</v>
      </c>
      <c r="K15" s="143" t="s">
        <v>271</v>
      </c>
      <c r="L15" s="368">
        <v>1</v>
      </c>
      <c r="M15" s="368">
        <v>1</v>
      </c>
      <c r="N15" s="368">
        <v>1</v>
      </c>
      <c r="O15" s="368">
        <v>0</v>
      </c>
      <c r="P15" s="144" t="s">
        <v>272</v>
      </c>
      <c r="Q15" s="144" t="s">
        <v>290</v>
      </c>
      <c r="R15" s="83">
        <v>0</v>
      </c>
      <c r="S15" s="83">
        <v>0</v>
      </c>
      <c r="T15" s="83">
        <v>0</v>
      </c>
      <c r="U15" s="83">
        <v>0</v>
      </c>
      <c r="V15" s="83">
        <v>0</v>
      </c>
      <c r="W15" s="83">
        <v>0</v>
      </c>
      <c r="X15" s="83">
        <v>0</v>
      </c>
      <c r="Y15" s="83">
        <v>0</v>
      </c>
      <c r="Z15" s="83">
        <v>0</v>
      </c>
      <c r="AA15" s="83">
        <v>0</v>
      </c>
      <c r="AB15" s="83">
        <v>0</v>
      </c>
      <c r="AC15" s="83">
        <v>1</v>
      </c>
      <c r="AD15" s="169">
        <f>+Meta.3!D36</f>
        <v>0</v>
      </c>
      <c r="AE15" s="169">
        <f>+Meta.3!E36</f>
        <v>0</v>
      </c>
      <c r="AF15" s="169">
        <f>+Meta.3!F36</f>
        <v>0</v>
      </c>
      <c r="AG15" s="169">
        <f>+Meta.3!G36</f>
        <v>0</v>
      </c>
      <c r="AH15" s="169">
        <f>+Meta.3!H36</f>
        <v>0</v>
      </c>
      <c r="AI15" s="169">
        <f>+Meta.3!I36</f>
        <v>0</v>
      </c>
      <c r="AJ15" s="169">
        <f>+Meta.3!J36</f>
        <v>0</v>
      </c>
      <c r="AK15" s="169">
        <f>+Meta.3!K36</f>
        <v>4.0579710144927547E-2</v>
      </c>
      <c r="AL15" s="169">
        <f>+Meta.3!L36</f>
        <v>0.17971014492753629</v>
      </c>
      <c r="AM15" s="169">
        <f>+Meta.3!M36</f>
        <v>0.25797101449275367</v>
      </c>
      <c r="AN15" s="169">
        <f>+Meta.3!N36</f>
        <v>0.29420289855072468</v>
      </c>
      <c r="AO15" s="169">
        <f>+Meta.3!O36</f>
        <v>0.227536231884058</v>
      </c>
      <c r="AP15" s="83">
        <f t="shared" si="0"/>
        <v>1.0000000000000002</v>
      </c>
      <c r="AQ15" s="170" cm="1">
        <f t="array" ref="AQ15">+SUM(AD15:AO15/L15)</f>
        <v>1.0000000000000002</v>
      </c>
      <c r="AR15" s="271" t="s">
        <v>291</v>
      </c>
      <c r="AS15" s="534" t="s">
        <v>292</v>
      </c>
      <c r="AT15" s="531"/>
      <c r="AU15" s="146"/>
      <c r="AV15" s="146"/>
      <c r="AX15" s="271"/>
      <c r="AY15" s="147">
        <f>LEN(AX15)</f>
        <v>0</v>
      </c>
      <c r="BG15" s="147" t="s">
        <v>293</v>
      </c>
    </row>
    <row r="16" spans="1:59" s="147" customFormat="1" ht="409.15" customHeight="1" x14ac:dyDescent="0.2">
      <c r="A16" s="516"/>
      <c r="B16" s="144"/>
      <c r="C16" s="144"/>
      <c r="D16" s="144" t="s">
        <v>294</v>
      </c>
      <c r="E16" s="144" t="s">
        <v>287</v>
      </c>
      <c r="F16" s="144" t="s">
        <v>288</v>
      </c>
      <c r="G16" s="161" t="s">
        <v>268</v>
      </c>
      <c r="H16" s="83">
        <v>3</v>
      </c>
      <c r="I16" s="143" t="s">
        <v>269</v>
      </c>
      <c r="J16" s="144" t="s">
        <v>289</v>
      </c>
      <c r="K16" s="143" t="s">
        <v>271</v>
      </c>
      <c r="L16" s="368">
        <v>1</v>
      </c>
      <c r="M16" s="368">
        <v>1</v>
      </c>
      <c r="N16" s="368">
        <v>1</v>
      </c>
      <c r="O16" s="368">
        <v>0</v>
      </c>
      <c r="P16" s="144" t="s">
        <v>272</v>
      </c>
      <c r="Q16" s="144" t="s">
        <v>290</v>
      </c>
      <c r="R16" s="83">
        <v>0</v>
      </c>
      <c r="S16" s="83">
        <v>0</v>
      </c>
      <c r="T16" s="83">
        <v>0</v>
      </c>
      <c r="U16" s="83">
        <v>0</v>
      </c>
      <c r="V16" s="83">
        <v>0</v>
      </c>
      <c r="W16" s="83">
        <v>0</v>
      </c>
      <c r="X16" s="83">
        <v>0</v>
      </c>
      <c r="Y16" s="83">
        <v>0</v>
      </c>
      <c r="Z16" s="83">
        <v>0</v>
      </c>
      <c r="AA16" s="83">
        <v>0</v>
      </c>
      <c r="AB16" s="83">
        <v>0</v>
      </c>
      <c r="AC16" s="83">
        <v>1</v>
      </c>
      <c r="AD16" s="169">
        <f>+Meta.4!D36</f>
        <v>0</v>
      </c>
      <c r="AE16" s="169">
        <f>+Meta.4!E36</f>
        <v>0</v>
      </c>
      <c r="AF16" s="169">
        <f>+Meta.4!F36</f>
        <v>0</v>
      </c>
      <c r="AG16" s="169">
        <f>+Meta.4!G36</f>
        <v>0</v>
      </c>
      <c r="AH16" s="169">
        <f>+Meta.4!H36</f>
        <v>0</v>
      </c>
      <c r="AI16" s="169">
        <f>+Meta.4!I36</f>
        <v>0</v>
      </c>
      <c r="AJ16" s="169">
        <f>+Meta.4!J36</f>
        <v>0</v>
      </c>
      <c r="AK16" s="169">
        <f>+Meta.4!K36</f>
        <v>0.20833333333333334</v>
      </c>
      <c r="AL16" s="169">
        <f>+Meta.4!L36</f>
        <v>0.2416666666666667</v>
      </c>
      <c r="AM16" s="169">
        <f>+Meta.4!M36</f>
        <v>0.35000000000000003</v>
      </c>
      <c r="AN16" s="169">
        <f>+Meta.4!N36</f>
        <v>0.1</v>
      </c>
      <c r="AO16" s="169">
        <f>+Meta.4!O36</f>
        <v>0.1</v>
      </c>
      <c r="AP16" s="83">
        <f t="shared" si="0"/>
        <v>1</v>
      </c>
      <c r="AQ16" s="170" cm="1">
        <f t="array" ref="AQ16">+SUM(AD16:AO16/L16)</f>
        <v>1</v>
      </c>
      <c r="AR16" s="271" t="s">
        <v>221</v>
      </c>
      <c r="AS16" s="534" t="s">
        <v>295</v>
      </c>
      <c r="AT16" s="537" t="s">
        <v>222</v>
      </c>
      <c r="AU16" s="146" t="s">
        <v>278</v>
      </c>
      <c r="AV16" s="146" t="s">
        <v>278</v>
      </c>
      <c r="BG16" s="147" t="s">
        <v>296</v>
      </c>
    </row>
    <row r="17" spans="1:48" s="147" customFormat="1" ht="322.14999999999998" customHeight="1" x14ac:dyDescent="0.25">
      <c r="A17" s="517"/>
      <c r="B17" s="144"/>
      <c r="C17" s="144"/>
      <c r="D17" s="144" t="s">
        <v>297</v>
      </c>
      <c r="E17" s="144" t="s">
        <v>287</v>
      </c>
      <c r="F17" s="144" t="s">
        <v>288</v>
      </c>
      <c r="G17" s="161" t="s">
        <v>268</v>
      </c>
      <c r="H17" s="83">
        <v>3</v>
      </c>
      <c r="I17" s="143" t="s">
        <v>269</v>
      </c>
      <c r="J17" s="144" t="s">
        <v>289</v>
      </c>
      <c r="K17" s="143" t="s">
        <v>271</v>
      </c>
      <c r="L17" s="368">
        <v>1</v>
      </c>
      <c r="M17" s="368">
        <v>1</v>
      </c>
      <c r="N17" s="368">
        <v>1</v>
      </c>
      <c r="O17" s="368">
        <v>0</v>
      </c>
      <c r="P17" s="144" t="s">
        <v>272</v>
      </c>
      <c r="Q17" s="144" t="s">
        <v>290</v>
      </c>
      <c r="R17" s="83">
        <v>0</v>
      </c>
      <c r="S17" s="83">
        <v>0</v>
      </c>
      <c r="T17" s="83">
        <v>0</v>
      </c>
      <c r="U17" s="83">
        <v>0</v>
      </c>
      <c r="V17" s="83">
        <v>0</v>
      </c>
      <c r="W17" s="83">
        <v>0</v>
      </c>
      <c r="X17" s="83">
        <v>0</v>
      </c>
      <c r="Y17" s="83">
        <v>0</v>
      </c>
      <c r="Z17" s="83">
        <v>0</v>
      </c>
      <c r="AA17" s="83">
        <v>0</v>
      </c>
      <c r="AB17" s="83">
        <v>0</v>
      </c>
      <c r="AC17" s="83">
        <v>1</v>
      </c>
      <c r="AD17" s="169">
        <f>+Meta.5!D36</f>
        <v>0</v>
      </c>
      <c r="AE17" s="169">
        <f>+Meta.5!E36</f>
        <v>0</v>
      </c>
      <c r="AF17" s="169">
        <f>+Meta.5!F36</f>
        <v>0</v>
      </c>
      <c r="AG17" s="169">
        <f>+Meta.5!G36</f>
        <v>0</v>
      </c>
      <c r="AH17" s="169">
        <f>+Meta.5!H36</f>
        <v>0</v>
      </c>
      <c r="AI17" s="169">
        <f>+Meta.5!I36</f>
        <v>0</v>
      </c>
      <c r="AJ17" s="169">
        <f>+Meta.5!J36</f>
        <v>0</v>
      </c>
      <c r="AK17" s="169">
        <f>+Meta.5!K36</f>
        <v>0.15555555555555556</v>
      </c>
      <c r="AL17" s="169">
        <f>+Meta.5!L36</f>
        <v>0.26666666666666666</v>
      </c>
      <c r="AM17" s="169">
        <f>+Meta.5!M36</f>
        <v>0.25555555555555554</v>
      </c>
      <c r="AN17" s="169">
        <f>+Meta.5!N36</f>
        <v>0.18888888888888891</v>
      </c>
      <c r="AO17" s="169">
        <f>+Meta.5!O36</f>
        <v>0.13333333333333333</v>
      </c>
      <c r="AP17" s="527">
        <f t="shared" si="0"/>
        <v>1</v>
      </c>
      <c r="AQ17" s="528" cm="1">
        <f t="array" ref="AQ17">+SUM(AD17:AO17/L17)</f>
        <v>1</v>
      </c>
      <c r="AR17" s="529" t="s">
        <v>236</v>
      </c>
      <c r="AS17" s="534" t="s">
        <v>298</v>
      </c>
      <c r="AT17" s="520" t="s">
        <v>237</v>
      </c>
      <c r="AU17" s="529" t="s">
        <v>278</v>
      </c>
      <c r="AV17" s="146" t="s">
        <v>278</v>
      </c>
    </row>
    <row r="18" spans="1:48" s="147" customFormat="1" ht="31.5" customHeight="1" x14ac:dyDescent="0.2">
      <c r="A18" s="144"/>
      <c r="B18" s="144"/>
      <c r="C18" s="144"/>
      <c r="D18" s="144"/>
      <c r="E18" s="144"/>
      <c r="F18" s="144"/>
      <c r="G18" s="161"/>
      <c r="H18" s="83"/>
      <c r="I18" s="143"/>
      <c r="J18" s="144"/>
      <c r="K18" s="144"/>
      <c r="L18" s="368"/>
      <c r="M18" s="368"/>
      <c r="N18" s="368"/>
      <c r="O18" s="368"/>
      <c r="P18" s="144"/>
      <c r="Q18" s="144"/>
      <c r="R18" s="83"/>
      <c r="S18" s="83"/>
      <c r="T18" s="83"/>
      <c r="U18" s="83"/>
      <c r="V18" s="83"/>
      <c r="W18" s="83"/>
      <c r="X18" s="83"/>
      <c r="Y18" s="83"/>
      <c r="Z18" s="83"/>
      <c r="AA18" s="83"/>
      <c r="AB18" s="83"/>
      <c r="AC18" s="83"/>
      <c r="AD18" s="83"/>
      <c r="AE18" s="83"/>
      <c r="AF18" s="83"/>
      <c r="AG18" s="83"/>
      <c r="AH18" s="83"/>
      <c r="AI18" s="83"/>
      <c r="AJ18" s="83"/>
      <c r="AK18" s="83"/>
      <c r="AL18" s="83"/>
      <c r="AM18" s="83"/>
      <c r="AN18" s="83"/>
      <c r="AO18" s="525"/>
      <c r="AP18" s="521" t="str">
        <f t="shared" si="0"/>
        <v xml:space="preserve"> </v>
      </c>
      <c r="AQ18" s="522" t="str">
        <f>IF(G18="suma",AP18/#REF!,IF(G18="creciente",AP18/(MAX(R18:AC18)),IF(G18="DECRECIENTE",AP18/(O18-(MIN(R18:AC18))),IF(G18="CONSTANTE",AP18/AVERAGE(R18:AC18)," "))))</f>
        <v xml:space="preserve"> </v>
      </c>
      <c r="AR18" s="523"/>
      <c r="AS18" s="532"/>
      <c r="AT18" s="538"/>
      <c r="AU18" s="523"/>
      <c r="AV18" s="526"/>
    </row>
    <row r="19" spans="1:48" s="147" customFormat="1" ht="31.5" customHeight="1" x14ac:dyDescent="0.25">
      <c r="A19" s="144"/>
      <c r="B19" s="144"/>
      <c r="C19" s="144"/>
      <c r="D19" s="144"/>
      <c r="E19" s="144"/>
      <c r="F19" s="144"/>
      <c r="G19" s="161"/>
      <c r="H19" s="83"/>
      <c r="I19" s="143"/>
      <c r="J19" s="144"/>
      <c r="K19" s="144"/>
      <c r="L19" s="368"/>
      <c r="M19" s="368"/>
      <c r="N19" s="368"/>
      <c r="O19" s="368"/>
      <c r="P19" s="144"/>
      <c r="Q19" s="144"/>
      <c r="R19" s="83"/>
      <c r="S19" s="83"/>
      <c r="T19" s="83"/>
      <c r="U19" s="83"/>
      <c r="V19" s="83"/>
      <c r="W19" s="83"/>
      <c r="X19" s="83"/>
      <c r="Y19" s="83"/>
      <c r="Z19" s="83"/>
      <c r="AA19" s="83"/>
      <c r="AB19" s="83"/>
      <c r="AC19" s="83"/>
      <c r="AD19" s="83"/>
      <c r="AE19" s="83"/>
      <c r="AF19" s="83"/>
      <c r="AG19" s="83"/>
      <c r="AH19" s="83"/>
      <c r="AI19" s="83"/>
      <c r="AJ19" s="83"/>
      <c r="AK19" s="83"/>
      <c r="AL19" s="83"/>
      <c r="AM19" s="83"/>
      <c r="AN19" s="83"/>
      <c r="AO19" s="525"/>
      <c r="AP19" s="521" t="str">
        <f t="shared" si="0"/>
        <v xml:space="preserve"> </v>
      </c>
      <c r="AQ19" s="522" t="str">
        <f>IF(G19="suma",AP19/#REF!,IF(G19="creciente",AP19/(MAX(R19:AC19)),IF(G19="DECRECIENTE",AP19/(O19-(MIN(R19:AC19))),IF(G19="CONSTANTE",AP19/AVERAGE(R19:AC19)," "))))</f>
        <v xml:space="preserve"> </v>
      </c>
      <c r="AR19" s="523"/>
      <c r="AS19" s="523"/>
      <c r="AT19" s="524"/>
      <c r="AU19" s="523"/>
      <c r="AV19" s="526"/>
    </row>
    <row r="20" spans="1:48" ht="31.5" customHeight="1" x14ac:dyDescent="0.2">
      <c r="A20" s="518" t="s">
        <v>197</v>
      </c>
      <c r="B20" s="519"/>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35"/>
      <c r="AQ20" s="535"/>
      <c r="AR20" s="535"/>
      <c r="AS20" s="535"/>
      <c r="AT20" s="539"/>
      <c r="AU20" s="535"/>
      <c r="AV20" s="536"/>
    </row>
    <row r="21" spans="1:48" ht="59.65" customHeight="1" x14ac:dyDescent="0.25">
      <c r="A21" s="825" t="s">
        <v>299</v>
      </c>
      <c r="B21" s="822" t="s">
        <v>300</v>
      </c>
      <c r="C21" s="823"/>
      <c r="D21" s="824"/>
      <c r="E21" s="815" t="s">
        <v>301</v>
      </c>
      <c r="F21" s="816"/>
      <c r="G21" s="816"/>
      <c r="H21" s="816"/>
      <c r="I21" s="816"/>
      <c r="J21" s="816"/>
      <c r="K21" s="816"/>
      <c r="L21" s="828"/>
      <c r="M21" s="822" t="s">
        <v>300</v>
      </c>
      <c r="N21" s="823"/>
      <c r="O21" s="823"/>
      <c r="P21" s="823"/>
      <c r="Q21" s="824"/>
      <c r="R21" s="822" t="s">
        <v>300</v>
      </c>
      <c r="S21" s="823"/>
      <c r="T21" s="823"/>
      <c r="U21" s="823"/>
      <c r="V21" s="823"/>
      <c r="W21" s="823"/>
      <c r="X21" s="823"/>
      <c r="Y21" s="824"/>
      <c r="Z21" s="822" t="s">
        <v>300</v>
      </c>
      <c r="AA21" s="823"/>
      <c r="AB21" s="823"/>
      <c r="AC21" s="823"/>
      <c r="AD21" s="823"/>
      <c r="AE21" s="823"/>
      <c r="AF21" s="823"/>
      <c r="AG21" s="823"/>
      <c r="AH21" s="823"/>
      <c r="AI21" s="823"/>
      <c r="AJ21" s="823"/>
      <c r="AK21" s="824"/>
      <c r="AL21" s="815" t="s">
        <v>302</v>
      </c>
      <c r="AM21" s="816"/>
      <c r="AN21" s="816"/>
      <c r="AO21" s="816"/>
      <c r="AP21" s="821" t="s">
        <v>303</v>
      </c>
      <c r="AQ21" s="821"/>
      <c r="AR21" s="821"/>
      <c r="AS21" s="821"/>
      <c r="AT21" s="821"/>
      <c r="AU21" s="821"/>
      <c r="AV21" s="821"/>
    </row>
    <row r="22" spans="1:48" ht="46.15" customHeight="1" x14ac:dyDescent="0.25">
      <c r="A22" s="826"/>
      <c r="B22" s="822" t="s">
        <v>304</v>
      </c>
      <c r="C22" s="823"/>
      <c r="D22" s="824"/>
      <c r="E22" s="817"/>
      <c r="F22" s="818"/>
      <c r="G22" s="818"/>
      <c r="H22" s="818"/>
      <c r="I22" s="818"/>
      <c r="J22" s="818"/>
      <c r="K22" s="818"/>
      <c r="L22" s="829"/>
      <c r="M22" s="822" t="s">
        <v>305</v>
      </c>
      <c r="N22" s="823"/>
      <c r="O22" s="823"/>
      <c r="P22" s="823"/>
      <c r="Q22" s="824"/>
      <c r="R22" s="822" t="s">
        <v>306</v>
      </c>
      <c r="S22" s="823"/>
      <c r="T22" s="823"/>
      <c r="U22" s="823"/>
      <c r="V22" s="823"/>
      <c r="W22" s="823"/>
      <c r="X22" s="823"/>
      <c r="Y22" s="824"/>
      <c r="Z22" s="822" t="s">
        <v>307</v>
      </c>
      <c r="AA22" s="823"/>
      <c r="AB22" s="823"/>
      <c r="AC22" s="823"/>
      <c r="AD22" s="823"/>
      <c r="AE22" s="823"/>
      <c r="AF22" s="823"/>
      <c r="AG22" s="823"/>
      <c r="AH22" s="823"/>
      <c r="AI22" s="823"/>
      <c r="AJ22" s="823"/>
      <c r="AK22" s="824"/>
      <c r="AL22" s="817"/>
      <c r="AM22" s="818"/>
      <c r="AN22" s="818"/>
      <c r="AO22" s="818"/>
      <c r="AP22" s="821" t="s">
        <v>307</v>
      </c>
      <c r="AQ22" s="821"/>
      <c r="AR22" s="821"/>
      <c r="AS22" s="821"/>
      <c r="AT22" s="821"/>
      <c r="AU22" s="821"/>
      <c r="AV22" s="821"/>
    </row>
    <row r="23" spans="1:48" ht="33" customHeight="1" x14ac:dyDescent="0.25">
      <c r="A23" s="827"/>
      <c r="B23" s="822" t="s">
        <v>308</v>
      </c>
      <c r="C23" s="823"/>
      <c r="D23" s="824"/>
      <c r="E23" s="819"/>
      <c r="F23" s="820"/>
      <c r="G23" s="820"/>
      <c r="H23" s="820"/>
      <c r="I23" s="820"/>
      <c r="J23" s="820"/>
      <c r="K23" s="820"/>
      <c r="L23" s="830"/>
      <c r="M23" s="822" t="s">
        <v>309</v>
      </c>
      <c r="N23" s="823"/>
      <c r="O23" s="823"/>
      <c r="P23" s="823"/>
      <c r="Q23" s="824"/>
      <c r="R23" s="822" t="s">
        <v>310</v>
      </c>
      <c r="S23" s="823"/>
      <c r="T23" s="823"/>
      <c r="U23" s="823"/>
      <c r="V23" s="823"/>
      <c r="W23" s="823"/>
      <c r="X23" s="823"/>
      <c r="Y23" s="824"/>
      <c r="Z23" s="822" t="s">
        <v>311</v>
      </c>
      <c r="AA23" s="823"/>
      <c r="AB23" s="823"/>
      <c r="AC23" s="823"/>
      <c r="AD23" s="823"/>
      <c r="AE23" s="823"/>
      <c r="AF23" s="823"/>
      <c r="AG23" s="823"/>
      <c r="AH23" s="823"/>
      <c r="AI23" s="823"/>
      <c r="AJ23" s="823"/>
      <c r="AK23" s="824"/>
      <c r="AL23" s="819"/>
      <c r="AM23" s="820"/>
      <c r="AN23" s="820"/>
      <c r="AO23" s="820"/>
      <c r="AP23" s="821" t="s">
        <v>312</v>
      </c>
      <c r="AQ23" s="821"/>
      <c r="AR23" s="821"/>
      <c r="AS23" s="821"/>
      <c r="AT23" s="821"/>
      <c r="AU23" s="821"/>
      <c r="AV23" s="821"/>
    </row>
  </sheetData>
  <mergeCells count="53">
    <mergeCell ref="A5:AC5"/>
    <mergeCell ref="A6:A8"/>
    <mergeCell ref="B6:C8"/>
    <mergeCell ref="G11:G12"/>
    <mergeCell ref="A9:C9"/>
    <mergeCell ref="A10:C10"/>
    <mergeCell ref="D9:AC9"/>
    <mergeCell ref="D10:AC10"/>
    <mergeCell ref="A11:C11"/>
    <mergeCell ref="H11:H12"/>
    <mergeCell ref="Q11:Q12"/>
    <mergeCell ref="L11:O11"/>
    <mergeCell ref="D11:D12"/>
    <mergeCell ref="R11:AC11"/>
    <mergeCell ref="P11:P12"/>
    <mergeCell ref="E11:E12"/>
    <mergeCell ref="AU1:AV1"/>
    <mergeCell ref="AU2:AV2"/>
    <mergeCell ref="AU3:AV3"/>
    <mergeCell ref="AU4:AV4"/>
    <mergeCell ref="A1:AT1"/>
    <mergeCell ref="A2:AT2"/>
    <mergeCell ref="A3:AT4"/>
    <mergeCell ref="AV5:AV12"/>
    <mergeCell ref="AD11:AO11"/>
    <mergeCell ref="AD5:AQ10"/>
    <mergeCell ref="AR5:AR12"/>
    <mergeCell ref="AP11:AQ11"/>
    <mergeCell ref="AU5:AU12"/>
    <mergeCell ref="AS5:AS12"/>
    <mergeCell ref="AT5:AT12"/>
    <mergeCell ref="F11:F12"/>
    <mergeCell ref="K11:K12"/>
    <mergeCell ref="J11:J12"/>
    <mergeCell ref="I11:I12"/>
    <mergeCell ref="B21:D21"/>
    <mergeCell ref="B22:D22"/>
    <mergeCell ref="B23:D23"/>
    <mergeCell ref="A21:A23"/>
    <mergeCell ref="E21:L23"/>
    <mergeCell ref="M21:Q21"/>
    <mergeCell ref="M22:Q22"/>
    <mergeCell ref="M23:Q23"/>
    <mergeCell ref="AL21:AO23"/>
    <mergeCell ref="AP21:AV21"/>
    <mergeCell ref="AP22:AV22"/>
    <mergeCell ref="AP23:AV23"/>
    <mergeCell ref="R21:Y21"/>
    <mergeCell ref="R22:Y22"/>
    <mergeCell ref="R23:Y23"/>
    <mergeCell ref="Z21:AK21"/>
    <mergeCell ref="Z22:AK22"/>
    <mergeCell ref="Z23:AK23"/>
  </mergeCells>
  <hyperlinks>
    <hyperlink ref="AS13" r:id="rId1" xr:uid="{9C8AF264-689D-48A4-9384-77974B948555}"/>
    <hyperlink ref="AS14" r:id="rId2" xr:uid="{4B1DB5D8-09B6-4F8D-A40E-ED0EC7E360B2}"/>
    <hyperlink ref="AS15" r:id="rId3" xr:uid="{D0517A46-9C0C-42A7-814B-46899EBE189F}"/>
    <hyperlink ref="AS16" r:id="rId4" xr:uid="{609FC3D5-7A90-40CC-B63D-F399ED959637}"/>
    <hyperlink ref="AS17" r:id="rId5" xr:uid="{E09F6608-DF03-4F41-BDB7-5E851869EA07}"/>
  </hyperlinks>
  <printOptions horizontalCentered="1"/>
  <pageMargins left="0.39370078740157483" right="0.39370078740157483" top="0.39370078740157483" bottom="0.39370078740157483" header="0" footer="0"/>
  <pageSetup scale="19" orientation="landscape" r:id="rId6"/>
  <drawing r:id="rId7"/>
  <legacyDrawing r:id="rId8"/>
  <mc:AlternateContent xmlns:mc="http://schemas.openxmlformats.org/markup-compatibility/2006">
    <mc:Choice Requires="x14">
      <controls>
        <mc:AlternateContent xmlns:mc="http://schemas.openxmlformats.org/markup-compatibility/2006">
          <mc:Choice Requires="x14">
            <control shapeId="75811" r:id="rId9" name="Control 35">
              <controlPr defaultSize="0" print="0" uiObject="1" autoLine="0" autoPict="0">
                <anchor moveWithCells="1" sizeWithCells="1">
                  <from>
                    <xdr:col>47</xdr:col>
                    <xdr:colOff>0</xdr:colOff>
                    <xdr:row>13</xdr:row>
                    <xdr:rowOff>0</xdr:rowOff>
                  </from>
                  <to>
                    <xdr:col>48</xdr:col>
                    <xdr:colOff>0</xdr:colOff>
                    <xdr:row>14</xdr:row>
                    <xdr:rowOff>0</xdr:rowOff>
                  </to>
                </anchor>
              </controlPr>
            </control>
          </mc:Choice>
        </mc:AlternateContent>
        <mc:AlternateContent xmlns:mc="http://schemas.openxmlformats.org/markup-compatibility/2006">
          <mc:Choice Requires="x14">
            <control shapeId="75812" r:id="rId10" name="Control 36">
              <controlPr defaultSize="0" print="0" uiObject="1" autoLine="0" autoPict="0">
                <anchor moveWithCells="1" sizeWithCells="1">
                  <from>
                    <xdr:col>41</xdr:col>
                    <xdr:colOff>0</xdr:colOff>
                    <xdr:row>2</xdr:row>
                    <xdr:rowOff>0</xdr:rowOff>
                  </from>
                  <to>
                    <xdr:col>48</xdr:col>
                    <xdr:colOff>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313</v>
      </c>
      <c r="B1" t="s">
        <v>314</v>
      </c>
    </row>
    <row r="2" spans="1:2" x14ac:dyDescent="0.25">
      <c r="A2" t="s">
        <v>315</v>
      </c>
      <c r="B2" t="s">
        <v>316</v>
      </c>
    </row>
    <row r="3" spans="1:2" x14ac:dyDescent="0.25">
      <c r="A3" t="s">
        <v>317</v>
      </c>
      <c r="B3" t="s">
        <v>318</v>
      </c>
    </row>
    <row r="4" spans="1:2" x14ac:dyDescent="0.25">
      <c r="A4" t="s">
        <v>319</v>
      </c>
    </row>
    <row r="5" spans="1:2" x14ac:dyDescent="0.25">
      <c r="A5" t="s">
        <v>320</v>
      </c>
    </row>
    <row r="6" spans="1:2" x14ac:dyDescent="0.25">
      <c r="A6" t="s">
        <v>321</v>
      </c>
    </row>
    <row r="7" spans="1:2" x14ac:dyDescent="0.25">
      <c r="A7" t="s">
        <v>322</v>
      </c>
    </row>
    <row r="8" spans="1:2" x14ac:dyDescent="0.25">
      <c r="A8" t="s">
        <v>323</v>
      </c>
    </row>
    <row r="9" spans="1:2" x14ac:dyDescent="0.25">
      <c r="A9" t="s">
        <v>324</v>
      </c>
    </row>
    <row r="10" spans="1:2" x14ac:dyDescent="0.25">
      <c r="A10" t="s">
        <v>325</v>
      </c>
    </row>
    <row r="11" spans="1:2" x14ac:dyDescent="0.25">
      <c r="A11" t="s">
        <v>326</v>
      </c>
    </row>
    <row r="12" spans="1:2" x14ac:dyDescent="0.25">
      <c r="A12" t="s">
        <v>327</v>
      </c>
    </row>
    <row r="13" spans="1:2" x14ac:dyDescent="0.25">
      <c r="A13" t="s">
        <v>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102"/>
  <sheetViews>
    <sheetView tabSelected="1" view="pageBreakPreview" topLeftCell="N1" zoomScale="60" zoomScaleNormal="60" workbookViewId="0">
      <selection activeCell="AY82" sqref="AY82"/>
    </sheetView>
  </sheetViews>
  <sheetFormatPr baseColWidth="10" defaultColWidth="19.42578125" defaultRowHeight="14.25" x14ac:dyDescent="0.25"/>
  <cols>
    <col min="1" max="1" width="29.5703125" style="15" bestFit="1" customWidth="1"/>
    <col min="2" max="9" width="11" style="15" customWidth="1"/>
    <col min="10" max="12" width="12.42578125" style="15" customWidth="1"/>
    <col min="13" max="13" width="20.7109375" style="15" customWidth="1"/>
    <col min="14" max="16" width="12.42578125" style="15" customWidth="1"/>
    <col min="17" max="17" width="20.28515625" style="15" customWidth="1"/>
    <col min="18" max="18" width="12.140625" style="15" customWidth="1"/>
    <col min="19" max="19" width="26.710937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44" width="11.28515625" style="15" customWidth="1"/>
    <col min="45" max="45" width="17.5703125" style="15" bestFit="1" customWidth="1"/>
    <col min="46" max="50" width="11.28515625" style="15" customWidth="1"/>
    <col min="51" max="51" width="19.5703125" style="15" bestFit="1" customWidth="1"/>
    <col min="52" max="63" width="8.85546875" style="15" customWidth="1"/>
    <col min="64" max="16384" width="19.42578125" style="15"/>
  </cols>
  <sheetData>
    <row r="1" spans="1:63" ht="15.95" customHeight="1" x14ac:dyDescent="0.25">
      <c r="A1" s="871" t="s">
        <v>121</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2" t="s">
        <v>329</v>
      </c>
      <c r="BJ1" s="872"/>
      <c r="BK1" s="872"/>
    </row>
    <row r="2" spans="1:63" ht="15.95" customHeight="1" x14ac:dyDescent="0.25">
      <c r="A2" s="871" t="s">
        <v>123</v>
      </c>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1"/>
      <c r="AZ2" s="871"/>
      <c r="BA2" s="871"/>
      <c r="BB2" s="871"/>
      <c r="BC2" s="871"/>
      <c r="BD2" s="871"/>
      <c r="BE2" s="871"/>
      <c r="BF2" s="871"/>
      <c r="BG2" s="871"/>
      <c r="BH2" s="871"/>
      <c r="BI2" s="872" t="s">
        <v>124</v>
      </c>
      <c r="BJ2" s="872"/>
      <c r="BK2" s="872"/>
    </row>
    <row r="3" spans="1:63" ht="26.1" customHeight="1" x14ac:dyDescent="0.25">
      <c r="A3" s="871" t="s">
        <v>330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c r="AY3" s="871"/>
      <c r="AZ3" s="871"/>
      <c r="BA3" s="871"/>
      <c r="BB3" s="871"/>
      <c r="BC3" s="871"/>
      <c r="BD3" s="871"/>
      <c r="BE3" s="871"/>
      <c r="BF3" s="871"/>
      <c r="BG3" s="871"/>
      <c r="BH3" s="871"/>
      <c r="BI3" s="872" t="s">
        <v>126</v>
      </c>
      <c r="BJ3" s="872"/>
      <c r="BK3" s="872"/>
    </row>
    <row r="4" spans="1:63" ht="15.95" customHeight="1" x14ac:dyDescent="0.25">
      <c r="A4" s="871" t="s">
        <v>331</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871"/>
      <c r="BD4" s="871"/>
      <c r="BE4" s="871"/>
      <c r="BF4" s="871"/>
      <c r="BG4" s="871"/>
      <c r="BH4" s="871"/>
      <c r="BI4" s="868" t="s">
        <v>332</v>
      </c>
      <c r="BJ4" s="869"/>
      <c r="BK4" s="870"/>
    </row>
    <row r="5" spans="1:63" ht="26.1" customHeight="1" x14ac:dyDescent="0.25">
      <c r="A5" s="873" t="s">
        <v>253</v>
      </c>
      <c r="B5" s="873"/>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c r="AE5" s="873"/>
      <c r="AG5" s="873" t="s">
        <v>333</v>
      </c>
      <c r="AH5" s="873"/>
      <c r="AI5" s="873"/>
      <c r="AJ5" s="873"/>
      <c r="AK5" s="873"/>
      <c r="AL5" s="873"/>
      <c r="AM5" s="873"/>
      <c r="AN5" s="873"/>
      <c r="AO5" s="873"/>
      <c r="AP5" s="873"/>
      <c r="AQ5" s="873"/>
      <c r="AR5" s="873"/>
      <c r="AS5" s="873"/>
      <c r="AT5" s="873"/>
      <c r="AU5" s="873"/>
      <c r="AV5" s="873"/>
      <c r="AW5" s="873"/>
      <c r="AX5" s="873"/>
      <c r="AY5" s="873"/>
      <c r="AZ5" s="873"/>
      <c r="BA5" s="873"/>
      <c r="BB5" s="873"/>
      <c r="BC5" s="873"/>
      <c r="BD5" s="873"/>
      <c r="BE5" s="873"/>
      <c r="BF5" s="873"/>
      <c r="BG5" s="873"/>
      <c r="BH5" s="873"/>
      <c r="BI5" s="874"/>
      <c r="BJ5" s="874"/>
      <c r="BK5" s="874"/>
    </row>
    <row r="6" spans="1:63" ht="31.5" customHeight="1" x14ac:dyDescent="0.25">
      <c r="A6" s="94" t="s">
        <v>334</v>
      </c>
      <c r="B6" s="879">
        <v>45667</v>
      </c>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0"/>
      <c r="AY6" s="880"/>
      <c r="AZ6" s="880"/>
      <c r="BA6" s="880"/>
      <c r="BB6" s="880"/>
      <c r="BC6" s="880"/>
      <c r="BD6" s="880"/>
      <c r="BE6" s="880"/>
      <c r="BF6" s="880"/>
      <c r="BG6" s="880"/>
      <c r="BH6" s="880"/>
      <c r="BI6" s="880"/>
      <c r="BJ6" s="880"/>
      <c r="BK6" s="880"/>
    </row>
    <row r="7" spans="1:63" ht="31.5" customHeight="1" x14ac:dyDescent="0.25">
      <c r="A7" s="95" t="s">
        <v>335</v>
      </c>
      <c r="B7" s="882" t="s">
        <v>336</v>
      </c>
      <c r="C7" s="883"/>
      <c r="D7" s="883"/>
      <c r="E7" s="883"/>
      <c r="F7" s="883"/>
      <c r="G7" s="883"/>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3"/>
      <c r="AY7" s="883"/>
      <c r="AZ7" s="883"/>
      <c r="BA7" s="883"/>
      <c r="BB7" s="883"/>
      <c r="BC7" s="883"/>
      <c r="BD7" s="883"/>
      <c r="BE7" s="883"/>
      <c r="BF7" s="883"/>
      <c r="BG7" s="883"/>
      <c r="BH7" s="883"/>
      <c r="BI7" s="883"/>
      <c r="BJ7" s="883"/>
      <c r="BK7" s="884"/>
    </row>
    <row r="8" spans="1:63" ht="18.75" customHeight="1" x14ac:dyDescent="0.25">
      <c r="A8" s="96"/>
      <c r="B8" s="96"/>
      <c r="C8" s="96"/>
      <c r="D8" s="96"/>
      <c r="E8" s="96"/>
      <c r="F8" s="96"/>
      <c r="G8" s="96"/>
      <c r="H8" s="96"/>
      <c r="I8" s="96"/>
      <c r="J8" s="96"/>
      <c r="K8" s="97"/>
      <c r="L8" s="97"/>
      <c r="M8" s="97"/>
      <c r="N8" s="97"/>
      <c r="O8" s="97"/>
      <c r="P8" s="97"/>
      <c r="Q8" s="97"/>
      <c r="R8" s="97"/>
      <c r="S8" s="97"/>
      <c r="T8" s="97"/>
      <c r="U8" s="97"/>
      <c r="V8" s="97"/>
      <c r="W8" s="97"/>
      <c r="X8" s="97"/>
      <c r="Y8" s="97"/>
      <c r="Z8" s="97"/>
      <c r="AA8" s="97"/>
      <c r="AB8" s="97"/>
      <c r="AC8" s="97"/>
      <c r="AD8" s="97"/>
      <c r="AE8" s="97"/>
      <c r="AG8" s="96"/>
      <c r="AH8" s="97"/>
      <c r="AI8" s="97"/>
      <c r="AJ8" s="97"/>
      <c r="AK8" s="97"/>
      <c r="AL8" s="97"/>
      <c r="AM8" s="97"/>
      <c r="AN8" s="97"/>
      <c r="AO8" s="97"/>
    </row>
    <row r="9" spans="1:63" ht="30" hidden="1" customHeight="1" x14ac:dyDescent="0.25">
      <c r="A9" s="875" t="s">
        <v>337</v>
      </c>
      <c r="B9" s="98" t="s">
        <v>141</v>
      </c>
      <c r="C9" s="98" t="s">
        <v>142</v>
      </c>
      <c r="D9" s="877" t="s">
        <v>143</v>
      </c>
      <c r="E9" s="878"/>
      <c r="F9" s="98" t="s">
        <v>144</v>
      </c>
      <c r="G9" s="98" t="s">
        <v>145</v>
      </c>
      <c r="H9" s="877" t="s">
        <v>146</v>
      </c>
      <c r="I9" s="878"/>
      <c r="J9" s="98" t="s">
        <v>147</v>
      </c>
      <c r="K9" s="98" t="s">
        <v>148</v>
      </c>
      <c r="L9" s="877" t="s">
        <v>149</v>
      </c>
      <c r="M9" s="878"/>
      <c r="N9" s="98" t="s">
        <v>150</v>
      </c>
      <c r="O9" s="98" t="s">
        <v>151</v>
      </c>
      <c r="P9" s="877" t="s">
        <v>128</v>
      </c>
      <c r="Q9" s="878"/>
      <c r="R9" s="877" t="s">
        <v>338</v>
      </c>
      <c r="S9" s="878"/>
      <c r="T9" s="877" t="s">
        <v>339</v>
      </c>
      <c r="U9" s="881"/>
      <c r="V9" s="881"/>
      <c r="W9" s="881"/>
      <c r="X9" s="881"/>
      <c r="Y9" s="878"/>
      <c r="Z9" s="877" t="s">
        <v>340</v>
      </c>
      <c r="AA9" s="881"/>
      <c r="AB9" s="881"/>
      <c r="AC9" s="881"/>
      <c r="AD9" s="881"/>
      <c r="AE9" s="878"/>
      <c r="AG9" s="875" t="s">
        <v>337</v>
      </c>
      <c r="AH9" s="98" t="s">
        <v>141</v>
      </c>
      <c r="AI9" s="98" t="s">
        <v>142</v>
      </c>
      <c r="AJ9" s="877" t="s">
        <v>143</v>
      </c>
      <c r="AK9" s="878"/>
      <c r="AL9" s="98" t="s">
        <v>144</v>
      </c>
      <c r="AM9" s="98" t="s">
        <v>145</v>
      </c>
      <c r="AN9" s="877" t="s">
        <v>146</v>
      </c>
      <c r="AO9" s="878"/>
      <c r="AP9" s="98" t="s">
        <v>147</v>
      </c>
      <c r="AQ9" s="98" t="s">
        <v>148</v>
      </c>
      <c r="AR9" s="877" t="s">
        <v>149</v>
      </c>
      <c r="AS9" s="878"/>
      <c r="AT9" s="98" t="s">
        <v>150</v>
      </c>
      <c r="AU9" s="98" t="s">
        <v>151</v>
      </c>
      <c r="AV9" s="877" t="s">
        <v>128</v>
      </c>
      <c r="AW9" s="878"/>
      <c r="AX9" s="877" t="s">
        <v>338</v>
      </c>
      <c r="AY9" s="878"/>
      <c r="AZ9" s="877" t="s">
        <v>339</v>
      </c>
      <c r="BA9" s="881"/>
      <c r="BB9" s="881"/>
      <c r="BC9" s="881"/>
      <c r="BD9" s="881"/>
      <c r="BE9" s="878"/>
      <c r="BF9" s="877" t="s">
        <v>340</v>
      </c>
      <c r="BG9" s="881"/>
      <c r="BH9" s="881"/>
      <c r="BI9" s="881"/>
      <c r="BJ9" s="881"/>
      <c r="BK9" s="878"/>
    </row>
    <row r="10" spans="1:63" ht="36" hidden="1" customHeight="1" x14ac:dyDescent="0.25">
      <c r="A10" s="876"/>
      <c r="B10" s="92" t="s">
        <v>341</v>
      </c>
      <c r="C10" s="92" t="s">
        <v>341</v>
      </c>
      <c r="D10" s="92" t="s">
        <v>341</v>
      </c>
      <c r="E10" s="92" t="s">
        <v>342</v>
      </c>
      <c r="F10" s="92" t="s">
        <v>341</v>
      </c>
      <c r="G10" s="92" t="s">
        <v>341</v>
      </c>
      <c r="H10" s="92" t="s">
        <v>341</v>
      </c>
      <c r="I10" s="92" t="s">
        <v>342</v>
      </c>
      <c r="J10" s="92" t="s">
        <v>341</v>
      </c>
      <c r="K10" s="92" t="s">
        <v>341</v>
      </c>
      <c r="L10" s="92" t="s">
        <v>341</v>
      </c>
      <c r="M10" s="92" t="s">
        <v>342</v>
      </c>
      <c r="N10" s="92" t="s">
        <v>341</v>
      </c>
      <c r="O10" s="92" t="s">
        <v>341</v>
      </c>
      <c r="P10" s="92" t="s">
        <v>341</v>
      </c>
      <c r="Q10" s="92" t="s">
        <v>342</v>
      </c>
      <c r="R10" s="92" t="s">
        <v>341</v>
      </c>
      <c r="S10" s="92" t="s">
        <v>342</v>
      </c>
      <c r="T10" s="99" t="s">
        <v>343</v>
      </c>
      <c r="U10" s="99" t="s">
        <v>344</v>
      </c>
      <c r="V10" s="99" t="s">
        <v>345</v>
      </c>
      <c r="W10" s="99" t="s">
        <v>346</v>
      </c>
      <c r="X10" s="100" t="s">
        <v>347</v>
      </c>
      <c r="Y10" s="99" t="s">
        <v>348</v>
      </c>
      <c r="Z10" s="92" t="s">
        <v>349</v>
      </c>
      <c r="AA10" s="101" t="s">
        <v>350</v>
      </c>
      <c r="AB10" s="92" t="s">
        <v>351</v>
      </c>
      <c r="AC10" s="92" t="s">
        <v>352</v>
      </c>
      <c r="AD10" s="92" t="s">
        <v>353</v>
      </c>
      <c r="AE10" s="92" t="s">
        <v>354</v>
      </c>
      <c r="AG10" s="876"/>
      <c r="AH10" s="92" t="s">
        <v>341</v>
      </c>
      <c r="AI10" s="92" t="s">
        <v>341</v>
      </c>
      <c r="AJ10" s="92" t="s">
        <v>341</v>
      </c>
      <c r="AK10" s="92" t="s">
        <v>342</v>
      </c>
      <c r="AL10" s="92" t="s">
        <v>341</v>
      </c>
      <c r="AM10" s="92" t="s">
        <v>341</v>
      </c>
      <c r="AN10" s="92" t="s">
        <v>341</v>
      </c>
      <c r="AO10" s="92" t="s">
        <v>342</v>
      </c>
      <c r="AP10" s="92" t="s">
        <v>341</v>
      </c>
      <c r="AQ10" s="92" t="s">
        <v>341</v>
      </c>
      <c r="AR10" s="92" t="s">
        <v>341</v>
      </c>
      <c r="AS10" s="92" t="s">
        <v>342</v>
      </c>
      <c r="AT10" s="92" t="s">
        <v>341</v>
      </c>
      <c r="AU10" s="92" t="s">
        <v>341</v>
      </c>
      <c r="AV10" s="92" t="s">
        <v>341</v>
      </c>
      <c r="AW10" s="92" t="s">
        <v>342</v>
      </c>
      <c r="AX10" s="92" t="s">
        <v>341</v>
      </c>
      <c r="AY10" s="92" t="s">
        <v>342</v>
      </c>
      <c r="AZ10" s="99" t="s">
        <v>343</v>
      </c>
      <c r="BA10" s="99" t="s">
        <v>344</v>
      </c>
      <c r="BB10" s="99" t="s">
        <v>345</v>
      </c>
      <c r="BC10" s="99" t="s">
        <v>346</v>
      </c>
      <c r="BD10" s="100" t="s">
        <v>347</v>
      </c>
      <c r="BE10" s="99" t="s">
        <v>348</v>
      </c>
      <c r="BF10" s="102" t="s">
        <v>349</v>
      </c>
      <c r="BG10" s="103" t="s">
        <v>350</v>
      </c>
      <c r="BH10" s="102" t="s">
        <v>351</v>
      </c>
      <c r="BI10" s="102" t="s">
        <v>352</v>
      </c>
      <c r="BJ10" s="102" t="s">
        <v>353</v>
      </c>
      <c r="BK10" s="102" t="s">
        <v>354</v>
      </c>
    </row>
    <row r="11" spans="1:63" ht="15" hidden="1" x14ac:dyDescent="0.25">
      <c r="A11" s="104" t="s">
        <v>355</v>
      </c>
      <c r="B11" s="104"/>
      <c r="C11" s="104"/>
      <c r="D11" s="104"/>
      <c r="E11" s="105"/>
      <c r="F11" s="104"/>
      <c r="G11" s="104"/>
      <c r="H11" s="104"/>
      <c r="I11" s="105"/>
      <c r="J11" s="380">
        <f>+Meta.3!J35</f>
        <v>0</v>
      </c>
      <c r="K11" s="380">
        <f>+Meta.3!K35</f>
        <v>4.0579710144927547E-2</v>
      </c>
      <c r="L11" s="380">
        <f>+Meta.3!L35</f>
        <v>0.17971014492753629</v>
      </c>
      <c r="M11" s="105">
        <f>+K89+L89</f>
        <v>0</v>
      </c>
      <c r="N11" s="380">
        <f>+Meta.3!M35</f>
        <v>0.25797101449275367</v>
      </c>
      <c r="O11" s="380">
        <f>+Meta.3!N35</f>
        <v>0.29420289855072468</v>
      </c>
      <c r="P11" s="380">
        <f>+Meta.3!O35</f>
        <v>0.227536231884058</v>
      </c>
      <c r="Q11" s="105">
        <f>+M89+N89+O89</f>
        <v>0</v>
      </c>
      <c r="R11" s="384">
        <f>B11+C11+D11+F11+G11+H11+J11+K11+L11+N11+O11+P11</f>
        <v>1.0000000000000002</v>
      </c>
      <c r="S11" s="107">
        <f>+E11+I11+M11+Q11</f>
        <v>0</v>
      </c>
      <c r="T11" s="108"/>
      <c r="U11" s="108"/>
      <c r="V11" s="108"/>
      <c r="W11" s="108"/>
      <c r="X11" s="108"/>
      <c r="Y11" s="109"/>
      <c r="Z11" s="109"/>
      <c r="AA11" s="109"/>
      <c r="AB11" s="109"/>
      <c r="AC11" s="109"/>
      <c r="AD11" s="109"/>
      <c r="AE11" s="110"/>
      <c r="AG11" s="104" t="s">
        <v>355</v>
      </c>
      <c r="AH11" s="104"/>
      <c r="AI11" s="104"/>
      <c r="AJ11" s="104"/>
      <c r="AK11" s="105"/>
      <c r="AL11" s="104"/>
      <c r="AM11" s="104"/>
      <c r="AN11" s="104"/>
      <c r="AO11" s="105"/>
      <c r="AP11" s="380">
        <f>+Meta.3!J35</f>
        <v>0</v>
      </c>
      <c r="AQ11" s="380">
        <f>+Meta.3!K35</f>
        <v>4.0579710144927547E-2</v>
      </c>
      <c r="AR11" s="380">
        <f>+Meta.3!L35</f>
        <v>0.17971014492753629</v>
      </c>
      <c r="AS11" s="105" t="e">
        <f>+#REF!+#REF!+#REF!+#REF!+#REF!+#REF!+#REF!+#REF!</f>
        <v>#REF!</v>
      </c>
      <c r="AT11" s="380">
        <f>+Meta.3!M35</f>
        <v>0.25797101449275367</v>
      </c>
      <c r="AU11" s="380">
        <f>+Meta.3!N35</f>
        <v>0.29420289855072468</v>
      </c>
      <c r="AV11" s="380">
        <f>+Meta.3!O35</f>
        <v>0.227536231884058</v>
      </c>
      <c r="AW11" s="105"/>
      <c r="AX11" s="106">
        <f t="shared" ref="AX11:AX31" si="0">AH11+AI11+AJ11+AL11+AM11+AN11+AP11+AQ11+AR11+AT11+AU11+AV11</f>
        <v>1.0000000000000002</v>
      </c>
      <c r="AY11" s="107" t="e">
        <f>+AK11+AO11+AS11+AW11</f>
        <v>#REF!</v>
      </c>
      <c r="AZ11" s="109"/>
      <c r="BA11" s="109"/>
      <c r="BB11" s="109"/>
      <c r="BC11" s="109"/>
      <c r="BD11" s="109"/>
      <c r="BE11" s="109"/>
      <c r="BF11" s="109"/>
      <c r="BG11" s="109"/>
      <c r="BH11" s="109"/>
      <c r="BI11" s="109"/>
      <c r="BJ11" s="109"/>
      <c r="BK11" s="110"/>
    </row>
    <row r="12" spans="1:63" ht="15" hidden="1" x14ac:dyDescent="0.25">
      <c r="A12" s="104" t="s">
        <v>356</v>
      </c>
      <c r="B12" s="104"/>
      <c r="C12" s="104"/>
      <c r="D12" s="104"/>
      <c r="E12" s="105"/>
      <c r="F12" s="104"/>
      <c r="G12" s="104"/>
      <c r="H12" s="104"/>
      <c r="I12" s="105"/>
      <c r="J12" s="104"/>
      <c r="K12" s="104"/>
      <c r="L12" s="104"/>
      <c r="M12" s="105"/>
      <c r="N12" s="104">
        <v>90</v>
      </c>
      <c r="O12" s="104">
        <v>107</v>
      </c>
      <c r="P12" s="104"/>
      <c r="Q12" s="105"/>
      <c r="R12" s="106">
        <f>B12+C12+D12+F12+G12+H12+J12+K12+L12+N12+O12+P12</f>
        <v>197</v>
      </c>
      <c r="S12" s="107">
        <f>+E12+I12+M12+Q12</f>
        <v>0</v>
      </c>
      <c r="T12" s="108"/>
      <c r="U12" s="108"/>
      <c r="V12" s="108"/>
      <c r="W12" s="108"/>
      <c r="X12" s="108"/>
      <c r="Y12" s="109"/>
      <c r="Z12" s="109"/>
      <c r="AA12" s="109"/>
      <c r="AB12" s="109"/>
      <c r="AC12" s="109"/>
      <c r="AD12" s="109"/>
      <c r="AE12" s="109"/>
      <c r="AG12" s="104" t="s">
        <v>356</v>
      </c>
      <c r="AH12" s="104"/>
      <c r="AI12" s="104"/>
      <c r="AJ12" s="104"/>
      <c r="AK12" s="105"/>
      <c r="AL12" s="104"/>
      <c r="AM12" s="104"/>
      <c r="AN12" s="104"/>
      <c r="AO12" s="105"/>
      <c r="AP12" s="104"/>
      <c r="AQ12" s="104"/>
      <c r="AR12" s="104"/>
      <c r="AS12" s="105"/>
      <c r="AT12" s="104"/>
      <c r="AU12" s="104"/>
      <c r="AV12" s="104"/>
      <c r="AW12" s="105"/>
      <c r="AX12" s="106">
        <f t="shared" si="0"/>
        <v>0</v>
      </c>
      <c r="AY12" s="107">
        <f t="shared" ref="AY12:AY31" si="1">+AK12+AO12+AS12+AW12</f>
        <v>0</v>
      </c>
      <c r="AZ12" s="109"/>
      <c r="BA12" s="109"/>
      <c r="BB12" s="109"/>
      <c r="BC12" s="109"/>
      <c r="BD12" s="109"/>
      <c r="BE12" s="109"/>
      <c r="BF12" s="109"/>
      <c r="BG12" s="109"/>
      <c r="BH12" s="109"/>
      <c r="BI12" s="109"/>
      <c r="BJ12" s="109"/>
      <c r="BK12" s="109"/>
    </row>
    <row r="13" spans="1:63" ht="15" hidden="1" x14ac:dyDescent="0.25">
      <c r="A13" s="104" t="s">
        <v>357</v>
      </c>
      <c r="B13" s="104"/>
      <c r="C13" s="104"/>
      <c r="D13" s="104"/>
      <c r="E13" s="105"/>
      <c r="F13" s="104"/>
      <c r="G13" s="104"/>
      <c r="H13" s="104"/>
      <c r="I13" s="105"/>
      <c r="J13" s="104"/>
      <c r="K13" s="104"/>
      <c r="L13" s="104"/>
      <c r="M13" s="105"/>
      <c r="N13" s="104">
        <v>0</v>
      </c>
      <c r="O13" s="104">
        <v>23</v>
      </c>
      <c r="P13" s="104"/>
      <c r="Q13" s="105"/>
      <c r="R13" s="106">
        <f t="shared" ref="R13:R31" si="2">B13+C13+D13+F13+G13+H13+J13+K13+L13+N13+O13+P13</f>
        <v>23</v>
      </c>
      <c r="S13" s="107">
        <f t="shared" ref="S13:S31" si="3">+E13+I13+M13+Q13</f>
        <v>0</v>
      </c>
      <c r="T13" s="108"/>
      <c r="U13" s="108"/>
      <c r="V13" s="108"/>
      <c r="W13" s="108"/>
      <c r="X13" s="108"/>
      <c r="Y13" s="109"/>
      <c r="Z13" s="109"/>
      <c r="AA13" s="109"/>
      <c r="AB13" s="109"/>
      <c r="AC13" s="109"/>
      <c r="AD13" s="109"/>
      <c r="AE13" s="109"/>
      <c r="AG13" s="104" t="s">
        <v>357</v>
      </c>
      <c r="AH13" s="104"/>
      <c r="AI13" s="104"/>
      <c r="AJ13" s="104"/>
      <c r="AK13" s="105"/>
      <c r="AL13" s="104"/>
      <c r="AM13" s="104"/>
      <c r="AN13" s="104"/>
      <c r="AO13" s="105"/>
      <c r="AP13" s="104"/>
      <c r="AQ13" s="104"/>
      <c r="AR13" s="104"/>
      <c r="AS13" s="105"/>
      <c r="AT13" s="104"/>
      <c r="AU13" s="104"/>
      <c r="AV13" s="104"/>
      <c r="AW13" s="105"/>
      <c r="AX13" s="106">
        <f t="shared" si="0"/>
        <v>0</v>
      </c>
      <c r="AY13" s="107">
        <f t="shared" si="1"/>
        <v>0</v>
      </c>
      <c r="AZ13" s="109"/>
      <c r="BA13" s="109"/>
      <c r="BB13" s="109"/>
      <c r="BC13" s="109"/>
      <c r="BD13" s="109"/>
      <c r="BE13" s="109"/>
      <c r="BF13" s="109"/>
      <c r="BG13" s="109"/>
      <c r="BH13" s="109"/>
      <c r="BI13" s="109"/>
      <c r="BJ13" s="109"/>
      <c r="BK13" s="109"/>
    </row>
    <row r="14" spans="1:63" ht="15" hidden="1" x14ac:dyDescent="0.25">
      <c r="A14" s="104" t="s">
        <v>358</v>
      </c>
      <c r="B14" s="104"/>
      <c r="C14" s="104"/>
      <c r="D14" s="104"/>
      <c r="E14" s="105"/>
      <c r="F14" s="104"/>
      <c r="G14" s="104"/>
      <c r="H14" s="104"/>
      <c r="I14" s="105"/>
      <c r="J14" s="104"/>
      <c r="K14" s="104"/>
      <c r="L14" s="104"/>
      <c r="M14" s="105"/>
      <c r="N14" s="104">
        <v>23</v>
      </c>
      <c r="O14" s="104">
        <v>136</v>
      </c>
      <c r="P14" s="104"/>
      <c r="Q14" s="105"/>
      <c r="R14" s="106">
        <f t="shared" si="2"/>
        <v>159</v>
      </c>
      <c r="S14" s="107">
        <f t="shared" si="3"/>
        <v>0</v>
      </c>
      <c r="T14" s="108"/>
      <c r="U14" s="108"/>
      <c r="V14" s="108"/>
      <c r="W14" s="108"/>
      <c r="X14" s="108"/>
      <c r="Y14" s="109"/>
      <c r="Z14" s="109"/>
      <c r="AA14" s="109"/>
      <c r="AB14" s="109"/>
      <c r="AC14" s="109"/>
      <c r="AD14" s="109"/>
      <c r="AE14" s="109"/>
      <c r="AG14" s="104" t="s">
        <v>358</v>
      </c>
      <c r="AH14" s="104"/>
      <c r="AI14" s="104"/>
      <c r="AJ14" s="104"/>
      <c r="AK14" s="105"/>
      <c r="AL14" s="104"/>
      <c r="AM14" s="104"/>
      <c r="AN14" s="104"/>
      <c r="AO14" s="105"/>
      <c r="AP14" s="104"/>
      <c r="AQ14" s="104"/>
      <c r="AR14" s="104"/>
      <c r="AS14" s="105"/>
      <c r="AT14" s="104"/>
      <c r="AU14" s="104"/>
      <c r="AV14" s="104"/>
      <c r="AW14" s="105"/>
      <c r="AX14" s="106">
        <f t="shared" si="0"/>
        <v>0</v>
      </c>
      <c r="AY14" s="107">
        <f t="shared" si="1"/>
        <v>0</v>
      </c>
      <c r="AZ14" s="109"/>
      <c r="BA14" s="109"/>
      <c r="BB14" s="109"/>
      <c r="BC14" s="109"/>
      <c r="BD14" s="109"/>
      <c r="BE14" s="109"/>
      <c r="BF14" s="109"/>
      <c r="BG14" s="109"/>
      <c r="BH14" s="109"/>
      <c r="BI14" s="109"/>
      <c r="BJ14" s="109"/>
      <c r="BK14" s="109"/>
    </row>
    <row r="15" spans="1:63" ht="15" hidden="1" x14ac:dyDescent="0.25">
      <c r="A15" s="104" t="s">
        <v>359</v>
      </c>
      <c r="B15" s="104"/>
      <c r="C15" s="104"/>
      <c r="D15" s="104"/>
      <c r="E15" s="105"/>
      <c r="F15" s="104"/>
      <c r="G15" s="104"/>
      <c r="H15" s="104"/>
      <c r="I15" s="105"/>
      <c r="J15" s="104"/>
      <c r="K15" s="104"/>
      <c r="L15" s="104"/>
      <c r="M15" s="105"/>
      <c r="N15" s="104">
        <v>27</v>
      </c>
      <c r="O15" s="104">
        <v>81</v>
      </c>
      <c r="P15" s="104"/>
      <c r="Q15" s="105"/>
      <c r="R15" s="106">
        <f t="shared" si="2"/>
        <v>108</v>
      </c>
      <c r="S15" s="107">
        <f t="shared" si="3"/>
        <v>0</v>
      </c>
      <c r="T15" s="108"/>
      <c r="U15" s="108"/>
      <c r="V15" s="108"/>
      <c r="W15" s="108"/>
      <c r="X15" s="108"/>
      <c r="Y15" s="109"/>
      <c r="Z15" s="109"/>
      <c r="AA15" s="109"/>
      <c r="AB15" s="109"/>
      <c r="AC15" s="109"/>
      <c r="AD15" s="109"/>
      <c r="AE15" s="109"/>
      <c r="AG15" s="104" t="s">
        <v>359</v>
      </c>
      <c r="AH15" s="104"/>
      <c r="AI15" s="104"/>
      <c r="AJ15" s="104"/>
      <c r="AK15" s="105"/>
      <c r="AL15" s="104"/>
      <c r="AM15" s="104"/>
      <c r="AN15" s="104"/>
      <c r="AO15" s="105"/>
      <c r="AP15" s="104"/>
      <c r="AQ15" s="104"/>
      <c r="AR15" s="104"/>
      <c r="AS15" s="105"/>
      <c r="AT15" s="104"/>
      <c r="AU15" s="104"/>
      <c r="AV15" s="104"/>
      <c r="AW15" s="105"/>
      <c r="AX15" s="106">
        <f t="shared" si="0"/>
        <v>0</v>
      </c>
      <c r="AY15" s="107">
        <f t="shared" si="1"/>
        <v>0</v>
      </c>
      <c r="AZ15" s="109"/>
      <c r="BA15" s="109"/>
      <c r="BB15" s="109"/>
      <c r="BC15" s="109"/>
      <c r="BD15" s="109"/>
      <c r="BE15" s="109"/>
      <c r="BF15" s="109"/>
      <c r="BG15" s="109"/>
      <c r="BH15" s="109"/>
      <c r="BI15" s="109"/>
      <c r="BJ15" s="109"/>
      <c r="BK15" s="109"/>
    </row>
    <row r="16" spans="1:63" ht="15" hidden="1" x14ac:dyDescent="0.25">
      <c r="A16" s="104" t="s">
        <v>360</v>
      </c>
      <c r="B16" s="104"/>
      <c r="C16" s="104"/>
      <c r="D16" s="104"/>
      <c r="E16" s="105"/>
      <c r="F16" s="104"/>
      <c r="G16" s="104"/>
      <c r="H16" s="104"/>
      <c r="I16" s="105"/>
      <c r="J16" s="104"/>
      <c r="K16" s="104"/>
      <c r="L16" s="104"/>
      <c r="M16" s="105"/>
      <c r="N16" s="104">
        <v>13</v>
      </c>
      <c r="O16" s="104">
        <v>18</v>
      </c>
      <c r="P16" s="104"/>
      <c r="Q16" s="105"/>
      <c r="R16" s="106">
        <f t="shared" si="2"/>
        <v>31</v>
      </c>
      <c r="S16" s="107">
        <f t="shared" si="3"/>
        <v>0</v>
      </c>
      <c r="T16" s="108"/>
      <c r="U16" s="108"/>
      <c r="V16" s="108"/>
      <c r="W16" s="108"/>
      <c r="X16" s="108"/>
      <c r="Y16" s="109"/>
      <c r="Z16" s="109"/>
      <c r="AA16" s="109"/>
      <c r="AB16" s="109"/>
      <c r="AC16" s="109"/>
      <c r="AD16" s="109"/>
      <c r="AE16" s="109"/>
      <c r="AG16" s="104" t="s">
        <v>360</v>
      </c>
      <c r="AH16" s="104"/>
      <c r="AI16" s="104"/>
      <c r="AJ16" s="104"/>
      <c r="AK16" s="105"/>
      <c r="AL16" s="104"/>
      <c r="AM16" s="104"/>
      <c r="AN16" s="104"/>
      <c r="AO16" s="105"/>
      <c r="AP16" s="104"/>
      <c r="AQ16" s="104"/>
      <c r="AR16" s="104"/>
      <c r="AS16" s="105"/>
      <c r="AT16" s="104"/>
      <c r="AU16" s="104"/>
      <c r="AV16" s="104"/>
      <c r="AW16" s="105"/>
      <c r="AX16" s="106">
        <f t="shared" si="0"/>
        <v>0</v>
      </c>
      <c r="AY16" s="107">
        <f t="shared" si="1"/>
        <v>0</v>
      </c>
      <c r="AZ16" s="109"/>
      <c r="BA16" s="109"/>
      <c r="BB16" s="109"/>
      <c r="BC16" s="109"/>
      <c r="BD16" s="109"/>
      <c r="BE16" s="109"/>
      <c r="BF16" s="109"/>
      <c r="BG16" s="109"/>
      <c r="BH16" s="109"/>
      <c r="BI16" s="109"/>
      <c r="BJ16" s="109"/>
      <c r="BK16" s="109"/>
    </row>
    <row r="17" spans="1:63" ht="15" hidden="1" x14ac:dyDescent="0.25">
      <c r="A17" s="104" t="s">
        <v>361</v>
      </c>
      <c r="B17" s="104"/>
      <c r="C17" s="104"/>
      <c r="D17" s="104"/>
      <c r="E17" s="105"/>
      <c r="F17" s="104"/>
      <c r="G17" s="104"/>
      <c r="H17" s="104"/>
      <c r="I17" s="105"/>
      <c r="J17" s="104"/>
      <c r="K17" s="104"/>
      <c r="L17" s="104"/>
      <c r="M17" s="105"/>
      <c r="N17" s="104">
        <v>24</v>
      </c>
      <c r="O17" s="104">
        <v>10</v>
      </c>
      <c r="P17" s="104"/>
      <c r="Q17" s="105"/>
      <c r="R17" s="106">
        <f t="shared" si="2"/>
        <v>34</v>
      </c>
      <c r="S17" s="107">
        <f t="shared" si="3"/>
        <v>0</v>
      </c>
      <c r="T17" s="108"/>
      <c r="U17" s="108"/>
      <c r="V17" s="108"/>
      <c r="W17" s="108"/>
      <c r="X17" s="108"/>
      <c r="Y17" s="109"/>
      <c r="Z17" s="109"/>
      <c r="AA17" s="109"/>
      <c r="AB17" s="109"/>
      <c r="AC17" s="109"/>
      <c r="AD17" s="109"/>
      <c r="AE17" s="109"/>
      <c r="AG17" s="104" t="s">
        <v>361</v>
      </c>
      <c r="AH17" s="104"/>
      <c r="AI17" s="104"/>
      <c r="AJ17" s="104"/>
      <c r="AK17" s="105"/>
      <c r="AL17" s="104"/>
      <c r="AM17" s="104"/>
      <c r="AN17" s="104"/>
      <c r="AO17" s="105"/>
      <c r="AP17" s="104"/>
      <c r="AQ17" s="104"/>
      <c r="AR17" s="104"/>
      <c r="AS17" s="105"/>
      <c r="AT17" s="104"/>
      <c r="AU17" s="104"/>
      <c r="AV17" s="104"/>
      <c r="AW17" s="105"/>
      <c r="AX17" s="106">
        <f t="shared" si="0"/>
        <v>0</v>
      </c>
      <c r="AY17" s="107">
        <f t="shared" si="1"/>
        <v>0</v>
      </c>
      <c r="AZ17" s="109"/>
      <c r="BA17" s="109"/>
      <c r="BB17" s="109"/>
      <c r="BC17" s="109"/>
      <c r="BD17" s="109"/>
      <c r="BE17" s="109"/>
      <c r="BF17" s="109"/>
      <c r="BG17" s="109"/>
      <c r="BH17" s="109"/>
      <c r="BI17" s="109"/>
      <c r="BJ17" s="109"/>
      <c r="BK17" s="109"/>
    </row>
    <row r="18" spans="1:63" ht="15" hidden="1" x14ac:dyDescent="0.25">
      <c r="A18" s="104" t="s">
        <v>362</v>
      </c>
      <c r="B18" s="104"/>
      <c r="C18" s="104"/>
      <c r="D18" s="104"/>
      <c r="E18" s="105"/>
      <c r="F18" s="104"/>
      <c r="G18" s="104"/>
      <c r="H18" s="104"/>
      <c r="I18" s="105"/>
      <c r="J18" s="104"/>
      <c r="K18" s="104"/>
      <c r="L18" s="104"/>
      <c r="M18" s="105"/>
      <c r="N18" s="104">
        <v>29</v>
      </c>
      <c r="O18" s="104">
        <v>32</v>
      </c>
      <c r="P18" s="104"/>
      <c r="Q18" s="105"/>
      <c r="R18" s="106">
        <f t="shared" si="2"/>
        <v>61</v>
      </c>
      <c r="S18" s="107">
        <f t="shared" si="3"/>
        <v>0</v>
      </c>
      <c r="T18" s="108"/>
      <c r="U18" s="108"/>
      <c r="V18" s="108"/>
      <c r="W18" s="108"/>
      <c r="X18" s="108"/>
      <c r="Y18" s="109"/>
      <c r="Z18" s="109"/>
      <c r="AA18" s="109"/>
      <c r="AB18" s="109"/>
      <c r="AC18" s="109"/>
      <c r="AD18" s="109"/>
      <c r="AE18" s="109"/>
      <c r="AG18" s="104" t="s">
        <v>362</v>
      </c>
      <c r="AH18" s="104"/>
      <c r="AI18" s="104"/>
      <c r="AJ18" s="104"/>
      <c r="AK18" s="105"/>
      <c r="AL18" s="104"/>
      <c r="AM18" s="104"/>
      <c r="AN18" s="104"/>
      <c r="AO18" s="105"/>
      <c r="AP18" s="104"/>
      <c r="AQ18" s="104"/>
      <c r="AR18" s="104"/>
      <c r="AS18" s="105"/>
      <c r="AT18" s="104"/>
      <c r="AU18" s="104"/>
      <c r="AV18" s="104"/>
      <c r="AW18" s="105"/>
      <c r="AX18" s="106">
        <f t="shared" si="0"/>
        <v>0</v>
      </c>
      <c r="AY18" s="107">
        <f t="shared" si="1"/>
        <v>0</v>
      </c>
      <c r="AZ18" s="109"/>
      <c r="BA18" s="109"/>
      <c r="BB18" s="109"/>
      <c r="BC18" s="109"/>
      <c r="BD18" s="109"/>
      <c r="BE18" s="109"/>
      <c r="BF18" s="109"/>
      <c r="BG18" s="109"/>
      <c r="BH18" s="109"/>
      <c r="BI18" s="109"/>
      <c r="BJ18" s="109"/>
      <c r="BK18" s="109"/>
    </row>
    <row r="19" spans="1:63" ht="15" hidden="1" x14ac:dyDescent="0.25">
      <c r="A19" s="104" t="s">
        <v>363</v>
      </c>
      <c r="B19" s="104"/>
      <c r="C19" s="104"/>
      <c r="D19" s="104"/>
      <c r="E19" s="105"/>
      <c r="F19" s="104"/>
      <c r="G19" s="104"/>
      <c r="H19" s="104"/>
      <c r="I19" s="105"/>
      <c r="J19" s="104"/>
      <c r="K19" s="104"/>
      <c r="L19" s="104"/>
      <c r="M19" s="105"/>
      <c r="N19" s="104">
        <v>10</v>
      </c>
      <c r="O19" s="104">
        <v>61</v>
      </c>
      <c r="P19" s="104"/>
      <c r="Q19" s="105"/>
      <c r="R19" s="106">
        <f t="shared" si="2"/>
        <v>71</v>
      </c>
      <c r="S19" s="107">
        <f t="shared" si="3"/>
        <v>0</v>
      </c>
      <c r="T19" s="108"/>
      <c r="U19" s="108"/>
      <c r="V19" s="108"/>
      <c r="W19" s="108"/>
      <c r="X19" s="108"/>
      <c r="Y19" s="109"/>
      <c r="Z19" s="109"/>
      <c r="AA19" s="109"/>
      <c r="AB19" s="109"/>
      <c r="AC19" s="109"/>
      <c r="AD19" s="109"/>
      <c r="AE19" s="109"/>
      <c r="AG19" s="104" t="s">
        <v>363</v>
      </c>
      <c r="AH19" s="104"/>
      <c r="AI19" s="104"/>
      <c r="AJ19" s="104"/>
      <c r="AK19" s="105"/>
      <c r="AL19" s="104"/>
      <c r="AM19" s="104"/>
      <c r="AN19" s="104"/>
      <c r="AO19" s="105"/>
      <c r="AP19" s="104"/>
      <c r="AQ19" s="104"/>
      <c r="AR19" s="104"/>
      <c r="AS19" s="105"/>
      <c r="AT19" s="104"/>
      <c r="AU19" s="104"/>
      <c r="AV19" s="104"/>
      <c r="AW19" s="105"/>
      <c r="AX19" s="106">
        <f t="shared" si="0"/>
        <v>0</v>
      </c>
      <c r="AY19" s="107">
        <f t="shared" si="1"/>
        <v>0</v>
      </c>
      <c r="AZ19" s="109"/>
      <c r="BA19" s="109"/>
      <c r="BB19" s="109"/>
      <c r="BC19" s="109"/>
      <c r="BD19" s="109"/>
      <c r="BE19" s="109"/>
      <c r="BF19" s="109"/>
      <c r="BG19" s="109"/>
      <c r="BH19" s="109"/>
      <c r="BI19" s="104"/>
      <c r="BJ19" s="104"/>
      <c r="BK19" s="104"/>
    </row>
    <row r="20" spans="1:63" ht="15" hidden="1" x14ac:dyDescent="0.25">
      <c r="A20" s="104" t="s">
        <v>364</v>
      </c>
      <c r="B20" s="104"/>
      <c r="C20" s="104"/>
      <c r="D20" s="104"/>
      <c r="E20" s="105"/>
      <c r="F20" s="104"/>
      <c r="G20" s="104"/>
      <c r="H20" s="104"/>
      <c r="I20" s="105"/>
      <c r="J20" s="104"/>
      <c r="K20" s="104"/>
      <c r="L20" s="104"/>
      <c r="M20" s="105"/>
      <c r="N20" s="104">
        <v>18</v>
      </c>
      <c r="O20" s="104">
        <v>105</v>
      </c>
      <c r="P20" s="104"/>
      <c r="Q20" s="105"/>
      <c r="R20" s="106">
        <f t="shared" si="2"/>
        <v>123</v>
      </c>
      <c r="S20" s="107">
        <f t="shared" si="3"/>
        <v>0</v>
      </c>
      <c r="T20" s="108"/>
      <c r="U20" s="108"/>
      <c r="V20" s="108"/>
      <c r="W20" s="108"/>
      <c r="X20" s="108"/>
      <c r="Y20" s="109"/>
      <c r="Z20" s="109"/>
      <c r="AA20" s="109"/>
      <c r="AB20" s="109"/>
      <c r="AC20" s="109"/>
      <c r="AD20" s="109"/>
      <c r="AE20" s="109"/>
      <c r="AG20" s="104" t="s">
        <v>364</v>
      </c>
      <c r="AH20" s="104"/>
      <c r="AI20" s="104"/>
      <c r="AJ20" s="104"/>
      <c r="AK20" s="105"/>
      <c r="AL20" s="104"/>
      <c r="AM20" s="104"/>
      <c r="AN20" s="104"/>
      <c r="AO20" s="105"/>
      <c r="AP20" s="104"/>
      <c r="AQ20" s="104"/>
      <c r="AR20" s="104"/>
      <c r="AS20" s="105"/>
      <c r="AT20" s="104"/>
      <c r="AU20" s="104"/>
      <c r="AV20" s="104"/>
      <c r="AW20" s="105"/>
      <c r="AX20" s="106">
        <f t="shared" si="0"/>
        <v>0</v>
      </c>
      <c r="AY20" s="107">
        <f t="shared" si="1"/>
        <v>0</v>
      </c>
      <c r="AZ20" s="109"/>
      <c r="BA20" s="109"/>
      <c r="BB20" s="109"/>
      <c r="BC20" s="109"/>
      <c r="BD20" s="109"/>
      <c r="BE20" s="109"/>
      <c r="BF20" s="109"/>
      <c r="BG20" s="109"/>
      <c r="BH20" s="109"/>
      <c r="BI20" s="104"/>
      <c r="BJ20" s="104"/>
      <c r="BK20" s="104"/>
    </row>
    <row r="21" spans="1:63" ht="15" hidden="1" x14ac:dyDescent="0.25">
      <c r="A21" s="104" t="s">
        <v>365</v>
      </c>
      <c r="B21" s="104"/>
      <c r="C21" s="104"/>
      <c r="D21" s="104"/>
      <c r="E21" s="105"/>
      <c r="F21" s="104"/>
      <c r="G21" s="104"/>
      <c r="H21" s="104"/>
      <c r="I21" s="105"/>
      <c r="J21" s="104"/>
      <c r="K21" s="104"/>
      <c r="L21" s="104"/>
      <c r="M21" s="105"/>
      <c r="N21" s="104">
        <v>53</v>
      </c>
      <c r="O21" s="104">
        <v>0</v>
      </c>
      <c r="P21" s="104"/>
      <c r="Q21" s="105"/>
      <c r="R21" s="106">
        <f t="shared" si="2"/>
        <v>53</v>
      </c>
      <c r="S21" s="107">
        <f t="shared" si="3"/>
        <v>0</v>
      </c>
      <c r="T21" s="108"/>
      <c r="U21" s="108"/>
      <c r="V21" s="108"/>
      <c r="W21" s="108"/>
      <c r="X21" s="108"/>
      <c r="Y21" s="109"/>
      <c r="Z21" s="109"/>
      <c r="AA21" s="109"/>
      <c r="AB21" s="109"/>
      <c r="AC21" s="109"/>
      <c r="AD21" s="109"/>
      <c r="AE21" s="109"/>
      <c r="AG21" s="104" t="s">
        <v>365</v>
      </c>
      <c r="AH21" s="104"/>
      <c r="AI21" s="104"/>
      <c r="AJ21" s="104"/>
      <c r="AK21" s="105"/>
      <c r="AL21" s="104"/>
      <c r="AM21" s="104"/>
      <c r="AN21" s="104"/>
      <c r="AO21" s="105"/>
      <c r="AP21" s="104"/>
      <c r="AQ21" s="104"/>
      <c r="AR21" s="104"/>
      <c r="AS21" s="105"/>
      <c r="AT21" s="104"/>
      <c r="AU21" s="104"/>
      <c r="AV21" s="104"/>
      <c r="AW21" s="105"/>
      <c r="AX21" s="106">
        <f t="shared" si="0"/>
        <v>0</v>
      </c>
      <c r="AY21" s="107">
        <f t="shared" si="1"/>
        <v>0</v>
      </c>
      <c r="AZ21" s="109"/>
      <c r="BA21" s="109"/>
      <c r="BB21" s="109"/>
      <c r="BC21" s="109"/>
      <c r="BD21" s="109"/>
      <c r="BE21" s="109"/>
      <c r="BF21" s="109"/>
      <c r="BG21" s="109"/>
      <c r="BH21" s="109"/>
      <c r="BI21" s="104"/>
      <c r="BJ21" s="104"/>
      <c r="BK21" s="104"/>
    </row>
    <row r="22" spans="1:63" ht="15" hidden="1" x14ac:dyDescent="0.25">
      <c r="A22" s="104" t="s">
        <v>366</v>
      </c>
      <c r="B22" s="104"/>
      <c r="C22" s="104"/>
      <c r="D22" s="104"/>
      <c r="E22" s="105"/>
      <c r="F22" s="104"/>
      <c r="G22" s="104"/>
      <c r="H22" s="104"/>
      <c r="I22" s="105"/>
      <c r="J22" s="104"/>
      <c r="K22" s="104"/>
      <c r="L22" s="104"/>
      <c r="M22" s="105"/>
      <c r="N22" s="104">
        <v>41</v>
      </c>
      <c r="O22" s="104">
        <v>28</v>
      </c>
      <c r="P22" s="104"/>
      <c r="Q22" s="105"/>
      <c r="R22" s="106">
        <f t="shared" si="2"/>
        <v>69</v>
      </c>
      <c r="S22" s="107">
        <f t="shared" si="3"/>
        <v>0</v>
      </c>
      <c r="T22" s="108"/>
      <c r="U22" s="108"/>
      <c r="V22" s="108"/>
      <c r="W22" s="108"/>
      <c r="X22" s="108"/>
      <c r="Y22" s="109"/>
      <c r="Z22" s="109"/>
      <c r="AA22" s="109"/>
      <c r="AB22" s="109"/>
      <c r="AC22" s="109"/>
      <c r="AD22" s="109"/>
      <c r="AE22" s="109"/>
      <c r="AG22" s="104" t="s">
        <v>366</v>
      </c>
      <c r="AH22" s="104"/>
      <c r="AI22" s="104"/>
      <c r="AJ22" s="104"/>
      <c r="AK22" s="105"/>
      <c r="AL22" s="104"/>
      <c r="AM22" s="104"/>
      <c r="AN22" s="104"/>
      <c r="AO22" s="105"/>
      <c r="AP22" s="104"/>
      <c r="AQ22" s="104"/>
      <c r="AR22" s="104"/>
      <c r="AS22" s="105"/>
      <c r="AT22" s="104"/>
      <c r="AU22" s="104"/>
      <c r="AV22" s="104"/>
      <c r="AW22" s="105"/>
      <c r="AX22" s="106">
        <f t="shared" si="0"/>
        <v>0</v>
      </c>
      <c r="AY22" s="107">
        <f t="shared" si="1"/>
        <v>0</v>
      </c>
      <c r="AZ22" s="109"/>
      <c r="BA22" s="109"/>
      <c r="BB22" s="109"/>
      <c r="BC22" s="109"/>
      <c r="BD22" s="109"/>
      <c r="BE22" s="109"/>
      <c r="BF22" s="109"/>
      <c r="BG22" s="109"/>
      <c r="BH22" s="109"/>
      <c r="BI22" s="109"/>
      <c r="BJ22" s="109"/>
      <c r="BK22" s="109"/>
    </row>
    <row r="23" spans="1:63" ht="15" hidden="1" x14ac:dyDescent="0.25">
      <c r="A23" s="104" t="s">
        <v>367</v>
      </c>
      <c r="B23" s="104"/>
      <c r="C23" s="104"/>
      <c r="D23" s="104"/>
      <c r="E23" s="105"/>
      <c r="F23" s="104"/>
      <c r="G23" s="104"/>
      <c r="H23" s="104"/>
      <c r="I23" s="105"/>
      <c r="J23" s="104"/>
      <c r="K23" s="104"/>
      <c r="L23" s="104"/>
      <c r="M23" s="105"/>
      <c r="N23" s="104">
        <v>8</v>
      </c>
      <c r="O23" s="104">
        <v>83</v>
      </c>
      <c r="P23" s="104"/>
      <c r="Q23" s="105"/>
      <c r="R23" s="106">
        <f t="shared" si="2"/>
        <v>91</v>
      </c>
      <c r="S23" s="107">
        <f t="shared" si="3"/>
        <v>0</v>
      </c>
      <c r="T23" s="108"/>
      <c r="U23" s="108"/>
      <c r="V23" s="108"/>
      <c r="W23" s="108"/>
      <c r="X23" s="108"/>
      <c r="Y23" s="109"/>
      <c r="Z23" s="109"/>
      <c r="AA23" s="109"/>
      <c r="AB23" s="109"/>
      <c r="AC23" s="109"/>
      <c r="AD23" s="109"/>
      <c r="AE23" s="109"/>
      <c r="AG23" s="104" t="s">
        <v>367</v>
      </c>
      <c r="AH23" s="104"/>
      <c r="AI23" s="104"/>
      <c r="AJ23" s="104"/>
      <c r="AK23" s="105"/>
      <c r="AL23" s="104"/>
      <c r="AM23" s="104"/>
      <c r="AN23" s="104"/>
      <c r="AO23" s="105"/>
      <c r="AP23" s="104"/>
      <c r="AQ23" s="104"/>
      <c r="AR23" s="104"/>
      <c r="AS23" s="105"/>
      <c r="AT23" s="104"/>
      <c r="AU23" s="104"/>
      <c r="AV23" s="104"/>
      <c r="AW23" s="105"/>
      <c r="AX23" s="106">
        <f t="shared" si="0"/>
        <v>0</v>
      </c>
      <c r="AY23" s="107">
        <f t="shared" si="1"/>
        <v>0</v>
      </c>
      <c r="AZ23" s="109"/>
      <c r="BA23" s="109"/>
      <c r="BB23" s="109"/>
      <c r="BC23" s="109"/>
      <c r="BD23" s="109"/>
      <c r="BE23" s="109"/>
      <c r="BF23" s="109"/>
      <c r="BG23" s="109"/>
      <c r="BH23" s="109"/>
      <c r="BI23" s="109"/>
      <c r="BJ23" s="109"/>
      <c r="BK23" s="109"/>
    </row>
    <row r="24" spans="1:63" ht="15" hidden="1" x14ac:dyDescent="0.25">
      <c r="A24" s="104" t="s">
        <v>368</v>
      </c>
      <c r="B24" s="104"/>
      <c r="C24" s="104"/>
      <c r="D24" s="104"/>
      <c r="E24" s="105"/>
      <c r="F24" s="104"/>
      <c r="G24" s="104"/>
      <c r="H24" s="104"/>
      <c r="I24" s="105"/>
      <c r="J24" s="104"/>
      <c r="K24" s="104"/>
      <c r="L24" s="104"/>
      <c r="M24" s="105"/>
      <c r="N24" s="104">
        <v>0</v>
      </c>
      <c r="O24" s="104">
        <v>55</v>
      </c>
      <c r="P24" s="104"/>
      <c r="Q24" s="105"/>
      <c r="R24" s="106">
        <f t="shared" si="2"/>
        <v>55</v>
      </c>
      <c r="S24" s="107">
        <f t="shared" si="3"/>
        <v>0</v>
      </c>
      <c r="T24" s="108"/>
      <c r="U24" s="108"/>
      <c r="V24" s="108"/>
      <c r="W24" s="108"/>
      <c r="X24" s="108"/>
      <c r="Y24" s="109"/>
      <c r="Z24" s="109"/>
      <c r="AA24" s="109"/>
      <c r="AB24" s="109"/>
      <c r="AC24" s="109"/>
      <c r="AD24" s="109"/>
      <c r="AE24" s="109"/>
      <c r="AG24" s="104" t="s">
        <v>368</v>
      </c>
      <c r="AH24" s="104"/>
      <c r="AI24" s="104"/>
      <c r="AJ24" s="104"/>
      <c r="AK24" s="105"/>
      <c r="AL24" s="104"/>
      <c r="AM24" s="104"/>
      <c r="AN24" s="104"/>
      <c r="AO24" s="105"/>
      <c r="AP24" s="104"/>
      <c r="AQ24" s="104"/>
      <c r="AR24" s="104"/>
      <c r="AS24" s="105"/>
      <c r="AT24" s="104"/>
      <c r="AU24" s="104"/>
      <c r="AV24" s="104"/>
      <c r="AW24" s="105"/>
      <c r="AX24" s="106">
        <f t="shared" si="0"/>
        <v>0</v>
      </c>
      <c r="AY24" s="107">
        <f t="shared" si="1"/>
        <v>0</v>
      </c>
      <c r="AZ24" s="109"/>
      <c r="BA24" s="109"/>
      <c r="BB24" s="109"/>
      <c r="BC24" s="109"/>
      <c r="BD24" s="109"/>
      <c r="BE24" s="109"/>
      <c r="BF24" s="109"/>
      <c r="BG24" s="109"/>
      <c r="BH24" s="109"/>
      <c r="BI24" s="109"/>
      <c r="BJ24" s="109"/>
      <c r="BK24" s="109"/>
    </row>
    <row r="25" spans="1:63" ht="15" hidden="1" x14ac:dyDescent="0.25">
      <c r="A25" s="104" t="s">
        <v>369</v>
      </c>
      <c r="B25" s="104"/>
      <c r="C25" s="104"/>
      <c r="D25" s="104"/>
      <c r="E25" s="105"/>
      <c r="F25" s="104"/>
      <c r="G25" s="104"/>
      <c r="H25" s="104"/>
      <c r="I25" s="105"/>
      <c r="J25" s="104"/>
      <c r="K25" s="104"/>
      <c r="L25" s="104"/>
      <c r="M25" s="105"/>
      <c r="N25" s="104">
        <v>15</v>
      </c>
      <c r="O25" s="104">
        <v>58</v>
      </c>
      <c r="P25" s="104"/>
      <c r="Q25" s="105"/>
      <c r="R25" s="106">
        <f t="shared" si="2"/>
        <v>73</v>
      </c>
      <c r="S25" s="107">
        <f t="shared" si="3"/>
        <v>0</v>
      </c>
      <c r="T25" s="108"/>
      <c r="U25" s="108"/>
      <c r="V25" s="108"/>
      <c r="W25" s="108"/>
      <c r="X25" s="108"/>
      <c r="Y25" s="109"/>
      <c r="Z25" s="109"/>
      <c r="AA25" s="109"/>
      <c r="AB25" s="109"/>
      <c r="AC25" s="109"/>
      <c r="AD25" s="109"/>
      <c r="AE25" s="109"/>
      <c r="AG25" s="104" t="s">
        <v>369</v>
      </c>
      <c r="AH25" s="104"/>
      <c r="AI25" s="104"/>
      <c r="AJ25" s="104"/>
      <c r="AK25" s="105"/>
      <c r="AL25" s="104"/>
      <c r="AM25" s="104"/>
      <c r="AN25" s="104"/>
      <c r="AO25" s="105"/>
      <c r="AP25" s="104"/>
      <c r="AQ25" s="104"/>
      <c r="AR25" s="104"/>
      <c r="AS25" s="105"/>
      <c r="AT25" s="104"/>
      <c r="AU25" s="104"/>
      <c r="AV25" s="104"/>
      <c r="AW25" s="105"/>
      <c r="AX25" s="106">
        <f t="shared" si="0"/>
        <v>0</v>
      </c>
      <c r="AY25" s="107">
        <f t="shared" si="1"/>
        <v>0</v>
      </c>
      <c r="AZ25" s="109"/>
      <c r="BA25" s="109"/>
      <c r="BB25" s="109"/>
      <c r="BC25" s="109"/>
      <c r="BD25" s="109"/>
      <c r="BE25" s="109"/>
      <c r="BF25" s="109"/>
      <c r="BG25" s="109"/>
      <c r="BH25" s="109"/>
      <c r="BI25" s="109"/>
      <c r="BJ25" s="109"/>
      <c r="BK25" s="109"/>
    </row>
    <row r="26" spans="1:63" ht="15" hidden="1" x14ac:dyDescent="0.25">
      <c r="A26" s="104" t="s">
        <v>370</v>
      </c>
      <c r="B26" s="104"/>
      <c r="C26" s="104"/>
      <c r="D26" s="104"/>
      <c r="E26" s="105"/>
      <c r="F26" s="104"/>
      <c r="G26" s="104"/>
      <c r="H26" s="104"/>
      <c r="I26" s="105"/>
      <c r="J26" s="104"/>
      <c r="K26" s="104"/>
      <c r="L26" s="104"/>
      <c r="M26" s="105"/>
      <c r="N26" s="104">
        <v>0</v>
      </c>
      <c r="O26" s="104">
        <v>60</v>
      </c>
      <c r="P26" s="104"/>
      <c r="Q26" s="105"/>
      <c r="R26" s="106">
        <f t="shared" si="2"/>
        <v>60</v>
      </c>
      <c r="S26" s="107">
        <f t="shared" si="3"/>
        <v>0</v>
      </c>
      <c r="T26" s="108"/>
      <c r="U26" s="108"/>
      <c r="V26" s="108"/>
      <c r="W26" s="108"/>
      <c r="X26" s="108"/>
      <c r="Y26" s="109"/>
      <c r="Z26" s="109"/>
      <c r="AA26" s="109"/>
      <c r="AB26" s="109"/>
      <c r="AC26" s="109"/>
      <c r="AD26" s="109"/>
      <c r="AE26" s="109"/>
      <c r="AG26" s="104" t="s">
        <v>370</v>
      </c>
      <c r="AH26" s="104"/>
      <c r="AI26" s="104"/>
      <c r="AJ26" s="104"/>
      <c r="AK26" s="105"/>
      <c r="AL26" s="104"/>
      <c r="AM26" s="104"/>
      <c r="AN26" s="104"/>
      <c r="AO26" s="105"/>
      <c r="AP26" s="104"/>
      <c r="AQ26" s="104"/>
      <c r="AR26" s="104"/>
      <c r="AS26" s="105"/>
      <c r="AT26" s="104"/>
      <c r="AU26" s="104"/>
      <c r="AV26" s="104"/>
      <c r="AW26" s="105"/>
      <c r="AX26" s="106">
        <f t="shared" si="0"/>
        <v>0</v>
      </c>
      <c r="AY26" s="107">
        <f t="shared" si="1"/>
        <v>0</v>
      </c>
      <c r="AZ26" s="109"/>
      <c r="BA26" s="109"/>
      <c r="BB26" s="109"/>
      <c r="BC26" s="109"/>
      <c r="BD26" s="109"/>
      <c r="BE26" s="109"/>
      <c r="BF26" s="109"/>
      <c r="BG26" s="109"/>
      <c r="BH26" s="109"/>
      <c r="BI26" s="109"/>
      <c r="BJ26" s="109"/>
      <c r="BK26" s="109"/>
    </row>
    <row r="27" spans="1:63" ht="15" hidden="1" x14ac:dyDescent="0.25">
      <c r="A27" s="104" t="s">
        <v>371</v>
      </c>
      <c r="B27" s="104"/>
      <c r="C27" s="104"/>
      <c r="D27" s="104"/>
      <c r="E27" s="105"/>
      <c r="F27" s="104"/>
      <c r="G27" s="104"/>
      <c r="H27" s="104"/>
      <c r="I27" s="105"/>
      <c r="J27" s="104"/>
      <c r="K27" s="104"/>
      <c r="L27" s="104"/>
      <c r="M27" s="105"/>
      <c r="N27" s="104">
        <v>38</v>
      </c>
      <c r="O27" s="104">
        <v>115</v>
      </c>
      <c r="P27" s="104"/>
      <c r="Q27" s="105"/>
      <c r="R27" s="106">
        <f t="shared" si="2"/>
        <v>153</v>
      </c>
      <c r="S27" s="107">
        <f t="shared" si="3"/>
        <v>0</v>
      </c>
      <c r="T27" s="108"/>
      <c r="U27" s="108"/>
      <c r="V27" s="108"/>
      <c r="W27" s="108"/>
      <c r="X27" s="108"/>
      <c r="Y27" s="109"/>
      <c r="Z27" s="109"/>
      <c r="AA27" s="109"/>
      <c r="AB27" s="109"/>
      <c r="AC27" s="109"/>
      <c r="AD27" s="109"/>
      <c r="AE27" s="109"/>
      <c r="AG27" s="104" t="s">
        <v>371</v>
      </c>
      <c r="AH27" s="104"/>
      <c r="AI27" s="104"/>
      <c r="AJ27" s="104"/>
      <c r="AK27" s="105"/>
      <c r="AL27" s="104"/>
      <c r="AM27" s="104"/>
      <c r="AN27" s="104"/>
      <c r="AO27" s="105"/>
      <c r="AP27" s="104"/>
      <c r="AQ27" s="104"/>
      <c r="AR27" s="104"/>
      <c r="AS27" s="105"/>
      <c r="AT27" s="104"/>
      <c r="AU27" s="104"/>
      <c r="AV27" s="104"/>
      <c r="AW27" s="105"/>
      <c r="AX27" s="106">
        <f t="shared" si="0"/>
        <v>0</v>
      </c>
      <c r="AY27" s="107">
        <f t="shared" si="1"/>
        <v>0</v>
      </c>
      <c r="AZ27" s="109"/>
      <c r="BA27" s="109"/>
      <c r="BB27" s="109"/>
      <c r="BC27" s="109"/>
      <c r="BD27" s="109"/>
      <c r="BE27" s="109"/>
      <c r="BF27" s="109"/>
      <c r="BG27" s="109"/>
      <c r="BH27" s="109"/>
      <c r="BI27" s="109"/>
      <c r="BJ27" s="109"/>
      <c r="BK27" s="109"/>
    </row>
    <row r="28" spans="1:63" ht="15" hidden="1" x14ac:dyDescent="0.25">
      <c r="A28" s="104" t="s">
        <v>372</v>
      </c>
      <c r="B28" s="104"/>
      <c r="C28" s="104"/>
      <c r="D28" s="104"/>
      <c r="E28" s="105"/>
      <c r="F28" s="104"/>
      <c r="G28" s="104"/>
      <c r="H28" s="104"/>
      <c r="I28" s="105"/>
      <c r="J28" s="104"/>
      <c r="K28" s="104"/>
      <c r="L28" s="104"/>
      <c r="M28" s="105"/>
      <c r="N28" s="104">
        <v>0</v>
      </c>
      <c r="O28" s="104">
        <v>0</v>
      </c>
      <c r="P28" s="104"/>
      <c r="Q28" s="105"/>
      <c r="R28" s="106">
        <f t="shared" si="2"/>
        <v>0</v>
      </c>
      <c r="S28" s="107">
        <f t="shared" si="3"/>
        <v>0</v>
      </c>
      <c r="T28" s="108"/>
      <c r="U28" s="108"/>
      <c r="V28" s="108"/>
      <c r="W28" s="108"/>
      <c r="X28" s="108"/>
      <c r="Y28" s="109"/>
      <c r="Z28" s="109"/>
      <c r="AA28" s="109"/>
      <c r="AB28" s="109"/>
      <c r="AC28" s="109"/>
      <c r="AD28" s="109"/>
      <c r="AE28" s="109"/>
      <c r="AG28" s="104" t="s">
        <v>372</v>
      </c>
      <c r="AH28" s="104"/>
      <c r="AI28" s="104"/>
      <c r="AJ28" s="104"/>
      <c r="AK28" s="105"/>
      <c r="AL28" s="104"/>
      <c r="AM28" s="104"/>
      <c r="AN28" s="104"/>
      <c r="AO28" s="105"/>
      <c r="AP28" s="104"/>
      <c r="AQ28" s="104"/>
      <c r="AR28" s="104"/>
      <c r="AS28" s="105"/>
      <c r="AT28" s="104"/>
      <c r="AU28" s="104"/>
      <c r="AV28" s="104"/>
      <c r="AW28" s="105"/>
      <c r="AX28" s="106">
        <f t="shared" si="0"/>
        <v>0</v>
      </c>
      <c r="AY28" s="107">
        <f t="shared" si="1"/>
        <v>0</v>
      </c>
      <c r="AZ28" s="109"/>
      <c r="BA28" s="109"/>
      <c r="BB28" s="109"/>
      <c r="BC28" s="109"/>
      <c r="BD28" s="109"/>
      <c r="BE28" s="109"/>
      <c r="BF28" s="109"/>
      <c r="BG28" s="109"/>
      <c r="BH28" s="109"/>
      <c r="BI28" s="109"/>
      <c r="BJ28" s="109"/>
      <c r="BK28" s="109"/>
    </row>
    <row r="29" spans="1:63" ht="15" hidden="1" x14ac:dyDescent="0.25">
      <c r="A29" s="104" t="s">
        <v>373</v>
      </c>
      <c r="B29" s="104"/>
      <c r="C29" s="104"/>
      <c r="D29" s="104"/>
      <c r="E29" s="105"/>
      <c r="F29" s="104"/>
      <c r="G29" s="104"/>
      <c r="H29" s="104"/>
      <c r="I29" s="105"/>
      <c r="J29" s="104"/>
      <c r="K29" s="104"/>
      <c r="L29" s="104"/>
      <c r="M29" s="105"/>
      <c r="N29" s="104">
        <v>20</v>
      </c>
      <c r="O29" s="104">
        <v>0</v>
      </c>
      <c r="P29" s="104"/>
      <c r="Q29" s="105"/>
      <c r="R29" s="106">
        <f t="shared" si="2"/>
        <v>20</v>
      </c>
      <c r="S29" s="107">
        <f t="shared" si="3"/>
        <v>0</v>
      </c>
      <c r="T29" s="108"/>
      <c r="U29" s="108"/>
      <c r="V29" s="108"/>
      <c r="W29" s="108"/>
      <c r="X29" s="108"/>
      <c r="Y29" s="109"/>
      <c r="Z29" s="109"/>
      <c r="AA29" s="109"/>
      <c r="AB29" s="109"/>
      <c r="AC29" s="109"/>
      <c r="AD29" s="109"/>
      <c r="AE29" s="109"/>
      <c r="AG29" s="104" t="s">
        <v>373</v>
      </c>
      <c r="AH29" s="104"/>
      <c r="AI29" s="104"/>
      <c r="AJ29" s="104"/>
      <c r="AK29" s="105"/>
      <c r="AL29" s="104"/>
      <c r="AM29" s="104"/>
      <c r="AN29" s="104"/>
      <c r="AO29" s="105"/>
      <c r="AP29" s="104"/>
      <c r="AQ29" s="104"/>
      <c r="AR29" s="104"/>
      <c r="AS29" s="105"/>
      <c r="AT29" s="104"/>
      <c r="AU29" s="104"/>
      <c r="AV29" s="104"/>
      <c r="AW29" s="105"/>
      <c r="AX29" s="106">
        <f t="shared" si="0"/>
        <v>0</v>
      </c>
      <c r="AY29" s="107">
        <f t="shared" si="1"/>
        <v>0</v>
      </c>
      <c r="AZ29" s="109"/>
      <c r="BA29" s="109"/>
      <c r="BB29" s="109"/>
      <c r="BC29" s="109"/>
      <c r="BD29" s="109"/>
      <c r="BE29" s="109"/>
      <c r="BF29" s="109"/>
      <c r="BG29" s="109"/>
      <c r="BH29" s="109"/>
      <c r="BI29" s="109"/>
      <c r="BJ29" s="109"/>
      <c r="BK29" s="109"/>
    </row>
    <row r="30" spans="1:63" ht="15" hidden="1" x14ac:dyDescent="0.25">
      <c r="A30" s="104" t="s">
        <v>374</v>
      </c>
      <c r="B30" s="104"/>
      <c r="C30" s="104"/>
      <c r="D30" s="104"/>
      <c r="E30" s="105"/>
      <c r="F30" s="104"/>
      <c r="G30" s="104"/>
      <c r="H30" s="104"/>
      <c r="I30" s="105"/>
      <c r="J30" s="104"/>
      <c r="K30" s="104"/>
      <c r="L30" s="104"/>
      <c r="M30" s="105"/>
      <c r="N30" s="104">
        <v>13</v>
      </c>
      <c r="O30" s="104">
        <v>15</v>
      </c>
      <c r="P30" s="104"/>
      <c r="Q30" s="105"/>
      <c r="R30" s="106">
        <f t="shared" si="2"/>
        <v>28</v>
      </c>
      <c r="S30" s="107">
        <f t="shared" si="3"/>
        <v>0</v>
      </c>
      <c r="T30" s="108"/>
      <c r="U30" s="108"/>
      <c r="V30" s="108"/>
      <c r="W30" s="108"/>
      <c r="X30" s="108"/>
      <c r="Y30" s="109"/>
      <c r="Z30" s="109"/>
      <c r="AA30" s="109"/>
      <c r="AB30" s="109"/>
      <c r="AC30" s="109"/>
      <c r="AD30" s="109"/>
      <c r="AE30" s="109"/>
      <c r="AG30" s="104" t="s">
        <v>374</v>
      </c>
      <c r="AH30" s="104"/>
      <c r="AI30" s="104"/>
      <c r="AJ30" s="104"/>
      <c r="AK30" s="105"/>
      <c r="AL30" s="104"/>
      <c r="AM30" s="104"/>
      <c r="AN30" s="104"/>
      <c r="AO30" s="105"/>
      <c r="AP30" s="104"/>
      <c r="AQ30" s="104"/>
      <c r="AR30" s="104"/>
      <c r="AS30" s="105"/>
      <c r="AT30" s="104"/>
      <c r="AU30" s="104"/>
      <c r="AV30" s="104"/>
      <c r="AW30" s="105"/>
      <c r="AX30" s="106">
        <f t="shared" si="0"/>
        <v>0</v>
      </c>
      <c r="AY30" s="107">
        <f t="shared" si="1"/>
        <v>0</v>
      </c>
      <c r="AZ30" s="109"/>
      <c r="BA30" s="109"/>
      <c r="BB30" s="109"/>
      <c r="BC30" s="109"/>
      <c r="BD30" s="109"/>
      <c r="BE30" s="109"/>
      <c r="BF30" s="109"/>
      <c r="BG30" s="109"/>
      <c r="BH30" s="109"/>
      <c r="BI30" s="109"/>
      <c r="BJ30" s="109"/>
      <c r="BK30" s="109"/>
    </row>
    <row r="31" spans="1:63" ht="15" hidden="1" x14ac:dyDescent="0.25">
      <c r="A31" s="104" t="s">
        <v>375</v>
      </c>
      <c r="B31" s="104"/>
      <c r="C31" s="104"/>
      <c r="D31" s="104"/>
      <c r="E31" s="105"/>
      <c r="F31" s="104"/>
      <c r="G31" s="104"/>
      <c r="H31" s="104"/>
      <c r="I31" s="105"/>
      <c r="J31" s="104"/>
      <c r="K31" s="104"/>
      <c r="L31" s="104"/>
      <c r="M31" s="105"/>
      <c r="N31" s="104">
        <v>0</v>
      </c>
      <c r="O31" s="104">
        <v>0</v>
      </c>
      <c r="P31" s="104"/>
      <c r="Q31" s="105"/>
      <c r="R31" s="106">
        <f t="shared" si="2"/>
        <v>0</v>
      </c>
      <c r="S31" s="107">
        <f t="shared" si="3"/>
        <v>0</v>
      </c>
      <c r="T31" s="108"/>
      <c r="U31" s="108"/>
      <c r="V31" s="108"/>
      <c r="W31" s="108"/>
      <c r="X31" s="108"/>
      <c r="Y31" s="109"/>
      <c r="Z31" s="109"/>
      <c r="AA31" s="109"/>
      <c r="AB31" s="109"/>
      <c r="AC31" s="109"/>
      <c r="AD31" s="109"/>
      <c r="AE31" s="109"/>
      <c r="AG31" s="104" t="s">
        <v>375</v>
      </c>
      <c r="AH31" s="104"/>
      <c r="AI31" s="104"/>
      <c r="AJ31" s="104"/>
      <c r="AK31" s="105"/>
      <c r="AL31" s="104"/>
      <c r="AM31" s="104"/>
      <c r="AN31" s="104"/>
      <c r="AO31" s="105"/>
      <c r="AP31" s="104"/>
      <c r="AQ31" s="104"/>
      <c r="AR31" s="104"/>
      <c r="AS31" s="105"/>
      <c r="AT31" s="104"/>
      <c r="AU31" s="104"/>
      <c r="AV31" s="104"/>
      <c r="AW31" s="105"/>
      <c r="AX31" s="106">
        <f t="shared" si="0"/>
        <v>0</v>
      </c>
      <c r="AY31" s="107">
        <f t="shared" si="1"/>
        <v>0</v>
      </c>
      <c r="AZ31" s="109"/>
      <c r="BA31" s="109"/>
      <c r="BB31" s="109"/>
      <c r="BC31" s="109"/>
      <c r="BD31" s="109"/>
      <c r="BE31" s="109"/>
      <c r="BF31" s="109"/>
      <c r="BG31" s="109"/>
      <c r="BH31" s="109"/>
      <c r="BI31" s="109"/>
      <c r="BJ31" s="109"/>
      <c r="BK31" s="109"/>
    </row>
    <row r="32" spans="1:63" ht="15" hidden="1" x14ac:dyDescent="0.25">
      <c r="A32" s="112" t="s">
        <v>376</v>
      </c>
      <c r="B32" s="112">
        <f>SUM(B11:B31)</f>
        <v>0</v>
      </c>
      <c r="C32" s="112">
        <f t="shared" ref="C32:AE32" si="4">SUM(C11:C31)</f>
        <v>0</v>
      </c>
      <c r="D32" s="112">
        <f t="shared" si="4"/>
        <v>0</v>
      </c>
      <c r="E32" s="113">
        <f>SUM(E11:E31)</f>
        <v>0</v>
      </c>
      <c r="F32" s="112">
        <f t="shared" si="4"/>
        <v>0</v>
      </c>
      <c r="G32" s="112">
        <f t="shared" si="4"/>
        <v>0</v>
      </c>
      <c r="H32" s="112">
        <f t="shared" si="4"/>
        <v>0</v>
      </c>
      <c r="I32" s="113">
        <f>SUM(I11:I31)</f>
        <v>0</v>
      </c>
      <c r="J32" s="112">
        <f t="shared" si="4"/>
        <v>0</v>
      </c>
      <c r="K32" s="112">
        <f t="shared" si="4"/>
        <v>4.0579710144927547E-2</v>
      </c>
      <c r="L32" s="112">
        <f t="shared" si="4"/>
        <v>0.17971014492753629</v>
      </c>
      <c r="M32" s="113">
        <f>SUM(M11:M31)</f>
        <v>0</v>
      </c>
      <c r="N32" s="112">
        <f>SUM(N11:N31)</f>
        <v>422.25797101449274</v>
      </c>
      <c r="O32" s="112">
        <f>SUM(O11:O31)</f>
        <v>987.29420289855079</v>
      </c>
      <c r="P32" s="112">
        <f>SUM(P11:P31)</f>
        <v>0.227536231884058</v>
      </c>
      <c r="Q32" s="113">
        <f>SUM(Q11:Q31)</f>
        <v>0</v>
      </c>
      <c r="R32" s="112">
        <f t="shared" si="4"/>
        <v>1410</v>
      </c>
      <c r="S32" s="107">
        <f t="shared" si="4"/>
        <v>0</v>
      </c>
      <c r="T32" s="112">
        <f t="shared" si="4"/>
        <v>0</v>
      </c>
      <c r="U32" s="112">
        <f t="shared" si="4"/>
        <v>0</v>
      </c>
      <c r="V32" s="112">
        <f t="shared" si="4"/>
        <v>0</v>
      </c>
      <c r="W32" s="112">
        <f t="shared" si="4"/>
        <v>0</v>
      </c>
      <c r="X32" s="112">
        <f t="shared" si="4"/>
        <v>0</v>
      </c>
      <c r="Y32" s="112">
        <f t="shared" si="4"/>
        <v>0</v>
      </c>
      <c r="Z32" s="112">
        <f t="shared" si="4"/>
        <v>0</v>
      </c>
      <c r="AA32" s="112">
        <f t="shared" si="4"/>
        <v>0</v>
      </c>
      <c r="AB32" s="112">
        <f t="shared" si="4"/>
        <v>0</v>
      </c>
      <c r="AC32" s="112">
        <f t="shared" si="4"/>
        <v>0</v>
      </c>
      <c r="AD32" s="112">
        <f t="shared" si="4"/>
        <v>0</v>
      </c>
      <c r="AE32" s="112">
        <f t="shared" si="4"/>
        <v>0</v>
      </c>
      <c r="AF32" s="27"/>
      <c r="AG32" s="112" t="s">
        <v>376</v>
      </c>
      <c r="AH32" s="112">
        <f t="shared" ref="AH32:AW32" si="5">SUM(AH11:AH31)</f>
        <v>0</v>
      </c>
      <c r="AI32" s="112">
        <f t="shared" si="5"/>
        <v>0</v>
      </c>
      <c r="AJ32" s="112">
        <f t="shared" si="5"/>
        <v>0</v>
      </c>
      <c r="AK32" s="113">
        <f t="shared" si="5"/>
        <v>0</v>
      </c>
      <c r="AL32" s="112">
        <f t="shared" si="5"/>
        <v>0</v>
      </c>
      <c r="AM32" s="112">
        <f t="shared" si="5"/>
        <v>0</v>
      </c>
      <c r="AN32" s="112">
        <f t="shared" si="5"/>
        <v>0</v>
      </c>
      <c r="AO32" s="113">
        <f t="shared" si="5"/>
        <v>0</v>
      </c>
      <c r="AP32" s="112">
        <f t="shared" si="5"/>
        <v>0</v>
      </c>
      <c r="AQ32" s="112">
        <f t="shared" si="5"/>
        <v>4.0579710144927547E-2</v>
      </c>
      <c r="AR32" s="112">
        <f t="shared" si="5"/>
        <v>0.17971014492753629</v>
      </c>
      <c r="AS32" s="113" t="e">
        <f t="shared" si="5"/>
        <v>#REF!</v>
      </c>
      <c r="AT32" s="112">
        <f t="shared" si="5"/>
        <v>0.25797101449275367</v>
      </c>
      <c r="AU32" s="112">
        <f t="shared" si="5"/>
        <v>0.29420289855072468</v>
      </c>
      <c r="AV32" s="112">
        <f t="shared" si="5"/>
        <v>0.227536231884058</v>
      </c>
      <c r="AW32" s="113">
        <f t="shared" si="5"/>
        <v>0</v>
      </c>
      <c r="AX32" s="114">
        <f t="shared" ref="AX32:BK32" si="6">SUM(AX11:AX31)</f>
        <v>1.0000000000000002</v>
      </c>
      <c r="AY32" s="115" t="e">
        <f t="shared" si="6"/>
        <v>#REF!</v>
      </c>
      <c r="AZ32" s="112">
        <f t="shared" si="6"/>
        <v>0</v>
      </c>
      <c r="BA32" s="112">
        <f t="shared" si="6"/>
        <v>0</v>
      </c>
      <c r="BB32" s="112">
        <f t="shared" si="6"/>
        <v>0</v>
      </c>
      <c r="BC32" s="112">
        <f t="shared" si="6"/>
        <v>0</v>
      </c>
      <c r="BD32" s="112">
        <f t="shared" si="6"/>
        <v>0</v>
      </c>
      <c r="BE32" s="112">
        <f t="shared" si="6"/>
        <v>0</v>
      </c>
      <c r="BF32" s="112">
        <f t="shared" si="6"/>
        <v>0</v>
      </c>
      <c r="BG32" s="112">
        <f t="shared" si="6"/>
        <v>0</v>
      </c>
      <c r="BH32" s="112">
        <f t="shared" si="6"/>
        <v>0</v>
      </c>
      <c r="BI32" s="112">
        <f t="shared" si="6"/>
        <v>0</v>
      </c>
      <c r="BJ32" s="112">
        <f t="shared" si="6"/>
        <v>0</v>
      </c>
      <c r="BK32" s="112">
        <f t="shared" si="6"/>
        <v>0</v>
      </c>
    </row>
    <row r="33" spans="1:63" hidden="1"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row>
    <row r="34" spans="1:63" hidden="1"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row>
    <row r="35" spans="1:63" ht="31.5" hidden="1" customHeight="1" x14ac:dyDescent="0.25">
      <c r="A35" s="543" t="s">
        <v>335</v>
      </c>
      <c r="B35" s="885" t="s">
        <v>377</v>
      </c>
      <c r="C35" s="886"/>
      <c r="D35" s="886"/>
      <c r="E35" s="886"/>
      <c r="F35" s="886"/>
      <c r="G35" s="886"/>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6"/>
      <c r="AY35" s="886"/>
      <c r="AZ35" s="886"/>
      <c r="BA35" s="886"/>
      <c r="BB35" s="886"/>
      <c r="BC35" s="886"/>
      <c r="BD35" s="886"/>
      <c r="BE35" s="886"/>
      <c r="BF35" s="886"/>
      <c r="BG35" s="886"/>
      <c r="BH35" s="886"/>
      <c r="BI35" s="886"/>
      <c r="BJ35" s="886"/>
      <c r="BK35" s="887"/>
    </row>
    <row r="36" spans="1:63" ht="18.75" hidden="1" customHeight="1" x14ac:dyDescent="0.25">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27"/>
      <c r="AG36" s="97"/>
      <c r="AH36" s="97"/>
      <c r="AI36" s="97"/>
      <c r="AJ36" s="97"/>
      <c r="AK36" s="97"/>
      <c r="AL36" s="97"/>
      <c r="AM36" s="97"/>
      <c r="AN36" s="97"/>
      <c r="AO36" s="97"/>
      <c r="AP36" s="27"/>
      <c r="AQ36" s="27"/>
      <c r="AR36" s="27"/>
      <c r="AS36" s="27"/>
      <c r="AT36" s="27"/>
      <c r="AU36" s="27"/>
      <c r="AV36" s="27"/>
      <c r="AW36" s="27"/>
      <c r="AX36" s="27"/>
      <c r="AY36" s="27"/>
      <c r="AZ36" s="27"/>
      <c r="BA36" s="27"/>
      <c r="BB36" s="27"/>
      <c r="BC36" s="27"/>
      <c r="BD36" s="27"/>
      <c r="BE36" s="27"/>
      <c r="BF36" s="27"/>
      <c r="BG36" s="27"/>
      <c r="BH36" s="27"/>
      <c r="BI36" s="27"/>
      <c r="BJ36" s="27"/>
      <c r="BK36" s="27"/>
    </row>
    <row r="37" spans="1:63" ht="30" hidden="1" customHeight="1" x14ac:dyDescent="0.25">
      <c r="A37" s="875" t="s">
        <v>337</v>
      </c>
      <c r="B37" s="98" t="s">
        <v>141</v>
      </c>
      <c r="C37" s="98" t="s">
        <v>142</v>
      </c>
      <c r="D37" s="877" t="s">
        <v>143</v>
      </c>
      <c r="E37" s="878"/>
      <c r="F37" s="98" t="s">
        <v>144</v>
      </c>
      <c r="G37" s="98" t="s">
        <v>145</v>
      </c>
      <c r="H37" s="877" t="s">
        <v>146</v>
      </c>
      <c r="I37" s="878"/>
      <c r="J37" s="98" t="s">
        <v>147</v>
      </c>
      <c r="K37" s="98" t="s">
        <v>148</v>
      </c>
      <c r="L37" s="877" t="s">
        <v>149</v>
      </c>
      <c r="M37" s="878"/>
      <c r="N37" s="98" t="s">
        <v>150</v>
      </c>
      <c r="O37" s="98" t="s">
        <v>151</v>
      </c>
      <c r="P37" s="877" t="s">
        <v>128</v>
      </c>
      <c r="Q37" s="878"/>
      <c r="R37" s="877" t="s">
        <v>338</v>
      </c>
      <c r="S37" s="878"/>
      <c r="T37" s="877" t="s">
        <v>339</v>
      </c>
      <c r="U37" s="881"/>
      <c r="V37" s="881"/>
      <c r="W37" s="881"/>
      <c r="X37" s="881"/>
      <c r="Y37" s="878"/>
      <c r="Z37" s="877" t="s">
        <v>340</v>
      </c>
      <c r="AA37" s="881"/>
      <c r="AB37" s="881"/>
      <c r="AC37" s="881"/>
      <c r="AD37" s="881"/>
      <c r="AE37" s="878"/>
      <c r="AF37" s="27"/>
      <c r="AG37" s="875" t="s">
        <v>337</v>
      </c>
      <c r="AH37" s="98" t="s">
        <v>141</v>
      </c>
      <c r="AI37" s="98" t="s">
        <v>142</v>
      </c>
      <c r="AJ37" s="877" t="s">
        <v>143</v>
      </c>
      <c r="AK37" s="878"/>
      <c r="AL37" s="98" t="s">
        <v>144</v>
      </c>
      <c r="AM37" s="98" t="s">
        <v>145</v>
      </c>
      <c r="AN37" s="877" t="s">
        <v>146</v>
      </c>
      <c r="AO37" s="878"/>
      <c r="AP37" s="98" t="s">
        <v>147</v>
      </c>
      <c r="AQ37" s="98" t="s">
        <v>148</v>
      </c>
      <c r="AR37" s="877" t="s">
        <v>149</v>
      </c>
      <c r="AS37" s="878"/>
      <c r="AT37" s="98" t="s">
        <v>150</v>
      </c>
      <c r="AU37" s="98" t="s">
        <v>151</v>
      </c>
      <c r="AV37" s="877" t="s">
        <v>128</v>
      </c>
      <c r="AW37" s="878"/>
      <c r="AX37" s="877" t="s">
        <v>338</v>
      </c>
      <c r="AY37" s="878"/>
      <c r="AZ37" s="877" t="s">
        <v>339</v>
      </c>
      <c r="BA37" s="881"/>
      <c r="BB37" s="881"/>
      <c r="BC37" s="881"/>
      <c r="BD37" s="881"/>
      <c r="BE37" s="878"/>
      <c r="BF37" s="877" t="s">
        <v>340</v>
      </c>
      <c r="BG37" s="881"/>
      <c r="BH37" s="881"/>
      <c r="BI37" s="881"/>
      <c r="BJ37" s="881"/>
      <c r="BK37" s="878"/>
    </row>
    <row r="38" spans="1:63" ht="36" hidden="1" customHeight="1" x14ac:dyDescent="0.25">
      <c r="A38" s="876"/>
      <c r="B38" s="92" t="s">
        <v>341</v>
      </c>
      <c r="C38" s="92" t="s">
        <v>341</v>
      </c>
      <c r="D38" s="92" t="s">
        <v>341</v>
      </c>
      <c r="E38" s="92" t="s">
        <v>342</v>
      </c>
      <c r="F38" s="92" t="s">
        <v>341</v>
      </c>
      <c r="G38" s="92" t="s">
        <v>341</v>
      </c>
      <c r="H38" s="92" t="s">
        <v>341</v>
      </c>
      <c r="I38" s="92" t="s">
        <v>342</v>
      </c>
      <c r="J38" s="92" t="s">
        <v>341</v>
      </c>
      <c r="K38" s="92" t="s">
        <v>341</v>
      </c>
      <c r="L38" s="92" t="s">
        <v>341</v>
      </c>
      <c r="M38" s="92" t="s">
        <v>342</v>
      </c>
      <c r="N38" s="92" t="s">
        <v>341</v>
      </c>
      <c r="O38" s="92" t="s">
        <v>341</v>
      </c>
      <c r="P38" s="92" t="s">
        <v>341</v>
      </c>
      <c r="Q38" s="92" t="s">
        <v>342</v>
      </c>
      <c r="R38" s="92" t="s">
        <v>341</v>
      </c>
      <c r="S38" s="92" t="s">
        <v>342</v>
      </c>
      <c r="T38" s="99" t="s">
        <v>343</v>
      </c>
      <c r="U38" s="99" t="s">
        <v>344</v>
      </c>
      <c r="V38" s="99" t="s">
        <v>345</v>
      </c>
      <c r="W38" s="99" t="s">
        <v>346</v>
      </c>
      <c r="X38" s="100" t="s">
        <v>347</v>
      </c>
      <c r="Y38" s="99" t="s">
        <v>348</v>
      </c>
      <c r="Z38" s="92" t="s">
        <v>349</v>
      </c>
      <c r="AA38" s="101" t="s">
        <v>350</v>
      </c>
      <c r="AB38" s="92" t="s">
        <v>351</v>
      </c>
      <c r="AC38" s="92" t="s">
        <v>352</v>
      </c>
      <c r="AD38" s="92" t="s">
        <v>353</v>
      </c>
      <c r="AE38" s="92" t="s">
        <v>354</v>
      </c>
      <c r="AF38" s="27"/>
      <c r="AG38" s="876"/>
      <c r="AH38" s="92" t="s">
        <v>341</v>
      </c>
      <c r="AI38" s="92" t="s">
        <v>341</v>
      </c>
      <c r="AJ38" s="92" t="s">
        <v>341</v>
      </c>
      <c r="AK38" s="92" t="s">
        <v>342</v>
      </c>
      <c r="AL38" s="92" t="s">
        <v>341</v>
      </c>
      <c r="AM38" s="92" t="s">
        <v>341</v>
      </c>
      <c r="AN38" s="92" t="s">
        <v>341</v>
      </c>
      <c r="AO38" s="92" t="s">
        <v>342</v>
      </c>
      <c r="AP38" s="92" t="s">
        <v>341</v>
      </c>
      <c r="AQ38" s="92" t="s">
        <v>341</v>
      </c>
      <c r="AR38" s="92" t="s">
        <v>341</v>
      </c>
      <c r="AS38" s="92" t="s">
        <v>342</v>
      </c>
      <c r="AT38" s="92" t="s">
        <v>341</v>
      </c>
      <c r="AU38" s="92" t="s">
        <v>341</v>
      </c>
      <c r="AV38" s="92" t="s">
        <v>341</v>
      </c>
      <c r="AW38" s="92" t="s">
        <v>342</v>
      </c>
      <c r="AX38" s="92" t="s">
        <v>341</v>
      </c>
      <c r="AY38" s="92" t="s">
        <v>342</v>
      </c>
      <c r="AZ38" s="99" t="s">
        <v>343</v>
      </c>
      <c r="BA38" s="99" t="s">
        <v>344</v>
      </c>
      <c r="BB38" s="99" t="s">
        <v>345</v>
      </c>
      <c r="BC38" s="99" t="s">
        <v>346</v>
      </c>
      <c r="BD38" s="100" t="s">
        <v>347</v>
      </c>
      <c r="BE38" s="99" t="s">
        <v>348</v>
      </c>
      <c r="BF38" s="102" t="s">
        <v>349</v>
      </c>
      <c r="BG38" s="103" t="s">
        <v>350</v>
      </c>
      <c r="BH38" s="102" t="s">
        <v>351</v>
      </c>
      <c r="BI38" s="102" t="s">
        <v>352</v>
      </c>
      <c r="BJ38" s="102" t="s">
        <v>353</v>
      </c>
      <c r="BK38" s="102" t="s">
        <v>354</v>
      </c>
    </row>
    <row r="39" spans="1:63" ht="15" hidden="1" x14ac:dyDescent="0.25">
      <c r="A39" s="544" t="s">
        <v>355</v>
      </c>
      <c r="B39" s="544"/>
      <c r="C39" s="544"/>
      <c r="D39" s="544"/>
      <c r="E39" s="545"/>
      <c r="F39" s="544"/>
      <c r="G39" s="544"/>
      <c r="H39" s="544"/>
      <c r="I39" s="545"/>
      <c r="J39" s="546">
        <f>+Meta.4!J35</f>
        <v>0</v>
      </c>
      <c r="K39" s="546">
        <f>+Meta.4!K35</f>
        <v>0.20833333333333334</v>
      </c>
      <c r="L39" s="546">
        <f>+Meta.4!L35</f>
        <v>0.2416666666666667</v>
      </c>
      <c r="M39" s="545">
        <f>+K90+L90</f>
        <v>0</v>
      </c>
      <c r="N39" s="546">
        <f>+Meta.4!M35</f>
        <v>0.35000000000000003</v>
      </c>
      <c r="O39" s="546">
        <f>+Meta.4!N35</f>
        <v>0.1</v>
      </c>
      <c r="P39" s="546">
        <f>+Meta.4!O35</f>
        <v>0.1</v>
      </c>
      <c r="Q39" s="545">
        <f>+M90+N90+O90</f>
        <v>0</v>
      </c>
      <c r="R39" s="106">
        <f>B39+C39+D39+F39+G39+H39+J39+K39+L39+N39+O39+P39</f>
        <v>1</v>
      </c>
      <c r="S39" s="107">
        <f>+E39+I39+M39+Q39</f>
        <v>0</v>
      </c>
      <c r="T39" s="108"/>
      <c r="U39" s="108"/>
      <c r="V39" s="108"/>
      <c r="W39" s="108"/>
      <c r="X39" s="108"/>
      <c r="Y39" s="547"/>
      <c r="Z39" s="547"/>
      <c r="AA39" s="547"/>
      <c r="AB39" s="547"/>
      <c r="AC39" s="547"/>
      <c r="AD39" s="547"/>
      <c r="AE39" s="548"/>
      <c r="AF39" s="27"/>
      <c r="AG39" s="544" t="s">
        <v>355</v>
      </c>
      <c r="AH39" s="544"/>
      <c r="AI39" s="544"/>
      <c r="AJ39" s="544"/>
      <c r="AK39" s="545"/>
      <c r="AL39" s="544"/>
      <c r="AM39" s="544"/>
      <c r="AN39" s="544"/>
      <c r="AO39" s="545"/>
      <c r="AP39" s="546">
        <f>+Meta.4!J36</f>
        <v>0</v>
      </c>
      <c r="AQ39" s="546">
        <f>+Meta.4!K36</f>
        <v>0.20833333333333334</v>
      </c>
      <c r="AR39" s="546">
        <f>+Meta.4!L36</f>
        <v>0.2416666666666667</v>
      </c>
      <c r="AS39" s="545" t="e">
        <f>+#REF!+#REF!+#REF!+#REF!+#REF!+#REF!+#REF!+#REF!</f>
        <v>#REF!</v>
      </c>
      <c r="AT39" s="546">
        <f>+Meta.4!M36</f>
        <v>0.35000000000000003</v>
      </c>
      <c r="AU39" s="546">
        <f>+Meta.4!N36</f>
        <v>0.1</v>
      </c>
      <c r="AV39" s="546">
        <f>+Meta.4!O36</f>
        <v>0.1</v>
      </c>
      <c r="AW39" s="545"/>
      <c r="AX39" s="384">
        <f>AH39+AI39+AJ39+AL39+AM39+AN39+AP39+AQ39+AR39+AT39+AU39+AV39</f>
        <v>1</v>
      </c>
      <c r="AY39" s="107" t="e">
        <f>+AK39+AO39+AS39+AW39</f>
        <v>#REF!</v>
      </c>
      <c r="AZ39" s="547"/>
      <c r="BA39" s="547"/>
      <c r="BB39" s="547"/>
      <c r="BC39" s="547"/>
      <c r="BD39" s="547"/>
      <c r="BE39" s="547"/>
      <c r="BF39" s="547"/>
      <c r="BG39" s="547"/>
      <c r="BH39" s="547"/>
      <c r="BI39" s="547"/>
      <c r="BJ39" s="547"/>
      <c r="BK39" s="548"/>
    </row>
    <row r="40" spans="1:63" ht="15" hidden="1" x14ac:dyDescent="0.25">
      <c r="A40" s="544" t="s">
        <v>356</v>
      </c>
      <c r="B40" s="544"/>
      <c r="C40" s="544"/>
      <c r="D40" s="544"/>
      <c r="E40" s="545"/>
      <c r="F40" s="544"/>
      <c r="G40" s="544"/>
      <c r="H40" s="544"/>
      <c r="I40" s="545"/>
      <c r="J40" s="544"/>
      <c r="K40" s="544">
        <v>0</v>
      </c>
      <c r="L40" s="544"/>
      <c r="M40" s="545"/>
      <c r="N40" s="544"/>
      <c r="O40" s="544"/>
      <c r="P40" s="544"/>
      <c r="Q40" s="545"/>
      <c r="R40" s="106">
        <f>B40+C40+D40+F40+G40+H40+J40+K40+L40+N40+O40+P40</f>
        <v>0</v>
      </c>
      <c r="S40" s="107">
        <f>+E40+I40+M40+Q40</f>
        <v>0</v>
      </c>
      <c r="T40" s="108"/>
      <c r="U40" s="108"/>
      <c r="V40" s="108"/>
      <c r="W40" s="108"/>
      <c r="X40" s="108"/>
      <c r="Y40" s="547"/>
      <c r="Z40" s="547"/>
      <c r="AA40" s="547"/>
      <c r="AB40" s="547"/>
      <c r="AC40" s="547"/>
      <c r="AD40" s="547"/>
      <c r="AE40" s="547"/>
      <c r="AF40" s="27"/>
      <c r="AG40" s="544" t="s">
        <v>356</v>
      </c>
      <c r="AH40" s="544"/>
      <c r="AI40" s="544"/>
      <c r="AJ40" s="544"/>
      <c r="AK40" s="545"/>
      <c r="AL40" s="544"/>
      <c r="AM40" s="544"/>
      <c r="AN40" s="544"/>
      <c r="AO40" s="545"/>
      <c r="AP40" s="544"/>
      <c r="AQ40" s="544"/>
      <c r="AR40" s="544"/>
      <c r="AS40" s="545"/>
      <c r="AT40" s="544"/>
      <c r="AU40" s="544"/>
      <c r="AV40" s="544"/>
      <c r="AW40" s="545"/>
      <c r="AX40" s="106">
        <f t="shared" ref="AX40:AX59" si="7">AH40+AI40+AJ40+AL40+AM40+AN40+AP40+AQ40+AR40+AT40+AU40+AV40</f>
        <v>0</v>
      </c>
      <c r="AY40" s="107">
        <f t="shared" ref="AY40:AY59" si="8">+AK40+AO40+AS40+AW40</f>
        <v>0</v>
      </c>
      <c r="AZ40" s="547"/>
      <c r="BA40" s="547"/>
      <c r="BB40" s="547"/>
      <c r="BC40" s="547"/>
      <c r="BD40" s="547"/>
      <c r="BE40" s="547"/>
      <c r="BF40" s="547"/>
      <c r="BG40" s="547"/>
      <c r="BH40" s="547"/>
      <c r="BI40" s="547"/>
      <c r="BJ40" s="547"/>
      <c r="BK40" s="547"/>
    </row>
    <row r="41" spans="1:63" ht="15" hidden="1" x14ac:dyDescent="0.25">
      <c r="A41" s="544" t="s">
        <v>357</v>
      </c>
      <c r="B41" s="544"/>
      <c r="C41" s="544"/>
      <c r="D41" s="544"/>
      <c r="E41" s="545"/>
      <c r="F41" s="544"/>
      <c r="G41" s="544"/>
      <c r="H41" s="544"/>
      <c r="I41" s="545"/>
      <c r="J41" s="544"/>
      <c r="K41" s="544">
        <v>0</v>
      </c>
      <c r="L41" s="544"/>
      <c r="M41" s="545"/>
      <c r="N41" s="544"/>
      <c r="O41" s="544"/>
      <c r="P41" s="544"/>
      <c r="Q41" s="545"/>
      <c r="R41" s="106">
        <f t="shared" ref="R41:R59" si="9">B41+C41+D41+F41+G41+H41+J41+K41+L41+N41+O41+P41</f>
        <v>0</v>
      </c>
      <c r="S41" s="107">
        <f t="shared" ref="S41:S59" si="10">+E41+I41+M41+Q41</f>
        <v>0</v>
      </c>
      <c r="T41" s="108"/>
      <c r="U41" s="108"/>
      <c r="V41" s="108"/>
      <c r="W41" s="108"/>
      <c r="X41" s="108"/>
      <c r="Y41" s="547"/>
      <c r="Z41" s="547"/>
      <c r="AA41" s="547"/>
      <c r="AB41" s="547"/>
      <c r="AC41" s="547"/>
      <c r="AD41" s="547"/>
      <c r="AE41" s="547"/>
      <c r="AF41" s="27"/>
      <c r="AG41" s="544" t="s">
        <v>357</v>
      </c>
      <c r="AH41" s="544"/>
      <c r="AI41" s="544"/>
      <c r="AJ41" s="544"/>
      <c r="AK41" s="545"/>
      <c r="AL41" s="544"/>
      <c r="AM41" s="544"/>
      <c r="AN41" s="544"/>
      <c r="AO41" s="545"/>
      <c r="AP41" s="544"/>
      <c r="AQ41" s="544"/>
      <c r="AR41" s="544"/>
      <c r="AS41" s="545"/>
      <c r="AT41" s="544"/>
      <c r="AU41" s="544"/>
      <c r="AV41" s="544"/>
      <c r="AW41" s="545"/>
      <c r="AX41" s="106">
        <f t="shared" si="7"/>
        <v>0</v>
      </c>
      <c r="AY41" s="107">
        <f t="shared" si="8"/>
        <v>0</v>
      </c>
      <c r="AZ41" s="547"/>
      <c r="BA41" s="547"/>
      <c r="BB41" s="547"/>
      <c r="BC41" s="547"/>
      <c r="BD41" s="547"/>
      <c r="BE41" s="547"/>
      <c r="BF41" s="547"/>
      <c r="BG41" s="547"/>
      <c r="BH41" s="547"/>
      <c r="BI41" s="547"/>
      <c r="BJ41" s="547"/>
      <c r="BK41" s="547"/>
    </row>
    <row r="42" spans="1:63" ht="15" hidden="1" x14ac:dyDescent="0.25">
      <c r="A42" s="544" t="s">
        <v>358</v>
      </c>
      <c r="B42" s="544"/>
      <c r="C42" s="544"/>
      <c r="D42" s="544"/>
      <c r="E42" s="545"/>
      <c r="F42" s="544"/>
      <c r="G42" s="544"/>
      <c r="H42" s="544"/>
      <c r="I42" s="545"/>
      <c r="J42" s="544"/>
      <c r="K42" s="544">
        <v>0</v>
      </c>
      <c r="L42" s="544"/>
      <c r="M42" s="545"/>
      <c r="N42" s="544"/>
      <c r="O42" s="544"/>
      <c r="P42" s="544"/>
      <c r="Q42" s="545"/>
      <c r="R42" s="106">
        <f t="shared" si="9"/>
        <v>0</v>
      </c>
      <c r="S42" s="107">
        <f t="shared" si="10"/>
        <v>0</v>
      </c>
      <c r="T42" s="108"/>
      <c r="U42" s="108"/>
      <c r="V42" s="108"/>
      <c r="W42" s="108"/>
      <c r="X42" s="108"/>
      <c r="Y42" s="547"/>
      <c r="Z42" s="547"/>
      <c r="AA42" s="547"/>
      <c r="AB42" s="547"/>
      <c r="AC42" s="547"/>
      <c r="AD42" s="547"/>
      <c r="AE42" s="547"/>
      <c r="AF42" s="27"/>
      <c r="AG42" s="544" t="s">
        <v>358</v>
      </c>
      <c r="AH42" s="544"/>
      <c r="AI42" s="544"/>
      <c r="AJ42" s="544"/>
      <c r="AK42" s="545"/>
      <c r="AL42" s="544"/>
      <c r="AM42" s="544"/>
      <c r="AN42" s="544"/>
      <c r="AO42" s="545"/>
      <c r="AP42" s="544"/>
      <c r="AQ42" s="544"/>
      <c r="AR42" s="544"/>
      <c r="AS42" s="545"/>
      <c r="AT42" s="544"/>
      <c r="AU42" s="544"/>
      <c r="AV42" s="544"/>
      <c r="AW42" s="545"/>
      <c r="AX42" s="106">
        <f t="shared" si="7"/>
        <v>0</v>
      </c>
      <c r="AY42" s="107">
        <f t="shared" si="8"/>
        <v>0</v>
      </c>
      <c r="AZ42" s="547"/>
      <c r="BA42" s="547"/>
      <c r="BB42" s="547"/>
      <c r="BC42" s="547"/>
      <c r="BD42" s="547"/>
      <c r="BE42" s="547"/>
      <c r="BF42" s="547"/>
      <c r="BG42" s="547"/>
      <c r="BH42" s="547"/>
      <c r="BI42" s="547"/>
      <c r="BJ42" s="547"/>
      <c r="BK42" s="547"/>
    </row>
    <row r="43" spans="1:63" ht="15" hidden="1" x14ac:dyDescent="0.25">
      <c r="A43" s="544" t="s">
        <v>359</v>
      </c>
      <c r="B43" s="544"/>
      <c r="C43" s="544"/>
      <c r="D43" s="544"/>
      <c r="E43" s="545"/>
      <c r="F43" s="544"/>
      <c r="G43" s="544"/>
      <c r="H43" s="544"/>
      <c r="I43" s="545"/>
      <c r="J43" s="544"/>
      <c r="K43" s="544">
        <v>0</v>
      </c>
      <c r="L43" s="544"/>
      <c r="M43" s="545"/>
      <c r="N43" s="544"/>
      <c r="O43" s="544"/>
      <c r="P43" s="544"/>
      <c r="Q43" s="545"/>
      <c r="R43" s="106">
        <f t="shared" si="9"/>
        <v>0</v>
      </c>
      <c r="S43" s="107">
        <f t="shared" si="10"/>
        <v>0</v>
      </c>
      <c r="T43" s="108"/>
      <c r="U43" s="108"/>
      <c r="V43" s="108"/>
      <c r="W43" s="108"/>
      <c r="X43" s="108"/>
      <c r="Y43" s="547"/>
      <c r="Z43" s="547"/>
      <c r="AA43" s="547"/>
      <c r="AB43" s="547"/>
      <c r="AC43" s="547"/>
      <c r="AD43" s="547"/>
      <c r="AE43" s="547"/>
      <c r="AF43" s="27"/>
      <c r="AG43" s="544" t="s">
        <v>359</v>
      </c>
      <c r="AH43" s="544"/>
      <c r="AI43" s="544"/>
      <c r="AJ43" s="544"/>
      <c r="AK43" s="545"/>
      <c r="AL43" s="544"/>
      <c r="AM43" s="544"/>
      <c r="AN43" s="544"/>
      <c r="AO43" s="545"/>
      <c r="AP43" s="544"/>
      <c r="AQ43" s="544"/>
      <c r="AR43" s="544"/>
      <c r="AS43" s="545"/>
      <c r="AT43" s="544"/>
      <c r="AU43" s="544"/>
      <c r="AV43" s="544"/>
      <c r="AW43" s="545"/>
      <c r="AX43" s="106">
        <f t="shared" si="7"/>
        <v>0</v>
      </c>
      <c r="AY43" s="107">
        <f t="shared" si="8"/>
        <v>0</v>
      </c>
      <c r="AZ43" s="547"/>
      <c r="BA43" s="547"/>
      <c r="BB43" s="547"/>
      <c r="BC43" s="547"/>
      <c r="BD43" s="547"/>
      <c r="BE43" s="547"/>
      <c r="BF43" s="547"/>
      <c r="BG43" s="547"/>
      <c r="BH43" s="547"/>
      <c r="BI43" s="547"/>
      <c r="BJ43" s="547"/>
      <c r="BK43" s="547"/>
    </row>
    <row r="44" spans="1:63" ht="15" hidden="1" x14ac:dyDescent="0.25">
      <c r="A44" s="544" t="s">
        <v>360</v>
      </c>
      <c r="B44" s="544"/>
      <c r="C44" s="544"/>
      <c r="D44" s="544"/>
      <c r="E44" s="545"/>
      <c r="F44" s="544"/>
      <c r="G44" s="544"/>
      <c r="H44" s="544"/>
      <c r="I44" s="545"/>
      <c r="J44" s="544"/>
      <c r="K44" s="544">
        <v>0</v>
      </c>
      <c r="L44" s="544"/>
      <c r="M44" s="545"/>
      <c r="N44" s="544"/>
      <c r="O44" s="544"/>
      <c r="P44" s="544"/>
      <c r="Q44" s="545"/>
      <c r="R44" s="106">
        <f t="shared" si="9"/>
        <v>0</v>
      </c>
      <c r="S44" s="107">
        <f t="shared" si="10"/>
        <v>0</v>
      </c>
      <c r="T44" s="108"/>
      <c r="U44" s="108"/>
      <c r="V44" s="108"/>
      <c r="W44" s="108"/>
      <c r="X44" s="108"/>
      <c r="Y44" s="547"/>
      <c r="Z44" s="547"/>
      <c r="AA44" s="547"/>
      <c r="AB44" s="547"/>
      <c r="AC44" s="547"/>
      <c r="AD44" s="547"/>
      <c r="AE44" s="547"/>
      <c r="AF44" s="27"/>
      <c r="AG44" s="544" t="s">
        <v>360</v>
      </c>
      <c r="AH44" s="544"/>
      <c r="AI44" s="544"/>
      <c r="AJ44" s="544"/>
      <c r="AK44" s="545"/>
      <c r="AL44" s="544"/>
      <c r="AM44" s="544"/>
      <c r="AN44" s="544"/>
      <c r="AO44" s="545"/>
      <c r="AP44" s="544"/>
      <c r="AQ44" s="544"/>
      <c r="AR44" s="544"/>
      <c r="AS44" s="545"/>
      <c r="AT44" s="544"/>
      <c r="AU44" s="544"/>
      <c r="AV44" s="544"/>
      <c r="AW44" s="545"/>
      <c r="AX44" s="106">
        <f t="shared" si="7"/>
        <v>0</v>
      </c>
      <c r="AY44" s="107">
        <f t="shared" si="8"/>
        <v>0</v>
      </c>
      <c r="AZ44" s="547"/>
      <c r="BA44" s="547"/>
      <c r="BB44" s="547"/>
      <c r="BC44" s="547"/>
      <c r="BD44" s="547"/>
      <c r="BE44" s="547"/>
      <c r="BF44" s="547"/>
      <c r="BG44" s="547"/>
      <c r="BH44" s="547"/>
      <c r="BI44" s="547"/>
      <c r="BJ44" s="547"/>
      <c r="BK44" s="547"/>
    </row>
    <row r="45" spans="1:63" ht="15" hidden="1" x14ac:dyDescent="0.25">
      <c r="A45" s="544" t="s">
        <v>361</v>
      </c>
      <c r="B45" s="544"/>
      <c r="C45" s="544"/>
      <c r="D45" s="544"/>
      <c r="E45" s="545"/>
      <c r="F45" s="544"/>
      <c r="G45" s="544"/>
      <c r="H45" s="544"/>
      <c r="I45" s="545"/>
      <c r="J45" s="544"/>
      <c r="K45" s="544">
        <v>0</v>
      </c>
      <c r="L45" s="544"/>
      <c r="M45" s="545"/>
      <c r="N45" s="544"/>
      <c r="O45" s="544"/>
      <c r="P45" s="544"/>
      <c r="Q45" s="545"/>
      <c r="R45" s="106">
        <f t="shared" si="9"/>
        <v>0</v>
      </c>
      <c r="S45" s="107">
        <f t="shared" si="10"/>
        <v>0</v>
      </c>
      <c r="T45" s="108"/>
      <c r="U45" s="108"/>
      <c r="V45" s="108"/>
      <c r="W45" s="108"/>
      <c r="X45" s="108"/>
      <c r="Y45" s="547"/>
      <c r="Z45" s="547"/>
      <c r="AA45" s="547"/>
      <c r="AB45" s="547"/>
      <c r="AC45" s="547"/>
      <c r="AD45" s="547"/>
      <c r="AE45" s="547"/>
      <c r="AF45" s="27"/>
      <c r="AG45" s="544" t="s">
        <v>361</v>
      </c>
      <c r="AH45" s="544"/>
      <c r="AI45" s="544"/>
      <c r="AJ45" s="544"/>
      <c r="AK45" s="545"/>
      <c r="AL45" s="544"/>
      <c r="AM45" s="544"/>
      <c r="AN45" s="544"/>
      <c r="AO45" s="545"/>
      <c r="AP45" s="544"/>
      <c r="AQ45" s="544"/>
      <c r="AR45" s="544"/>
      <c r="AS45" s="545"/>
      <c r="AT45" s="544"/>
      <c r="AU45" s="544"/>
      <c r="AV45" s="544"/>
      <c r="AW45" s="545"/>
      <c r="AX45" s="106">
        <f t="shared" si="7"/>
        <v>0</v>
      </c>
      <c r="AY45" s="107">
        <f t="shared" si="8"/>
        <v>0</v>
      </c>
      <c r="AZ45" s="547"/>
      <c r="BA45" s="547"/>
      <c r="BB45" s="547"/>
      <c r="BC45" s="547"/>
      <c r="BD45" s="547"/>
      <c r="BE45" s="547"/>
      <c r="BF45" s="547"/>
      <c r="BG45" s="547"/>
      <c r="BH45" s="547"/>
      <c r="BI45" s="547"/>
      <c r="BJ45" s="547"/>
      <c r="BK45" s="547"/>
    </row>
    <row r="46" spans="1:63" ht="15" hidden="1" x14ac:dyDescent="0.25">
      <c r="A46" s="544" t="s">
        <v>362</v>
      </c>
      <c r="B46" s="544"/>
      <c r="C46" s="544"/>
      <c r="D46" s="544"/>
      <c r="E46" s="545"/>
      <c r="F46" s="544"/>
      <c r="G46" s="544"/>
      <c r="H46" s="544"/>
      <c r="I46" s="545"/>
      <c r="J46" s="544"/>
      <c r="K46" s="544">
        <v>0</v>
      </c>
      <c r="L46" s="544"/>
      <c r="M46" s="545"/>
      <c r="N46" s="544"/>
      <c r="O46" s="544"/>
      <c r="P46" s="544"/>
      <c r="Q46" s="545"/>
      <c r="R46" s="106">
        <f t="shared" si="9"/>
        <v>0</v>
      </c>
      <c r="S46" s="107">
        <f t="shared" si="10"/>
        <v>0</v>
      </c>
      <c r="T46" s="108"/>
      <c r="U46" s="108"/>
      <c r="V46" s="108"/>
      <c r="W46" s="108"/>
      <c r="X46" s="108"/>
      <c r="Y46" s="547"/>
      <c r="Z46" s="547"/>
      <c r="AA46" s="547"/>
      <c r="AB46" s="547"/>
      <c r="AC46" s="547"/>
      <c r="AD46" s="547"/>
      <c r="AE46" s="547"/>
      <c r="AF46" s="27"/>
      <c r="AG46" s="544" t="s">
        <v>362</v>
      </c>
      <c r="AH46" s="544"/>
      <c r="AI46" s="544"/>
      <c r="AJ46" s="544"/>
      <c r="AK46" s="545"/>
      <c r="AL46" s="544"/>
      <c r="AM46" s="544"/>
      <c r="AN46" s="544"/>
      <c r="AO46" s="545"/>
      <c r="AP46" s="544"/>
      <c r="AQ46" s="544"/>
      <c r="AR46" s="544"/>
      <c r="AS46" s="545"/>
      <c r="AT46" s="544"/>
      <c r="AU46" s="544"/>
      <c r="AV46" s="544"/>
      <c r="AW46" s="545"/>
      <c r="AX46" s="106">
        <f t="shared" si="7"/>
        <v>0</v>
      </c>
      <c r="AY46" s="107">
        <f t="shared" si="8"/>
        <v>0</v>
      </c>
      <c r="AZ46" s="547"/>
      <c r="BA46" s="547"/>
      <c r="BB46" s="547"/>
      <c r="BC46" s="547"/>
      <c r="BD46" s="547"/>
      <c r="BE46" s="547"/>
      <c r="BF46" s="547"/>
      <c r="BG46" s="547"/>
      <c r="BH46" s="547"/>
      <c r="BI46" s="547"/>
      <c r="BJ46" s="547"/>
      <c r="BK46" s="547"/>
    </row>
    <row r="47" spans="1:63" ht="15" hidden="1" x14ac:dyDescent="0.25">
      <c r="A47" s="544" t="s">
        <v>363</v>
      </c>
      <c r="B47" s="544"/>
      <c r="C47" s="544"/>
      <c r="D47" s="544"/>
      <c r="E47" s="545"/>
      <c r="F47" s="544"/>
      <c r="G47" s="544"/>
      <c r="H47" s="544"/>
      <c r="I47" s="545"/>
      <c r="J47" s="544"/>
      <c r="K47" s="544">
        <v>0</v>
      </c>
      <c r="L47" s="544"/>
      <c r="M47" s="545"/>
      <c r="N47" s="544"/>
      <c r="O47" s="544"/>
      <c r="P47" s="544"/>
      <c r="Q47" s="545"/>
      <c r="R47" s="106">
        <f t="shared" si="9"/>
        <v>0</v>
      </c>
      <c r="S47" s="107">
        <f t="shared" si="10"/>
        <v>0</v>
      </c>
      <c r="T47" s="108"/>
      <c r="U47" s="108"/>
      <c r="V47" s="108"/>
      <c r="W47" s="108"/>
      <c r="X47" s="108"/>
      <c r="Y47" s="547"/>
      <c r="Z47" s="547"/>
      <c r="AA47" s="547"/>
      <c r="AB47" s="547"/>
      <c r="AC47" s="547"/>
      <c r="AD47" s="547"/>
      <c r="AE47" s="547"/>
      <c r="AF47" s="27"/>
      <c r="AG47" s="544" t="s">
        <v>363</v>
      </c>
      <c r="AH47" s="544"/>
      <c r="AI47" s="544"/>
      <c r="AJ47" s="544"/>
      <c r="AK47" s="545"/>
      <c r="AL47" s="544"/>
      <c r="AM47" s="544"/>
      <c r="AN47" s="544"/>
      <c r="AO47" s="545"/>
      <c r="AP47" s="544"/>
      <c r="AQ47" s="544"/>
      <c r="AR47" s="544"/>
      <c r="AS47" s="545"/>
      <c r="AT47" s="544"/>
      <c r="AU47" s="544"/>
      <c r="AV47" s="544"/>
      <c r="AW47" s="545"/>
      <c r="AX47" s="106">
        <f t="shared" si="7"/>
        <v>0</v>
      </c>
      <c r="AY47" s="107">
        <f t="shared" si="8"/>
        <v>0</v>
      </c>
      <c r="AZ47" s="547"/>
      <c r="BA47" s="547"/>
      <c r="BB47" s="547"/>
      <c r="BC47" s="547"/>
      <c r="BD47" s="547"/>
      <c r="BE47" s="547"/>
      <c r="BF47" s="547"/>
      <c r="BG47" s="547"/>
      <c r="BH47" s="547"/>
      <c r="BI47" s="544"/>
      <c r="BJ47" s="544"/>
      <c r="BK47" s="544"/>
    </row>
    <row r="48" spans="1:63" ht="15" hidden="1" x14ac:dyDescent="0.25">
      <c r="A48" s="544" t="s">
        <v>364</v>
      </c>
      <c r="B48" s="544"/>
      <c r="C48" s="544"/>
      <c r="D48" s="544"/>
      <c r="E48" s="545"/>
      <c r="F48" s="544"/>
      <c r="G48" s="544"/>
      <c r="H48" s="544"/>
      <c r="I48" s="545"/>
      <c r="J48" s="544"/>
      <c r="K48" s="544">
        <v>0</v>
      </c>
      <c r="L48" s="544"/>
      <c r="M48" s="545"/>
      <c r="N48" s="544"/>
      <c r="O48" s="544"/>
      <c r="P48" s="544"/>
      <c r="Q48" s="545"/>
      <c r="R48" s="106">
        <f t="shared" si="9"/>
        <v>0</v>
      </c>
      <c r="S48" s="107">
        <f t="shared" si="10"/>
        <v>0</v>
      </c>
      <c r="T48" s="108"/>
      <c r="U48" s="108"/>
      <c r="V48" s="108"/>
      <c r="W48" s="108"/>
      <c r="X48" s="108"/>
      <c r="Y48" s="547"/>
      <c r="Z48" s="547"/>
      <c r="AA48" s="547"/>
      <c r="AB48" s="547"/>
      <c r="AC48" s="547"/>
      <c r="AD48" s="547"/>
      <c r="AE48" s="547"/>
      <c r="AF48" s="27"/>
      <c r="AG48" s="544" t="s">
        <v>364</v>
      </c>
      <c r="AH48" s="544"/>
      <c r="AI48" s="544"/>
      <c r="AJ48" s="544"/>
      <c r="AK48" s="545"/>
      <c r="AL48" s="544"/>
      <c r="AM48" s="544"/>
      <c r="AN48" s="544"/>
      <c r="AO48" s="545"/>
      <c r="AP48" s="544"/>
      <c r="AQ48" s="544"/>
      <c r="AR48" s="544"/>
      <c r="AS48" s="545"/>
      <c r="AT48" s="544"/>
      <c r="AU48" s="544"/>
      <c r="AV48" s="544"/>
      <c r="AW48" s="545"/>
      <c r="AX48" s="106">
        <f t="shared" si="7"/>
        <v>0</v>
      </c>
      <c r="AY48" s="107">
        <f t="shared" si="8"/>
        <v>0</v>
      </c>
      <c r="AZ48" s="547"/>
      <c r="BA48" s="547"/>
      <c r="BB48" s="547"/>
      <c r="BC48" s="547"/>
      <c r="BD48" s="547"/>
      <c r="BE48" s="547"/>
      <c r="BF48" s="547"/>
      <c r="BG48" s="547"/>
      <c r="BH48" s="547"/>
      <c r="BI48" s="544"/>
      <c r="BJ48" s="544"/>
      <c r="BK48" s="544"/>
    </row>
    <row r="49" spans="1:63" ht="15" hidden="1" x14ac:dyDescent="0.25">
      <c r="A49" s="544" t="s">
        <v>365</v>
      </c>
      <c r="B49" s="544"/>
      <c r="C49" s="544"/>
      <c r="D49" s="544"/>
      <c r="E49" s="545"/>
      <c r="F49" s="544"/>
      <c r="G49" s="544"/>
      <c r="H49" s="544"/>
      <c r="I49" s="545"/>
      <c r="J49" s="544"/>
      <c r="K49" s="544">
        <v>0</v>
      </c>
      <c r="L49" s="544"/>
      <c r="M49" s="545"/>
      <c r="N49" s="544"/>
      <c r="O49" s="544"/>
      <c r="P49" s="544"/>
      <c r="Q49" s="545"/>
      <c r="R49" s="106">
        <f t="shared" si="9"/>
        <v>0</v>
      </c>
      <c r="S49" s="107">
        <f t="shared" si="10"/>
        <v>0</v>
      </c>
      <c r="T49" s="108"/>
      <c r="U49" s="108"/>
      <c r="V49" s="108"/>
      <c r="W49" s="108"/>
      <c r="X49" s="108"/>
      <c r="Y49" s="547"/>
      <c r="Z49" s="547"/>
      <c r="AA49" s="547"/>
      <c r="AB49" s="547"/>
      <c r="AC49" s="547"/>
      <c r="AD49" s="547"/>
      <c r="AE49" s="547"/>
      <c r="AF49" s="27"/>
      <c r="AG49" s="544" t="s">
        <v>365</v>
      </c>
      <c r="AH49" s="544"/>
      <c r="AI49" s="544"/>
      <c r="AJ49" s="544"/>
      <c r="AK49" s="545"/>
      <c r="AL49" s="544"/>
      <c r="AM49" s="544"/>
      <c r="AN49" s="544"/>
      <c r="AO49" s="545"/>
      <c r="AP49" s="544"/>
      <c r="AQ49" s="544"/>
      <c r="AR49" s="544"/>
      <c r="AS49" s="545"/>
      <c r="AT49" s="544"/>
      <c r="AU49" s="544"/>
      <c r="AV49" s="544"/>
      <c r="AW49" s="545"/>
      <c r="AX49" s="106">
        <f t="shared" si="7"/>
        <v>0</v>
      </c>
      <c r="AY49" s="107">
        <f t="shared" si="8"/>
        <v>0</v>
      </c>
      <c r="AZ49" s="547"/>
      <c r="BA49" s="547"/>
      <c r="BB49" s="547"/>
      <c r="BC49" s="547"/>
      <c r="BD49" s="547"/>
      <c r="BE49" s="547"/>
      <c r="BF49" s="547"/>
      <c r="BG49" s="547"/>
      <c r="BH49" s="547"/>
      <c r="BI49" s="544"/>
      <c r="BJ49" s="544"/>
      <c r="BK49" s="544"/>
    </row>
    <row r="50" spans="1:63" ht="15" hidden="1" x14ac:dyDescent="0.25">
      <c r="A50" s="544" t="s">
        <v>366</v>
      </c>
      <c r="B50" s="544"/>
      <c r="C50" s="544"/>
      <c r="D50" s="544"/>
      <c r="E50" s="545"/>
      <c r="F50" s="544"/>
      <c r="G50" s="544"/>
      <c r="H50" s="544"/>
      <c r="I50" s="545"/>
      <c r="J50" s="544"/>
      <c r="K50" s="544">
        <v>0</v>
      </c>
      <c r="L50" s="544"/>
      <c r="M50" s="545"/>
      <c r="N50" s="544"/>
      <c r="O50" s="544"/>
      <c r="P50" s="544"/>
      <c r="Q50" s="545"/>
      <c r="R50" s="106">
        <f t="shared" si="9"/>
        <v>0</v>
      </c>
      <c r="S50" s="107">
        <f t="shared" si="10"/>
        <v>0</v>
      </c>
      <c r="T50" s="108"/>
      <c r="U50" s="108"/>
      <c r="V50" s="108"/>
      <c r="W50" s="108"/>
      <c r="X50" s="108"/>
      <c r="Y50" s="547"/>
      <c r="Z50" s="547"/>
      <c r="AA50" s="547"/>
      <c r="AB50" s="547"/>
      <c r="AC50" s="547"/>
      <c r="AD50" s="547"/>
      <c r="AE50" s="547"/>
      <c r="AF50" s="27"/>
      <c r="AG50" s="544" t="s">
        <v>366</v>
      </c>
      <c r="AH50" s="544"/>
      <c r="AI50" s="544"/>
      <c r="AJ50" s="544"/>
      <c r="AK50" s="545"/>
      <c r="AL50" s="544"/>
      <c r="AM50" s="544"/>
      <c r="AN50" s="544"/>
      <c r="AO50" s="545"/>
      <c r="AP50" s="544"/>
      <c r="AQ50" s="544"/>
      <c r="AR50" s="544"/>
      <c r="AS50" s="545"/>
      <c r="AT50" s="544"/>
      <c r="AU50" s="544"/>
      <c r="AV50" s="544"/>
      <c r="AW50" s="545"/>
      <c r="AX50" s="106">
        <f t="shared" si="7"/>
        <v>0</v>
      </c>
      <c r="AY50" s="107">
        <f t="shared" si="8"/>
        <v>0</v>
      </c>
      <c r="AZ50" s="547"/>
      <c r="BA50" s="547"/>
      <c r="BB50" s="547"/>
      <c r="BC50" s="547"/>
      <c r="BD50" s="547"/>
      <c r="BE50" s="547"/>
      <c r="BF50" s="547"/>
      <c r="BG50" s="547"/>
      <c r="BH50" s="547"/>
      <c r="BI50" s="547"/>
      <c r="BJ50" s="547"/>
      <c r="BK50" s="547"/>
    </row>
    <row r="51" spans="1:63" ht="15" hidden="1" x14ac:dyDescent="0.25">
      <c r="A51" s="544" t="s">
        <v>367</v>
      </c>
      <c r="B51" s="544"/>
      <c r="C51" s="544"/>
      <c r="D51" s="544"/>
      <c r="E51" s="545"/>
      <c r="F51" s="544"/>
      <c r="G51" s="544"/>
      <c r="H51" s="544"/>
      <c r="I51" s="545"/>
      <c r="J51" s="544"/>
      <c r="K51" s="544">
        <v>0</v>
      </c>
      <c r="L51" s="544"/>
      <c r="M51" s="545"/>
      <c r="N51" s="544"/>
      <c r="O51" s="544"/>
      <c r="P51" s="544"/>
      <c r="Q51" s="545"/>
      <c r="R51" s="106">
        <f t="shared" si="9"/>
        <v>0</v>
      </c>
      <c r="S51" s="107">
        <f t="shared" si="10"/>
        <v>0</v>
      </c>
      <c r="T51" s="108"/>
      <c r="U51" s="108"/>
      <c r="V51" s="108"/>
      <c r="W51" s="108"/>
      <c r="X51" s="108"/>
      <c r="Y51" s="547"/>
      <c r="Z51" s="547"/>
      <c r="AA51" s="547"/>
      <c r="AB51" s="547"/>
      <c r="AC51" s="547"/>
      <c r="AD51" s="547"/>
      <c r="AE51" s="547"/>
      <c r="AF51" s="27"/>
      <c r="AG51" s="544" t="s">
        <v>367</v>
      </c>
      <c r="AH51" s="544"/>
      <c r="AI51" s="544"/>
      <c r="AJ51" s="544"/>
      <c r="AK51" s="545"/>
      <c r="AL51" s="544"/>
      <c r="AM51" s="544"/>
      <c r="AN51" s="544"/>
      <c r="AO51" s="545"/>
      <c r="AP51" s="544"/>
      <c r="AQ51" s="544"/>
      <c r="AR51" s="544"/>
      <c r="AS51" s="545"/>
      <c r="AT51" s="544"/>
      <c r="AU51" s="544"/>
      <c r="AV51" s="544"/>
      <c r="AW51" s="545"/>
      <c r="AX51" s="106">
        <f t="shared" si="7"/>
        <v>0</v>
      </c>
      <c r="AY51" s="107">
        <f t="shared" si="8"/>
        <v>0</v>
      </c>
      <c r="AZ51" s="547"/>
      <c r="BA51" s="547"/>
      <c r="BB51" s="547"/>
      <c r="BC51" s="547"/>
      <c r="BD51" s="547"/>
      <c r="BE51" s="547"/>
      <c r="BF51" s="547"/>
      <c r="BG51" s="547"/>
      <c r="BH51" s="547"/>
      <c r="BI51" s="547"/>
      <c r="BJ51" s="547"/>
      <c r="BK51" s="547"/>
    </row>
    <row r="52" spans="1:63" ht="15" hidden="1" x14ac:dyDescent="0.25">
      <c r="A52" s="544" t="s">
        <v>368</v>
      </c>
      <c r="B52" s="544"/>
      <c r="C52" s="544"/>
      <c r="D52" s="544"/>
      <c r="E52" s="545"/>
      <c r="F52" s="544"/>
      <c r="G52" s="544"/>
      <c r="H52" s="544"/>
      <c r="I52" s="545"/>
      <c r="J52" s="544"/>
      <c r="K52" s="544">
        <v>0</v>
      </c>
      <c r="L52" s="544"/>
      <c r="M52" s="545"/>
      <c r="N52" s="544"/>
      <c r="O52" s="544"/>
      <c r="P52" s="544"/>
      <c r="Q52" s="545"/>
      <c r="R52" s="106">
        <f t="shared" si="9"/>
        <v>0</v>
      </c>
      <c r="S52" s="107">
        <f t="shared" si="10"/>
        <v>0</v>
      </c>
      <c r="T52" s="108"/>
      <c r="U52" s="108"/>
      <c r="V52" s="108"/>
      <c r="W52" s="108"/>
      <c r="X52" s="108"/>
      <c r="Y52" s="547"/>
      <c r="Z52" s="547"/>
      <c r="AA52" s="547"/>
      <c r="AB52" s="547"/>
      <c r="AC52" s="547"/>
      <c r="AD52" s="547"/>
      <c r="AE52" s="547"/>
      <c r="AF52" s="27"/>
      <c r="AG52" s="544" t="s">
        <v>368</v>
      </c>
      <c r="AH52" s="544"/>
      <c r="AI52" s="544"/>
      <c r="AJ52" s="544"/>
      <c r="AK52" s="545"/>
      <c r="AL52" s="544"/>
      <c r="AM52" s="544"/>
      <c r="AN52" s="544"/>
      <c r="AO52" s="545"/>
      <c r="AP52" s="544"/>
      <c r="AQ52" s="544"/>
      <c r="AR52" s="544"/>
      <c r="AS52" s="545"/>
      <c r="AT52" s="544"/>
      <c r="AU52" s="544"/>
      <c r="AV52" s="544"/>
      <c r="AW52" s="545"/>
      <c r="AX52" s="106">
        <f t="shared" si="7"/>
        <v>0</v>
      </c>
      <c r="AY52" s="107">
        <f t="shared" si="8"/>
        <v>0</v>
      </c>
      <c r="AZ52" s="547"/>
      <c r="BA52" s="547"/>
      <c r="BB52" s="547"/>
      <c r="BC52" s="547"/>
      <c r="BD52" s="547"/>
      <c r="BE52" s="547"/>
      <c r="BF52" s="547"/>
      <c r="BG52" s="547"/>
      <c r="BH52" s="547"/>
      <c r="BI52" s="547"/>
      <c r="BJ52" s="547"/>
      <c r="BK52" s="547"/>
    </row>
    <row r="53" spans="1:63" ht="15" hidden="1" x14ac:dyDescent="0.25">
      <c r="A53" s="544" t="s">
        <v>369</v>
      </c>
      <c r="B53" s="544"/>
      <c r="C53" s="544"/>
      <c r="D53" s="544"/>
      <c r="E53" s="545"/>
      <c r="F53" s="544"/>
      <c r="G53" s="544"/>
      <c r="H53" s="544"/>
      <c r="I53" s="545"/>
      <c r="J53" s="544"/>
      <c r="K53" s="544">
        <v>0</v>
      </c>
      <c r="L53" s="544"/>
      <c r="M53" s="545"/>
      <c r="N53" s="544"/>
      <c r="O53" s="544"/>
      <c r="P53" s="544"/>
      <c r="Q53" s="545"/>
      <c r="R53" s="106">
        <f t="shared" si="9"/>
        <v>0</v>
      </c>
      <c r="S53" s="107">
        <f t="shared" si="10"/>
        <v>0</v>
      </c>
      <c r="T53" s="108"/>
      <c r="U53" s="108"/>
      <c r="V53" s="108"/>
      <c r="W53" s="108"/>
      <c r="X53" s="108"/>
      <c r="Y53" s="547"/>
      <c r="Z53" s="547"/>
      <c r="AA53" s="547"/>
      <c r="AB53" s="547"/>
      <c r="AC53" s="547"/>
      <c r="AD53" s="547"/>
      <c r="AE53" s="547"/>
      <c r="AF53" s="27"/>
      <c r="AG53" s="544" t="s">
        <v>369</v>
      </c>
      <c r="AH53" s="544"/>
      <c r="AI53" s="544"/>
      <c r="AJ53" s="544"/>
      <c r="AK53" s="545"/>
      <c r="AL53" s="544"/>
      <c r="AM53" s="544"/>
      <c r="AN53" s="544"/>
      <c r="AO53" s="545"/>
      <c r="AP53" s="544"/>
      <c r="AQ53" s="544"/>
      <c r="AR53" s="544"/>
      <c r="AS53" s="545"/>
      <c r="AT53" s="544"/>
      <c r="AU53" s="544"/>
      <c r="AV53" s="544"/>
      <c r="AW53" s="545"/>
      <c r="AX53" s="106">
        <f t="shared" si="7"/>
        <v>0</v>
      </c>
      <c r="AY53" s="107">
        <f t="shared" si="8"/>
        <v>0</v>
      </c>
      <c r="AZ53" s="547"/>
      <c r="BA53" s="547"/>
      <c r="BB53" s="547"/>
      <c r="BC53" s="547"/>
      <c r="BD53" s="547"/>
      <c r="BE53" s="547"/>
      <c r="BF53" s="547"/>
      <c r="BG53" s="547"/>
      <c r="BH53" s="547"/>
      <c r="BI53" s="547"/>
      <c r="BJ53" s="547"/>
      <c r="BK53" s="547"/>
    </row>
    <row r="54" spans="1:63" ht="15" hidden="1" x14ac:dyDescent="0.25">
      <c r="A54" s="544" t="s">
        <v>370</v>
      </c>
      <c r="B54" s="544"/>
      <c r="C54" s="544"/>
      <c r="D54" s="544"/>
      <c r="E54" s="545"/>
      <c r="F54" s="544"/>
      <c r="G54" s="544"/>
      <c r="H54" s="544"/>
      <c r="I54" s="545"/>
      <c r="J54" s="544"/>
      <c r="K54" s="544">
        <v>0</v>
      </c>
      <c r="L54" s="544"/>
      <c r="M54" s="545"/>
      <c r="N54" s="544"/>
      <c r="O54" s="544"/>
      <c r="P54" s="544"/>
      <c r="Q54" s="545"/>
      <c r="R54" s="106">
        <f t="shared" si="9"/>
        <v>0</v>
      </c>
      <c r="S54" s="107">
        <f t="shared" si="10"/>
        <v>0</v>
      </c>
      <c r="T54" s="108"/>
      <c r="U54" s="108"/>
      <c r="V54" s="108"/>
      <c r="W54" s="108"/>
      <c r="X54" s="108"/>
      <c r="Y54" s="547"/>
      <c r="Z54" s="547"/>
      <c r="AA54" s="547"/>
      <c r="AB54" s="547"/>
      <c r="AC54" s="547"/>
      <c r="AD54" s="547"/>
      <c r="AE54" s="547"/>
      <c r="AF54" s="27"/>
      <c r="AG54" s="544" t="s">
        <v>370</v>
      </c>
      <c r="AH54" s="544"/>
      <c r="AI54" s="544"/>
      <c r="AJ54" s="544"/>
      <c r="AK54" s="545"/>
      <c r="AL54" s="544"/>
      <c r="AM54" s="544"/>
      <c r="AN54" s="544"/>
      <c r="AO54" s="545"/>
      <c r="AP54" s="544"/>
      <c r="AQ54" s="544"/>
      <c r="AR54" s="544"/>
      <c r="AS54" s="545"/>
      <c r="AT54" s="544"/>
      <c r="AU54" s="544"/>
      <c r="AV54" s="544"/>
      <c r="AW54" s="545"/>
      <c r="AX54" s="106">
        <f t="shared" si="7"/>
        <v>0</v>
      </c>
      <c r="AY54" s="107">
        <f t="shared" si="8"/>
        <v>0</v>
      </c>
      <c r="AZ54" s="547"/>
      <c r="BA54" s="547"/>
      <c r="BB54" s="547"/>
      <c r="BC54" s="547"/>
      <c r="BD54" s="547"/>
      <c r="BE54" s="547"/>
      <c r="BF54" s="547"/>
      <c r="BG54" s="547"/>
      <c r="BH54" s="547"/>
      <c r="BI54" s="547"/>
      <c r="BJ54" s="547"/>
      <c r="BK54" s="547"/>
    </row>
    <row r="55" spans="1:63" ht="15" hidden="1" x14ac:dyDescent="0.25">
      <c r="A55" s="544" t="s">
        <v>371</v>
      </c>
      <c r="B55" s="544"/>
      <c r="C55" s="544"/>
      <c r="D55" s="544"/>
      <c r="E55" s="545"/>
      <c r="F55" s="544"/>
      <c r="G55" s="544"/>
      <c r="H55" s="544"/>
      <c r="I55" s="545"/>
      <c r="J55" s="544"/>
      <c r="K55" s="544">
        <v>0</v>
      </c>
      <c r="L55" s="544"/>
      <c r="M55" s="545"/>
      <c r="N55" s="544"/>
      <c r="O55" s="544"/>
      <c r="P55" s="544"/>
      <c r="Q55" s="545"/>
      <c r="R55" s="106">
        <f t="shared" si="9"/>
        <v>0</v>
      </c>
      <c r="S55" s="107">
        <f t="shared" si="10"/>
        <v>0</v>
      </c>
      <c r="T55" s="108"/>
      <c r="U55" s="108"/>
      <c r="V55" s="108"/>
      <c r="W55" s="108"/>
      <c r="X55" s="108"/>
      <c r="Y55" s="547"/>
      <c r="Z55" s="547"/>
      <c r="AA55" s="547"/>
      <c r="AB55" s="547"/>
      <c r="AC55" s="547"/>
      <c r="AD55" s="547"/>
      <c r="AE55" s="547"/>
      <c r="AF55" s="27"/>
      <c r="AG55" s="544" t="s">
        <v>371</v>
      </c>
      <c r="AH55" s="544"/>
      <c r="AI55" s="544"/>
      <c r="AJ55" s="544"/>
      <c r="AK55" s="545"/>
      <c r="AL55" s="544"/>
      <c r="AM55" s="544"/>
      <c r="AN55" s="544"/>
      <c r="AO55" s="545"/>
      <c r="AP55" s="544"/>
      <c r="AQ55" s="544"/>
      <c r="AR55" s="544"/>
      <c r="AS55" s="545"/>
      <c r="AT55" s="544"/>
      <c r="AU55" s="544"/>
      <c r="AV55" s="544"/>
      <c r="AW55" s="545"/>
      <c r="AX55" s="106">
        <f t="shared" si="7"/>
        <v>0</v>
      </c>
      <c r="AY55" s="107">
        <f t="shared" si="8"/>
        <v>0</v>
      </c>
      <c r="AZ55" s="547"/>
      <c r="BA55" s="547"/>
      <c r="BB55" s="547"/>
      <c r="BC55" s="547"/>
      <c r="BD55" s="547"/>
      <c r="BE55" s="547"/>
      <c r="BF55" s="547"/>
      <c r="BG55" s="547"/>
      <c r="BH55" s="547"/>
      <c r="BI55" s="547"/>
      <c r="BJ55" s="547"/>
      <c r="BK55" s="547"/>
    </row>
    <row r="56" spans="1:63" ht="15" hidden="1" x14ac:dyDescent="0.25">
      <c r="A56" s="544" t="s">
        <v>372</v>
      </c>
      <c r="B56" s="544"/>
      <c r="C56" s="544"/>
      <c r="D56" s="544"/>
      <c r="E56" s="545"/>
      <c r="F56" s="544"/>
      <c r="G56" s="544"/>
      <c r="H56" s="544"/>
      <c r="I56" s="545"/>
      <c r="J56" s="544"/>
      <c r="K56" s="544">
        <v>0</v>
      </c>
      <c r="L56" s="544"/>
      <c r="M56" s="545"/>
      <c r="N56" s="544"/>
      <c r="O56" s="544"/>
      <c r="P56" s="544"/>
      <c r="Q56" s="545"/>
      <c r="R56" s="106">
        <f t="shared" si="9"/>
        <v>0</v>
      </c>
      <c r="S56" s="107">
        <f t="shared" si="10"/>
        <v>0</v>
      </c>
      <c r="T56" s="108"/>
      <c r="U56" s="108"/>
      <c r="V56" s="108"/>
      <c r="W56" s="108"/>
      <c r="X56" s="108"/>
      <c r="Y56" s="547"/>
      <c r="Z56" s="547"/>
      <c r="AA56" s="547"/>
      <c r="AB56" s="547"/>
      <c r="AC56" s="547"/>
      <c r="AD56" s="547"/>
      <c r="AE56" s="547"/>
      <c r="AF56" s="27"/>
      <c r="AG56" s="544" t="s">
        <v>372</v>
      </c>
      <c r="AH56" s="544"/>
      <c r="AI56" s="544"/>
      <c r="AJ56" s="544"/>
      <c r="AK56" s="545"/>
      <c r="AL56" s="544"/>
      <c r="AM56" s="544"/>
      <c r="AN56" s="544"/>
      <c r="AO56" s="545"/>
      <c r="AP56" s="544"/>
      <c r="AQ56" s="544"/>
      <c r="AR56" s="544"/>
      <c r="AS56" s="545"/>
      <c r="AT56" s="544"/>
      <c r="AU56" s="544"/>
      <c r="AV56" s="544"/>
      <c r="AW56" s="545"/>
      <c r="AX56" s="106">
        <f t="shared" si="7"/>
        <v>0</v>
      </c>
      <c r="AY56" s="107">
        <f t="shared" si="8"/>
        <v>0</v>
      </c>
      <c r="AZ56" s="547"/>
      <c r="BA56" s="547"/>
      <c r="BB56" s="547"/>
      <c r="BC56" s="547"/>
      <c r="BD56" s="547"/>
      <c r="BE56" s="547"/>
      <c r="BF56" s="547"/>
      <c r="BG56" s="547"/>
      <c r="BH56" s="547"/>
      <c r="BI56" s="547"/>
      <c r="BJ56" s="547"/>
      <c r="BK56" s="547"/>
    </row>
    <row r="57" spans="1:63" ht="15" hidden="1" x14ac:dyDescent="0.25">
      <c r="A57" s="544" t="s">
        <v>373</v>
      </c>
      <c r="B57" s="544"/>
      <c r="C57" s="544"/>
      <c r="D57" s="544"/>
      <c r="E57" s="545"/>
      <c r="F57" s="544"/>
      <c r="G57" s="544"/>
      <c r="H57" s="544"/>
      <c r="I57" s="545"/>
      <c r="J57" s="544"/>
      <c r="K57" s="544">
        <v>0</v>
      </c>
      <c r="L57" s="544"/>
      <c r="M57" s="545"/>
      <c r="N57" s="544"/>
      <c r="O57" s="544"/>
      <c r="P57" s="544"/>
      <c r="Q57" s="545"/>
      <c r="R57" s="106">
        <f t="shared" si="9"/>
        <v>0</v>
      </c>
      <c r="S57" s="107">
        <f t="shared" si="10"/>
        <v>0</v>
      </c>
      <c r="T57" s="108"/>
      <c r="U57" s="108"/>
      <c r="V57" s="108"/>
      <c r="W57" s="108"/>
      <c r="X57" s="108"/>
      <c r="Y57" s="547"/>
      <c r="Z57" s="547"/>
      <c r="AA57" s="547"/>
      <c r="AB57" s="547"/>
      <c r="AC57" s="547"/>
      <c r="AD57" s="547"/>
      <c r="AE57" s="547"/>
      <c r="AF57" s="27"/>
      <c r="AG57" s="544" t="s">
        <v>373</v>
      </c>
      <c r="AH57" s="544"/>
      <c r="AI57" s="544"/>
      <c r="AJ57" s="544"/>
      <c r="AK57" s="545"/>
      <c r="AL57" s="544"/>
      <c r="AM57" s="544"/>
      <c r="AN57" s="544"/>
      <c r="AO57" s="545"/>
      <c r="AP57" s="544"/>
      <c r="AQ57" s="544"/>
      <c r="AR57" s="544"/>
      <c r="AS57" s="545"/>
      <c r="AT57" s="544"/>
      <c r="AU57" s="544"/>
      <c r="AV57" s="544"/>
      <c r="AW57" s="545"/>
      <c r="AX57" s="106">
        <f t="shared" si="7"/>
        <v>0</v>
      </c>
      <c r="AY57" s="107">
        <f t="shared" si="8"/>
        <v>0</v>
      </c>
      <c r="AZ57" s="547"/>
      <c r="BA57" s="547"/>
      <c r="BB57" s="547"/>
      <c r="BC57" s="547"/>
      <c r="BD57" s="547"/>
      <c r="BE57" s="547"/>
      <c r="BF57" s="547"/>
      <c r="BG57" s="547"/>
      <c r="BH57" s="547"/>
      <c r="BI57" s="547"/>
      <c r="BJ57" s="547"/>
      <c r="BK57" s="547"/>
    </row>
    <row r="58" spans="1:63" ht="15" hidden="1" x14ac:dyDescent="0.25">
      <c r="A58" s="544" t="s">
        <v>374</v>
      </c>
      <c r="B58" s="544"/>
      <c r="C58" s="544"/>
      <c r="D58" s="544"/>
      <c r="E58" s="545"/>
      <c r="F58" s="544"/>
      <c r="G58" s="544"/>
      <c r="H58" s="544"/>
      <c r="I58" s="545"/>
      <c r="J58" s="544"/>
      <c r="K58" s="544">
        <v>0</v>
      </c>
      <c r="L58" s="544"/>
      <c r="M58" s="545"/>
      <c r="N58" s="544"/>
      <c r="O58" s="544"/>
      <c r="P58" s="544"/>
      <c r="Q58" s="545"/>
      <c r="R58" s="106">
        <f t="shared" si="9"/>
        <v>0</v>
      </c>
      <c r="S58" s="107">
        <f t="shared" si="10"/>
        <v>0</v>
      </c>
      <c r="T58" s="108"/>
      <c r="U58" s="108"/>
      <c r="V58" s="108"/>
      <c r="W58" s="108"/>
      <c r="X58" s="108"/>
      <c r="Y58" s="547"/>
      <c r="Z58" s="547"/>
      <c r="AA58" s="547"/>
      <c r="AB58" s="547"/>
      <c r="AC58" s="547"/>
      <c r="AD58" s="547"/>
      <c r="AE58" s="547"/>
      <c r="AF58" s="27"/>
      <c r="AG58" s="544" t="s">
        <v>374</v>
      </c>
      <c r="AH58" s="544"/>
      <c r="AI58" s="544"/>
      <c r="AJ58" s="544"/>
      <c r="AK58" s="545"/>
      <c r="AL58" s="544"/>
      <c r="AM58" s="544"/>
      <c r="AN58" s="544"/>
      <c r="AO58" s="545"/>
      <c r="AP58" s="544"/>
      <c r="AQ58" s="544"/>
      <c r="AR58" s="544"/>
      <c r="AS58" s="545"/>
      <c r="AT58" s="544"/>
      <c r="AU58" s="544"/>
      <c r="AV58" s="544"/>
      <c r="AW58" s="545"/>
      <c r="AX58" s="106">
        <f t="shared" si="7"/>
        <v>0</v>
      </c>
      <c r="AY58" s="107">
        <f t="shared" si="8"/>
        <v>0</v>
      </c>
      <c r="AZ58" s="547"/>
      <c r="BA58" s="547"/>
      <c r="BB58" s="547"/>
      <c r="BC58" s="547"/>
      <c r="BD58" s="547"/>
      <c r="BE58" s="547"/>
      <c r="BF58" s="547"/>
      <c r="BG58" s="547"/>
      <c r="BH58" s="547"/>
      <c r="BI58" s="547"/>
      <c r="BJ58" s="547"/>
      <c r="BK58" s="547"/>
    </row>
    <row r="59" spans="1:63" ht="15" hidden="1" x14ac:dyDescent="0.25">
      <c r="A59" s="544" t="s">
        <v>375</v>
      </c>
      <c r="B59" s="544"/>
      <c r="C59" s="544"/>
      <c r="D59" s="544"/>
      <c r="E59" s="545"/>
      <c r="F59" s="544"/>
      <c r="G59" s="544"/>
      <c r="H59" s="544"/>
      <c r="I59" s="545"/>
      <c r="J59" s="544"/>
      <c r="K59" s="544">
        <v>0</v>
      </c>
      <c r="L59" s="544"/>
      <c r="M59" s="545"/>
      <c r="N59" s="544"/>
      <c r="O59" s="544"/>
      <c r="P59" s="544"/>
      <c r="Q59" s="545"/>
      <c r="R59" s="106">
        <f t="shared" si="9"/>
        <v>0</v>
      </c>
      <c r="S59" s="107">
        <f t="shared" si="10"/>
        <v>0</v>
      </c>
      <c r="T59" s="108"/>
      <c r="U59" s="108"/>
      <c r="V59" s="108"/>
      <c r="W59" s="108"/>
      <c r="X59" s="108"/>
      <c r="Y59" s="547"/>
      <c r="Z59" s="547"/>
      <c r="AA59" s="547"/>
      <c r="AB59" s="547"/>
      <c r="AC59" s="547"/>
      <c r="AD59" s="547"/>
      <c r="AE59" s="547"/>
      <c r="AF59" s="27"/>
      <c r="AG59" s="544" t="s">
        <v>375</v>
      </c>
      <c r="AH59" s="544"/>
      <c r="AI59" s="544"/>
      <c r="AJ59" s="544"/>
      <c r="AK59" s="545"/>
      <c r="AL59" s="544"/>
      <c r="AM59" s="544"/>
      <c r="AN59" s="544"/>
      <c r="AO59" s="545"/>
      <c r="AP59" s="544"/>
      <c r="AQ59" s="544"/>
      <c r="AR59" s="544"/>
      <c r="AS59" s="545"/>
      <c r="AT59" s="544"/>
      <c r="AU59" s="544"/>
      <c r="AV59" s="544"/>
      <c r="AW59" s="545"/>
      <c r="AX59" s="106">
        <f t="shared" si="7"/>
        <v>0</v>
      </c>
      <c r="AY59" s="107">
        <f t="shared" si="8"/>
        <v>0</v>
      </c>
      <c r="AZ59" s="547"/>
      <c r="BA59" s="547"/>
      <c r="BB59" s="547"/>
      <c r="BC59" s="547"/>
      <c r="BD59" s="547"/>
      <c r="BE59" s="547"/>
      <c r="BF59" s="547"/>
      <c r="BG59" s="547"/>
      <c r="BH59" s="547"/>
      <c r="BI59" s="547"/>
      <c r="BJ59" s="547"/>
      <c r="BK59" s="547"/>
    </row>
    <row r="60" spans="1:63" ht="15" hidden="1" x14ac:dyDescent="0.25">
      <c r="A60" s="112" t="s">
        <v>376</v>
      </c>
      <c r="B60" s="112">
        <f t="shared" ref="B60:L60" si="11">SUM(B39:B59)</f>
        <v>0</v>
      </c>
      <c r="C60" s="112">
        <f t="shared" si="11"/>
        <v>0</v>
      </c>
      <c r="D60" s="112">
        <f t="shared" si="11"/>
        <v>0</v>
      </c>
      <c r="E60" s="113">
        <f t="shared" si="11"/>
        <v>0</v>
      </c>
      <c r="F60" s="112">
        <f t="shared" si="11"/>
        <v>0</v>
      </c>
      <c r="G60" s="112">
        <f t="shared" si="11"/>
        <v>0</v>
      </c>
      <c r="H60" s="112">
        <f t="shared" si="11"/>
        <v>0</v>
      </c>
      <c r="I60" s="113">
        <f t="shared" si="11"/>
        <v>0</v>
      </c>
      <c r="J60" s="112">
        <f t="shared" si="11"/>
        <v>0</v>
      </c>
      <c r="K60" s="112">
        <f t="shared" si="11"/>
        <v>0.20833333333333334</v>
      </c>
      <c r="L60" s="112">
        <f t="shared" si="11"/>
        <v>0.2416666666666667</v>
      </c>
      <c r="M60" s="113">
        <f>SUM(M39:M59)</f>
        <v>0</v>
      </c>
      <c r="N60" s="112">
        <f>SUM(N39:N59)</f>
        <v>0.35000000000000003</v>
      </c>
      <c r="O60" s="112">
        <f>SUM(O39:O59)</f>
        <v>0.1</v>
      </c>
      <c r="P60" s="112">
        <f>SUM(P39:P59)</f>
        <v>0.1</v>
      </c>
      <c r="Q60" s="113">
        <f>SUM(Q39:Q59)</f>
        <v>0</v>
      </c>
      <c r="R60" s="112">
        <f t="shared" ref="R60:AE60" si="12">SUM(R39:R59)</f>
        <v>1</v>
      </c>
      <c r="S60" s="107">
        <f t="shared" si="12"/>
        <v>0</v>
      </c>
      <c r="T60" s="112">
        <f t="shared" si="12"/>
        <v>0</v>
      </c>
      <c r="U60" s="112">
        <f t="shared" si="12"/>
        <v>0</v>
      </c>
      <c r="V60" s="112">
        <f t="shared" si="12"/>
        <v>0</v>
      </c>
      <c r="W60" s="112">
        <f t="shared" si="12"/>
        <v>0</v>
      </c>
      <c r="X60" s="112">
        <f t="shared" si="12"/>
        <v>0</v>
      </c>
      <c r="Y60" s="112">
        <f t="shared" si="12"/>
        <v>0</v>
      </c>
      <c r="Z60" s="112">
        <f t="shared" si="12"/>
        <v>0</v>
      </c>
      <c r="AA60" s="112">
        <f t="shared" si="12"/>
        <v>0</v>
      </c>
      <c r="AB60" s="112">
        <f t="shared" si="12"/>
        <v>0</v>
      </c>
      <c r="AC60" s="112">
        <f t="shared" si="12"/>
        <v>0</v>
      </c>
      <c r="AD60" s="112">
        <f t="shared" si="12"/>
        <v>0</v>
      </c>
      <c r="AE60" s="112">
        <f t="shared" si="12"/>
        <v>0</v>
      </c>
      <c r="AF60" s="27"/>
      <c r="AG60" s="112" t="s">
        <v>376</v>
      </c>
      <c r="AH60" s="112">
        <f t="shared" ref="AH60:AW60" si="13">SUM(AH39:AH59)</f>
        <v>0</v>
      </c>
      <c r="AI60" s="112">
        <f t="shared" si="13"/>
        <v>0</v>
      </c>
      <c r="AJ60" s="112">
        <f t="shared" si="13"/>
        <v>0</v>
      </c>
      <c r="AK60" s="113">
        <f t="shared" si="13"/>
        <v>0</v>
      </c>
      <c r="AL60" s="112">
        <f t="shared" si="13"/>
        <v>0</v>
      </c>
      <c r="AM60" s="112">
        <f t="shared" si="13"/>
        <v>0</v>
      </c>
      <c r="AN60" s="112">
        <f t="shared" si="13"/>
        <v>0</v>
      </c>
      <c r="AO60" s="113">
        <f t="shared" si="13"/>
        <v>0</v>
      </c>
      <c r="AP60" s="112">
        <f t="shared" si="13"/>
        <v>0</v>
      </c>
      <c r="AQ60" s="112">
        <f t="shared" si="13"/>
        <v>0.20833333333333334</v>
      </c>
      <c r="AR60" s="112">
        <f t="shared" si="13"/>
        <v>0.2416666666666667</v>
      </c>
      <c r="AS60" s="113" t="e">
        <f t="shared" si="13"/>
        <v>#REF!</v>
      </c>
      <c r="AT60" s="112">
        <f t="shared" si="13"/>
        <v>0.35000000000000003</v>
      </c>
      <c r="AU60" s="112">
        <f t="shared" si="13"/>
        <v>0.1</v>
      </c>
      <c r="AV60" s="112">
        <f t="shared" si="13"/>
        <v>0.1</v>
      </c>
      <c r="AW60" s="113">
        <f t="shared" si="13"/>
        <v>0</v>
      </c>
      <c r="AX60" s="114">
        <f t="shared" ref="AX60:BK60" si="14">SUM(AX39:AX59)</f>
        <v>1</v>
      </c>
      <c r="AY60" s="115" t="e">
        <f t="shared" si="14"/>
        <v>#REF!</v>
      </c>
      <c r="AZ60" s="112">
        <f t="shared" si="14"/>
        <v>0</v>
      </c>
      <c r="BA60" s="112">
        <f t="shared" si="14"/>
        <v>0</v>
      </c>
      <c r="BB60" s="112">
        <f t="shared" si="14"/>
        <v>0</v>
      </c>
      <c r="BC60" s="112">
        <f t="shared" si="14"/>
        <v>0</v>
      </c>
      <c r="BD60" s="112">
        <f t="shared" si="14"/>
        <v>0</v>
      </c>
      <c r="BE60" s="112">
        <f t="shared" si="14"/>
        <v>0</v>
      </c>
      <c r="BF60" s="112">
        <f t="shared" si="14"/>
        <v>0</v>
      </c>
      <c r="BG60" s="112">
        <f t="shared" si="14"/>
        <v>0</v>
      </c>
      <c r="BH60" s="112">
        <f t="shared" si="14"/>
        <v>0</v>
      </c>
      <c r="BI60" s="112">
        <f t="shared" si="14"/>
        <v>0</v>
      </c>
      <c r="BJ60" s="112">
        <f t="shared" si="14"/>
        <v>0</v>
      </c>
      <c r="BK60" s="112">
        <f t="shared" si="14"/>
        <v>0</v>
      </c>
    </row>
    <row r="61" spans="1:63"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row>
    <row r="62" spans="1:63" ht="15" thickBot="1"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row>
    <row r="63" spans="1:63" ht="31.9" customHeight="1" thickBot="1" x14ac:dyDescent="0.3">
      <c r="A63" s="892" t="s">
        <v>378</v>
      </c>
      <c r="B63" s="893"/>
      <c r="C63" s="893"/>
      <c r="D63" s="893"/>
      <c r="E63" s="893"/>
      <c r="F63" s="893"/>
      <c r="G63" s="893"/>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3"/>
      <c r="AY63" s="893"/>
      <c r="AZ63" s="893"/>
      <c r="BA63" s="893"/>
      <c r="BB63" s="893"/>
      <c r="BC63" s="893"/>
      <c r="BD63" s="893"/>
      <c r="BE63" s="893"/>
      <c r="BF63" s="893"/>
      <c r="BG63" s="893"/>
      <c r="BH63" s="893"/>
      <c r="BI63" s="893"/>
      <c r="BJ63" s="893"/>
      <c r="BK63" s="894"/>
    </row>
    <row r="64" spans="1:63" ht="30" customHeight="1" x14ac:dyDescent="0.25">
      <c r="A64" s="897" t="s">
        <v>337</v>
      </c>
      <c r="B64" s="386" t="s">
        <v>141</v>
      </c>
      <c r="C64" s="386" t="s">
        <v>142</v>
      </c>
      <c r="D64" s="888" t="s">
        <v>143</v>
      </c>
      <c r="E64" s="889"/>
      <c r="F64" s="386" t="s">
        <v>144</v>
      </c>
      <c r="G64" s="386" t="s">
        <v>145</v>
      </c>
      <c r="H64" s="888" t="s">
        <v>146</v>
      </c>
      <c r="I64" s="889"/>
      <c r="J64" s="386" t="s">
        <v>147</v>
      </c>
      <c r="K64" s="386" t="s">
        <v>148</v>
      </c>
      <c r="L64" s="888" t="s">
        <v>149</v>
      </c>
      <c r="M64" s="889"/>
      <c r="N64" s="386" t="s">
        <v>150</v>
      </c>
      <c r="O64" s="386" t="s">
        <v>151</v>
      </c>
      <c r="P64" s="888" t="s">
        <v>128</v>
      </c>
      <c r="Q64" s="889"/>
      <c r="R64" s="888" t="s">
        <v>338</v>
      </c>
      <c r="S64" s="889"/>
      <c r="T64" s="888" t="s">
        <v>339</v>
      </c>
      <c r="U64" s="890"/>
      <c r="V64" s="890"/>
      <c r="W64" s="890"/>
      <c r="X64" s="890"/>
      <c r="Y64" s="889"/>
      <c r="Z64" s="888" t="s">
        <v>340</v>
      </c>
      <c r="AA64" s="890"/>
      <c r="AB64" s="890"/>
      <c r="AC64" s="890"/>
      <c r="AD64" s="890"/>
      <c r="AE64" s="889"/>
      <c r="AF64" s="549"/>
      <c r="AG64" s="895" t="s">
        <v>337</v>
      </c>
      <c r="AH64" s="386" t="s">
        <v>141</v>
      </c>
      <c r="AI64" s="386" t="s">
        <v>142</v>
      </c>
      <c r="AJ64" s="888" t="s">
        <v>143</v>
      </c>
      <c r="AK64" s="889"/>
      <c r="AL64" s="386" t="s">
        <v>144</v>
      </c>
      <c r="AM64" s="386" t="s">
        <v>145</v>
      </c>
      <c r="AN64" s="888" t="s">
        <v>146</v>
      </c>
      <c r="AO64" s="889"/>
      <c r="AP64" s="386" t="s">
        <v>147</v>
      </c>
      <c r="AQ64" s="386" t="s">
        <v>148</v>
      </c>
      <c r="AR64" s="888" t="s">
        <v>149</v>
      </c>
      <c r="AS64" s="889"/>
      <c r="AT64" s="386" t="s">
        <v>150</v>
      </c>
      <c r="AU64" s="386" t="s">
        <v>151</v>
      </c>
      <c r="AV64" s="888" t="s">
        <v>128</v>
      </c>
      <c r="AW64" s="889"/>
      <c r="AX64" s="888" t="s">
        <v>338</v>
      </c>
      <c r="AY64" s="889"/>
      <c r="AZ64" s="888" t="s">
        <v>339</v>
      </c>
      <c r="BA64" s="890"/>
      <c r="BB64" s="890"/>
      <c r="BC64" s="890"/>
      <c r="BD64" s="890"/>
      <c r="BE64" s="889"/>
      <c r="BF64" s="888" t="s">
        <v>340</v>
      </c>
      <c r="BG64" s="890"/>
      <c r="BH64" s="890"/>
      <c r="BI64" s="890"/>
      <c r="BJ64" s="890"/>
      <c r="BK64" s="891"/>
    </row>
    <row r="65" spans="1:63" ht="36" customHeight="1" thickBot="1" x14ac:dyDescent="0.3">
      <c r="A65" s="898"/>
      <c r="B65" s="390" t="s">
        <v>341</v>
      </c>
      <c r="C65" s="390" t="s">
        <v>341</v>
      </c>
      <c r="D65" s="390" t="s">
        <v>341</v>
      </c>
      <c r="E65" s="390" t="s">
        <v>342</v>
      </c>
      <c r="F65" s="390" t="s">
        <v>341</v>
      </c>
      <c r="G65" s="390" t="s">
        <v>341</v>
      </c>
      <c r="H65" s="390" t="s">
        <v>341</v>
      </c>
      <c r="I65" s="390" t="s">
        <v>342</v>
      </c>
      <c r="J65" s="390" t="s">
        <v>341</v>
      </c>
      <c r="K65" s="390" t="s">
        <v>341</v>
      </c>
      <c r="L65" s="390" t="s">
        <v>341</v>
      </c>
      <c r="M65" s="390" t="s">
        <v>342</v>
      </c>
      <c r="N65" s="390" t="s">
        <v>341</v>
      </c>
      <c r="O65" s="390" t="s">
        <v>341</v>
      </c>
      <c r="P65" s="390" t="s">
        <v>341</v>
      </c>
      <c r="Q65" s="390" t="s">
        <v>342</v>
      </c>
      <c r="R65" s="390" t="s">
        <v>341</v>
      </c>
      <c r="S65" s="390" t="s">
        <v>342</v>
      </c>
      <c r="T65" s="391" t="s">
        <v>343</v>
      </c>
      <c r="U65" s="391" t="s">
        <v>344</v>
      </c>
      <c r="V65" s="391" t="s">
        <v>345</v>
      </c>
      <c r="W65" s="391" t="s">
        <v>346</v>
      </c>
      <c r="X65" s="391" t="s">
        <v>347</v>
      </c>
      <c r="Y65" s="391" t="s">
        <v>348</v>
      </c>
      <c r="Z65" s="390" t="s">
        <v>349</v>
      </c>
      <c r="AA65" s="392" t="s">
        <v>350</v>
      </c>
      <c r="AB65" s="390" t="s">
        <v>351</v>
      </c>
      <c r="AC65" s="390" t="s">
        <v>352</v>
      </c>
      <c r="AD65" s="390" t="s">
        <v>353</v>
      </c>
      <c r="AE65" s="390" t="s">
        <v>354</v>
      </c>
      <c r="AF65" s="550"/>
      <c r="AG65" s="896"/>
      <c r="AH65" s="390" t="s">
        <v>341</v>
      </c>
      <c r="AI65" s="390" t="s">
        <v>341</v>
      </c>
      <c r="AJ65" s="390" t="s">
        <v>341</v>
      </c>
      <c r="AK65" s="390" t="s">
        <v>342</v>
      </c>
      <c r="AL65" s="390" t="s">
        <v>341</v>
      </c>
      <c r="AM65" s="390" t="s">
        <v>341</v>
      </c>
      <c r="AN65" s="390" t="s">
        <v>341</v>
      </c>
      <c r="AO65" s="390" t="s">
        <v>342</v>
      </c>
      <c r="AP65" s="390" t="s">
        <v>341</v>
      </c>
      <c r="AQ65" s="390" t="s">
        <v>341</v>
      </c>
      <c r="AR65" s="390" t="s">
        <v>341</v>
      </c>
      <c r="AS65" s="390" t="s">
        <v>342</v>
      </c>
      <c r="AT65" s="390" t="s">
        <v>341</v>
      </c>
      <c r="AU65" s="390" t="s">
        <v>341</v>
      </c>
      <c r="AV65" s="390" t="s">
        <v>341</v>
      </c>
      <c r="AW65" s="390" t="s">
        <v>342</v>
      </c>
      <c r="AX65" s="390" t="s">
        <v>341</v>
      </c>
      <c r="AY65" s="390" t="s">
        <v>342</v>
      </c>
      <c r="AZ65" s="391" t="s">
        <v>343</v>
      </c>
      <c r="BA65" s="391" t="s">
        <v>344</v>
      </c>
      <c r="BB65" s="391" t="s">
        <v>345</v>
      </c>
      <c r="BC65" s="391" t="s">
        <v>346</v>
      </c>
      <c r="BD65" s="391" t="s">
        <v>347</v>
      </c>
      <c r="BE65" s="391" t="s">
        <v>348</v>
      </c>
      <c r="BF65" s="393" t="s">
        <v>349</v>
      </c>
      <c r="BG65" s="394" t="s">
        <v>350</v>
      </c>
      <c r="BH65" s="393" t="s">
        <v>351</v>
      </c>
      <c r="BI65" s="393" t="s">
        <v>352</v>
      </c>
      <c r="BJ65" s="393" t="s">
        <v>353</v>
      </c>
      <c r="BK65" s="395" t="s">
        <v>354</v>
      </c>
    </row>
    <row r="66" spans="1:63" ht="15" x14ac:dyDescent="0.25">
      <c r="A66" s="551" t="s">
        <v>356</v>
      </c>
      <c r="B66" s="551"/>
      <c r="C66" s="551"/>
      <c r="D66" s="551"/>
      <c r="E66" s="552"/>
      <c r="F66" s="551"/>
      <c r="G66" s="551"/>
      <c r="H66" s="551"/>
      <c r="I66" s="552"/>
      <c r="J66" s="551"/>
      <c r="K66" s="551"/>
      <c r="L66" s="553"/>
      <c r="M66" s="552"/>
      <c r="N66" s="551"/>
      <c r="O66" s="551"/>
      <c r="P66" s="551"/>
      <c r="Q66" s="552"/>
      <c r="R66" s="387">
        <f>B66+C66+D66+F66+G66+H66+J66+K66+L66+N66+O66+P66</f>
        <v>0</v>
      </c>
      <c r="S66" s="388">
        <f>+E66+I66+M66+Q66</f>
        <v>0</v>
      </c>
      <c r="T66" s="389"/>
      <c r="U66" s="389"/>
      <c r="V66" s="389"/>
      <c r="W66" s="389"/>
      <c r="X66" s="389"/>
      <c r="Y66" s="554"/>
      <c r="Z66" s="554"/>
      <c r="AA66" s="554"/>
      <c r="AB66" s="554"/>
      <c r="AC66" s="554"/>
      <c r="AD66" s="554"/>
      <c r="AE66" s="554"/>
      <c r="AF66" s="27"/>
      <c r="AG66" s="551" t="s">
        <v>356</v>
      </c>
      <c r="AH66" s="551"/>
      <c r="AI66" s="551"/>
      <c r="AJ66" s="551"/>
      <c r="AK66" s="552"/>
      <c r="AL66" s="551"/>
      <c r="AM66" s="551"/>
      <c r="AN66" s="551"/>
      <c r="AO66" s="552"/>
      <c r="AP66" s="551"/>
      <c r="AQ66" s="551"/>
      <c r="AR66" s="553">
        <v>26</v>
      </c>
      <c r="AS66" s="552"/>
      <c r="AT66" s="551">
        <v>90</v>
      </c>
      <c r="AU66" s="551">
        <v>107</v>
      </c>
      <c r="AV66" s="551">
        <v>3</v>
      </c>
      <c r="AW66" s="552"/>
      <c r="AX66" s="387">
        <f t="shared" ref="AX66:AX85" si="15">AH66+AI66+AJ66+AL66+AM66+AN66+AP66+AQ66+AR66+AT66+AU66+AV66</f>
        <v>226</v>
      </c>
      <c r="AY66" s="388">
        <f t="shared" ref="AY66:AY85" si="16">+AK66+AO66+AS66+AW66</f>
        <v>0</v>
      </c>
      <c r="AZ66" s="554"/>
      <c r="BA66" s="554"/>
      <c r="BB66" s="554"/>
      <c r="BC66" s="554"/>
      <c r="BD66" s="554"/>
      <c r="BE66" s="554"/>
      <c r="BF66" s="554"/>
      <c r="BG66" s="554"/>
      <c r="BH66" s="554"/>
      <c r="BI66" s="554"/>
      <c r="BJ66" s="554"/>
      <c r="BK66" s="554"/>
    </row>
    <row r="67" spans="1:63" ht="15" x14ac:dyDescent="0.25">
      <c r="A67" s="104" t="s">
        <v>357</v>
      </c>
      <c r="B67" s="104"/>
      <c r="C67" s="104"/>
      <c r="D67" s="104"/>
      <c r="E67" s="105"/>
      <c r="F67" s="104"/>
      <c r="G67" s="104"/>
      <c r="H67" s="104"/>
      <c r="I67" s="105"/>
      <c r="J67" s="104"/>
      <c r="K67" s="104"/>
      <c r="L67" s="385"/>
      <c r="M67" s="105"/>
      <c r="N67" s="104"/>
      <c r="O67" s="104"/>
      <c r="P67" s="104"/>
      <c r="Q67" s="105"/>
      <c r="R67" s="106">
        <f t="shared" ref="R67:R85" si="17">B67+C67+D67+F67+G67+H67+J67+K67+L67+N67+O67+P67</f>
        <v>0</v>
      </c>
      <c r="S67" s="107">
        <f t="shared" ref="S67:S85" si="18">+E67+I67+M67+Q67</f>
        <v>0</v>
      </c>
      <c r="T67" s="108"/>
      <c r="U67" s="108"/>
      <c r="V67" s="108"/>
      <c r="W67" s="108"/>
      <c r="X67" s="108"/>
      <c r="Y67" s="109"/>
      <c r="Z67" s="109"/>
      <c r="AA67" s="109"/>
      <c r="AB67" s="109"/>
      <c r="AC67" s="109"/>
      <c r="AD67" s="109"/>
      <c r="AE67" s="109"/>
      <c r="AG67" s="104" t="s">
        <v>357</v>
      </c>
      <c r="AH67" s="104"/>
      <c r="AI67" s="104"/>
      <c r="AJ67" s="104"/>
      <c r="AK67" s="105"/>
      <c r="AL67" s="104"/>
      <c r="AM67" s="104"/>
      <c r="AN67" s="104"/>
      <c r="AO67" s="105"/>
      <c r="AP67" s="104"/>
      <c r="AQ67" s="104"/>
      <c r="AR67" s="555">
        <v>0</v>
      </c>
      <c r="AS67" s="105"/>
      <c r="AT67" s="544">
        <v>0</v>
      </c>
      <c r="AU67" s="544">
        <v>23</v>
      </c>
      <c r="AV67" s="544">
        <v>1</v>
      </c>
      <c r="AW67" s="552"/>
      <c r="AX67" s="106">
        <f t="shared" si="15"/>
        <v>24</v>
      </c>
      <c r="AY67" s="107">
        <f t="shared" si="16"/>
        <v>0</v>
      </c>
      <c r="AZ67" s="109"/>
      <c r="BA67" s="109"/>
      <c r="BB67" s="109"/>
      <c r="BC67" s="109"/>
      <c r="BD67" s="109"/>
      <c r="BE67" s="109"/>
      <c r="BF67" s="109"/>
      <c r="BG67" s="109"/>
      <c r="BH67" s="109"/>
      <c r="BI67" s="109"/>
      <c r="BJ67" s="109"/>
      <c r="BK67" s="109"/>
    </row>
    <row r="68" spans="1:63" ht="15" x14ac:dyDescent="0.25">
      <c r="A68" s="104" t="s">
        <v>358</v>
      </c>
      <c r="B68" s="104"/>
      <c r="C68" s="104"/>
      <c r="D68" s="104"/>
      <c r="E68" s="105"/>
      <c r="F68" s="104"/>
      <c r="G68" s="104"/>
      <c r="H68" s="104"/>
      <c r="I68" s="105"/>
      <c r="J68" s="104"/>
      <c r="K68" s="104"/>
      <c r="L68" s="385"/>
      <c r="M68" s="105"/>
      <c r="N68" s="104"/>
      <c r="O68" s="104"/>
      <c r="P68" s="104"/>
      <c r="Q68" s="105"/>
      <c r="R68" s="106">
        <f t="shared" si="17"/>
        <v>0</v>
      </c>
      <c r="S68" s="107">
        <f t="shared" si="18"/>
        <v>0</v>
      </c>
      <c r="T68" s="108"/>
      <c r="U68" s="108"/>
      <c r="V68" s="108"/>
      <c r="W68" s="108"/>
      <c r="X68" s="108"/>
      <c r="Y68" s="109"/>
      <c r="Z68" s="109"/>
      <c r="AA68" s="109"/>
      <c r="AB68" s="109"/>
      <c r="AC68" s="109"/>
      <c r="AD68" s="109"/>
      <c r="AE68" s="109"/>
      <c r="AG68" s="104" t="s">
        <v>358</v>
      </c>
      <c r="AH68" s="104"/>
      <c r="AI68" s="104"/>
      <c r="AJ68" s="104"/>
      <c r="AK68" s="105"/>
      <c r="AL68" s="104"/>
      <c r="AM68" s="104"/>
      <c r="AN68" s="104"/>
      <c r="AO68" s="105"/>
      <c r="AP68" s="104"/>
      <c r="AQ68" s="104"/>
      <c r="AR68" s="555">
        <v>7</v>
      </c>
      <c r="AS68" s="105"/>
      <c r="AT68" s="544">
        <v>23</v>
      </c>
      <c r="AU68" s="544">
        <v>136</v>
      </c>
      <c r="AV68" s="544">
        <v>25</v>
      </c>
      <c r="AW68" s="552"/>
      <c r="AX68" s="106">
        <f t="shared" si="15"/>
        <v>191</v>
      </c>
      <c r="AY68" s="107">
        <f t="shared" si="16"/>
        <v>0</v>
      </c>
      <c r="AZ68" s="109"/>
      <c r="BA68" s="109"/>
      <c r="BB68" s="109"/>
      <c r="BC68" s="109"/>
      <c r="BD68" s="109"/>
      <c r="BE68" s="109"/>
      <c r="BF68" s="109"/>
      <c r="BG68" s="109"/>
      <c r="BH68" s="109"/>
      <c r="BI68" s="109"/>
      <c r="BJ68" s="109"/>
      <c r="BK68" s="109"/>
    </row>
    <row r="69" spans="1:63" ht="15" x14ac:dyDescent="0.25">
      <c r="A69" s="104" t="s">
        <v>359</v>
      </c>
      <c r="B69" s="104"/>
      <c r="C69" s="104"/>
      <c r="D69" s="104"/>
      <c r="E69" s="105"/>
      <c r="F69" s="104"/>
      <c r="G69" s="104"/>
      <c r="H69" s="104"/>
      <c r="I69" s="105"/>
      <c r="J69" s="104"/>
      <c r="K69" s="104"/>
      <c r="L69" s="385"/>
      <c r="M69" s="105"/>
      <c r="N69" s="104"/>
      <c r="O69" s="104"/>
      <c r="P69" s="104"/>
      <c r="Q69" s="105"/>
      <c r="R69" s="106">
        <f t="shared" si="17"/>
        <v>0</v>
      </c>
      <c r="S69" s="107">
        <f t="shared" si="18"/>
        <v>0</v>
      </c>
      <c r="T69" s="108"/>
      <c r="U69" s="108"/>
      <c r="V69" s="108"/>
      <c r="W69" s="108"/>
      <c r="X69" s="108"/>
      <c r="Y69" s="109"/>
      <c r="Z69" s="109"/>
      <c r="AA69" s="109"/>
      <c r="AB69" s="109"/>
      <c r="AC69" s="109"/>
      <c r="AD69" s="109"/>
      <c r="AE69" s="109"/>
      <c r="AG69" s="104" t="s">
        <v>359</v>
      </c>
      <c r="AH69" s="104"/>
      <c r="AI69" s="104"/>
      <c r="AJ69" s="104"/>
      <c r="AK69" s="105"/>
      <c r="AL69" s="104"/>
      <c r="AM69" s="104"/>
      <c r="AN69" s="104"/>
      <c r="AO69" s="105"/>
      <c r="AP69" s="104"/>
      <c r="AQ69" s="104"/>
      <c r="AR69" s="555">
        <v>10</v>
      </c>
      <c r="AS69" s="105"/>
      <c r="AT69" s="544">
        <v>27</v>
      </c>
      <c r="AU69" s="544">
        <v>81</v>
      </c>
      <c r="AV69" s="544">
        <v>4</v>
      </c>
      <c r="AW69" s="552"/>
      <c r="AX69" s="106">
        <f t="shared" si="15"/>
        <v>122</v>
      </c>
      <c r="AY69" s="107">
        <f t="shared" si="16"/>
        <v>0</v>
      </c>
      <c r="AZ69" s="109"/>
      <c r="BA69" s="109"/>
      <c r="BB69" s="109"/>
      <c r="BC69" s="109"/>
      <c r="BD69" s="109"/>
      <c r="BE69" s="109"/>
      <c r="BF69" s="109"/>
      <c r="BG69" s="109"/>
      <c r="BH69" s="109"/>
      <c r="BI69" s="109"/>
      <c r="BJ69" s="109"/>
      <c r="BK69" s="109"/>
    </row>
    <row r="70" spans="1:63" ht="15" x14ac:dyDescent="0.25">
      <c r="A70" s="104" t="s">
        <v>360</v>
      </c>
      <c r="B70" s="104"/>
      <c r="C70" s="104"/>
      <c r="D70" s="104"/>
      <c r="E70" s="105"/>
      <c r="F70" s="104"/>
      <c r="G70" s="104"/>
      <c r="H70" s="104"/>
      <c r="I70" s="105"/>
      <c r="J70" s="104"/>
      <c r="K70" s="104"/>
      <c r="L70" s="385"/>
      <c r="M70" s="105"/>
      <c r="N70" s="104"/>
      <c r="O70" s="104"/>
      <c r="P70" s="104"/>
      <c r="Q70" s="105"/>
      <c r="R70" s="106">
        <f t="shared" si="17"/>
        <v>0</v>
      </c>
      <c r="S70" s="107">
        <f t="shared" si="18"/>
        <v>0</v>
      </c>
      <c r="T70" s="108"/>
      <c r="U70" s="108"/>
      <c r="V70" s="108"/>
      <c r="W70" s="108"/>
      <c r="X70" s="108"/>
      <c r="Y70" s="109"/>
      <c r="Z70" s="109"/>
      <c r="AA70" s="109"/>
      <c r="AB70" s="109"/>
      <c r="AC70" s="109"/>
      <c r="AD70" s="109"/>
      <c r="AE70" s="109"/>
      <c r="AG70" s="104" t="s">
        <v>360</v>
      </c>
      <c r="AH70" s="104"/>
      <c r="AI70" s="104"/>
      <c r="AJ70" s="104"/>
      <c r="AK70" s="105"/>
      <c r="AL70" s="104"/>
      <c r="AM70" s="104"/>
      <c r="AN70" s="104"/>
      <c r="AO70" s="105"/>
      <c r="AP70" s="104"/>
      <c r="AQ70" s="104"/>
      <c r="AR70" s="555">
        <v>0</v>
      </c>
      <c r="AS70" s="105"/>
      <c r="AT70" s="544">
        <v>13</v>
      </c>
      <c r="AU70" s="544">
        <v>18</v>
      </c>
      <c r="AV70" s="544">
        <v>0</v>
      </c>
      <c r="AW70" s="552"/>
      <c r="AX70" s="106">
        <f t="shared" si="15"/>
        <v>31</v>
      </c>
      <c r="AY70" s="107">
        <f t="shared" si="16"/>
        <v>0</v>
      </c>
      <c r="AZ70" s="109"/>
      <c r="BA70" s="109"/>
      <c r="BB70" s="109"/>
      <c r="BC70" s="109"/>
      <c r="BD70" s="109"/>
      <c r="BE70" s="109"/>
      <c r="BF70" s="109"/>
      <c r="BG70" s="109"/>
      <c r="BH70" s="109"/>
      <c r="BI70" s="109"/>
      <c r="BJ70" s="109"/>
      <c r="BK70" s="109"/>
    </row>
    <row r="71" spans="1:63" ht="15" x14ac:dyDescent="0.25">
      <c r="A71" s="104" t="s">
        <v>361</v>
      </c>
      <c r="B71" s="104"/>
      <c r="C71" s="104"/>
      <c r="D71" s="104"/>
      <c r="E71" s="105"/>
      <c r="F71" s="104"/>
      <c r="G71" s="104"/>
      <c r="H71" s="104"/>
      <c r="I71" s="105"/>
      <c r="J71" s="104"/>
      <c r="K71" s="104"/>
      <c r="L71" s="385"/>
      <c r="M71" s="105"/>
      <c r="N71" s="104"/>
      <c r="O71" s="104"/>
      <c r="P71" s="104"/>
      <c r="Q71" s="105"/>
      <c r="R71" s="106">
        <f t="shared" si="17"/>
        <v>0</v>
      </c>
      <c r="S71" s="107">
        <f t="shared" si="18"/>
        <v>0</v>
      </c>
      <c r="T71" s="108"/>
      <c r="U71" s="108"/>
      <c r="V71" s="108"/>
      <c r="W71" s="108"/>
      <c r="X71" s="108"/>
      <c r="Y71" s="109"/>
      <c r="Z71" s="109"/>
      <c r="AA71" s="109"/>
      <c r="AB71" s="109"/>
      <c r="AC71" s="109"/>
      <c r="AD71" s="109"/>
      <c r="AE71" s="109"/>
      <c r="AG71" s="104" t="s">
        <v>361</v>
      </c>
      <c r="AH71" s="104"/>
      <c r="AI71" s="104"/>
      <c r="AJ71" s="104"/>
      <c r="AK71" s="105"/>
      <c r="AL71" s="104"/>
      <c r="AM71" s="104"/>
      <c r="AN71" s="104"/>
      <c r="AO71" s="105"/>
      <c r="AP71" s="104"/>
      <c r="AQ71" s="104"/>
      <c r="AR71" s="555">
        <v>27</v>
      </c>
      <c r="AS71" s="105"/>
      <c r="AT71" s="544">
        <v>24</v>
      </c>
      <c r="AU71" s="544">
        <v>10</v>
      </c>
      <c r="AV71" s="544">
        <v>3</v>
      </c>
      <c r="AW71" s="552"/>
      <c r="AX71" s="106">
        <f t="shared" si="15"/>
        <v>64</v>
      </c>
      <c r="AY71" s="107">
        <f t="shared" si="16"/>
        <v>0</v>
      </c>
      <c r="AZ71" s="109"/>
      <c r="BA71" s="109"/>
      <c r="BB71" s="109"/>
      <c r="BC71" s="109"/>
      <c r="BD71" s="109"/>
      <c r="BE71" s="109"/>
      <c r="BF71" s="109"/>
      <c r="BG71" s="109"/>
      <c r="BH71" s="109"/>
      <c r="BI71" s="109"/>
      <c r="BJ71" s="109"/>
      <c r="BK71" s="109"/>
    </row>
    <row r="72" spans="1:63" ht="15" x14ac:dyDescent="0.25">
      <c r="A72" s="104" t="s">
        <v>362</v>
      </c>
      <c r="B72" s="104"/>
      <c r="C72" s="104"/>
      <c r="D72" s="104"/>
      <c r="E72" s="105"/>
      <c r="F72" s="104"/>
      <c r="G72" s="104"/>
      <c r="H72" s="104"/>
      <c r="I72" s="105"/>
      <c r="J72" s="104"/>
      <c r="K72" s="104"/>
      <c r="L72" s="385"/>
      <c r="M72" s="105"/>
      <c r="N72" s="104"/>
      <c r="O72" s="104"/>
      <c r="P72" s="104"/>
      <c r="Q72" s="105"/>
      <c r="R72" s="106">
        <f t="shared" si="17"/>
        <v>0</v>
      </c>
      <c r="S72" s="107">
        <f t="shared" si="18"/>
        <v>0</v>
      </c>
      <c r="T72" s="108"/>
      <c r="U72" s="108"/>
      <c r="V72" s="108"/>
      <c r="W72" s="108"/>
      <c r="X72" s="108"/>
      <c r="Y72" s="109"/>
      <c r="Z72" s="109"/>
      <c r="AA72" s="109"/>
      <c r="AB72" s="109"/>
      <c r="AC72" s="109"/>
      <c r="AD72" s="109"/>
      <c r="AE72" s="109"/>
      <c r="AG72" s="104" t="s">
        <v>362</v>
      </c>
      <c r="AH72" s="104"/>
      <c r="AI72" s="104"/>
      <c r="AJ72" s="104"/>
      <c r="AK72" s="105"/>
      <c r="AL72" s="104"/>
      <c r="AM72" s="104"/>
      <c r="AN72" s="104"/>
      <c r="AO72" s="105"/>
      <c r="AP72" s="104"/>
      <c r="AQ72" s="104"/>
      <c r="AR72" s="555">
        <v>6</v>
      </c>
      <c r="AS72" s="105"/>
      <c r="AT72" s="544">
        <v>29</v>
      </c>
      <c r="AU72" s="544">
        <v>32</v>
      </c>
      <c r="AV72" s="544">
        <v>13</v>
      </c>
      <c r="AW72" s="552"/>
      <c r="AX72" s="106">
        <f t="shared" si="15"/>
        <v>80</v>
      </c>
      <c r="AY72" s="107">
        <f t="shared" si="16"/>
        <v>0</v>
      </c>
      <c r="AZ72" s="109"/>
      <c r="BA72" s="109"/>
      <c r="BB72" s="109"/>
      <c r="BC72" s="109"/>
      <c r="BD72" s="109"/>
      <c r="BE72" s="109"/>
      <c r="BF72" s="109"/>
      <c r="BG72" s="109"/>
      <c r="BH72" s="109"/>
      <c r="BI72" s="109"/>
      <c r="BJ72" s="109"/>
      <c r="BK72" s="109"/>
    </row>
    <row r="73" spans="1:63" ht="15" x14ac:dyDescent="0.25">
      <c r="A73" s="104" t="s">
        <v>363</v>
      </c>
      <c r="B73" s="104"/>
      <c r="C73" s="104"/>
      <c r="D73" s="104"/>
      <c r="E73" s="105"/>
      <c r="F73" s="104"/>
      <c r="G73" s="104"/>
      <c r="H73" s="104"/>
      <c r="I73" s="105"/>
      <c r="J73" s="104"/>
      <c r="K73" s="104"/>
      <c r="L73" s="385"/>
      <c r="M73" s="105"/>
      <c r="N73" s="104"/>
      <c r="O73" s="104"/>
      <c r="P73" s="104"/>
      <c r="Q73" s="105"/>
      <c r="R73" s="106">
        <f t="shared" si="17"/>
        <v>0</v>
      </c>
      <c r="S73" s="107">
        <f t="shared" si="18"/>
        <v>0</v>
      </c>
      <c r="T73" s="108"/>
      <c r="U73" s="108"/>
      <c r="V73" s="108"/>
      <c r="W73" s="108"/>
      <c r="X73" s="108"/>
      <c r="Y73" s="109"/>
      <c r="Z73" s="109"/>
      <c r="AA73" s="109"/>
      <c r="AB73" s="109"/>
      <c r="AC73" s="109"/>
      <c r="AD73" s="109"/>
      <c r="AE73" s="109"/>
      <c r="AG73" s="104" t="s">
        <v>363</v>
      </c>
      <c r="AH73" s="104"/>
      <c r="AI73" s="104"/>
      <c r="AJ73" s="104"/>
      <c r="AK73" s="105"/>
      <c r="AL73" s="104"/>
      <c r="AM73" s="104"/>
      <c r="AN73" s="104"/>
      <c r="AO73" s="105"/>
      <c r="AP73" s="104"/>
      <c r="AQ73" s="104"/>
      <c r="AR73" s="555">
        <v>12</v>
      </c>
      <c r="AS73" s="105"/>
      <c r="AT73" s="544">
        <v>10</v>
      </c>
      <c r="AU73" s="544">
        <v>61</v>
      </c>
      <c r="AV73" s="544">
        <v>10</v>
      </c>
      <c r="AW73" s="552"/>
      <c r="AX73" s="106">
        <f t="shared" si="15"/>
        <v>93</v>
      </c>
      <c r="AY73" s="107">
        <f t="shared" si="16"/>
        <v>0</v>
      </c>
      <c r="AZ73" s="109"/>
      <c r="BA73" s="109"/>
      <c r="BB73" s="109"/>
      <c r="BC73" s="109"/>
      <c r="BD73" s="109"/>
      <c r="BE73" s="109"/>
      <c r="BF73" s="109"/>
      <c r="BG73" s="109"/>
      <c r="BH73" s="109"/>
      <c r="BI73" s="104"/>
      <c r="BJ73" s="104"/>
      <c r="BK73" s="104"/>
    </row>
    <row r="74" spans="1:63" ht="15" x14ac:dyDescent="0.25">
      <c r="A74" s="104" t="s">
        <v>364</v>
      </c>
      <c r="B74" s="104"/>
      <c r="C74" s="104"/>
      <c r="D74" s="104"/>
      <c r="E74" s="105"/>
      <c r="F74" s="104"/>
      <c r="G74" s="104"/>
      <c r="H74" s="104"/>
      <c r="I74" s="105"/>
      <c r="J74" s="104"/>
      <c r="K74" s="104"/>
      <c r="L74" s="385"/>
      <c r="M74" s="105"/>
      <c r="N74" s="104"/>
      <c r="O74" s="104"/>
      <c r="P74" s="104"/>
      <c r="Q74" s="105"/>
      <c r="R74" s="106">
        <f t="shared" si="17"/>
        <v>0</v>
      </c>
      <c r="S74" s="107">
        <f t="shared" si="18"/>
        <v>0</v>
      </c>
      <c r="T74" s="108"/>
      <c r="U74" s="108"/>
      <c r="V74" s="108"/>
      <c r="W74" s="108"/>
      <c r="X74" s="108"/>
      <c r="Y74" s="109"/>
      <c r="Z74" s="109"/>
      <c r="AA74" s="109"/>
      <c r="AB74" s="109"/>
      <c r="AC74" s="109"/>
      <c r="AD74" s="109"/>
      <c r="AE74" s="109"/>
      <c r="AG74" s="104" t="s">
        <v>364</v>
      </c>
      <c r="AH74" s="104"/>
      <c r="AI74" s="104"/>
      <c r="AJ74" s="104"/>
      <c r="AK74" s="105"/>
      <c r="AL74" s="104"/>
      <c r="AM74" s="104"/>
      <c r="AN74" s="104"/>
      <c r="AO74" s="105"/>
      <c r="AP74" s="104"/>
      <c r="AQ74" s="104"/>
      <c r="AR74" s="555">
        <v>0</v>
      </c>
      <c r="AS74" s="105"/>
      <c r="AT74" s="544">
        <v>18</v>
      </c>
      <c r="AU74" s="544">
        <v>105</v>
      </c>
      <c r="AV74" s="544">
        <v>20</v>
      </c>
      <c r="AW74" s="552"/>
      <c r="AX74" s="106">
        <f t="shared" si="15"/>
        <v>143</v>
      </c>
      <c r="AY74" s="107">
        <f t="shared" si="16"/>
        <v>0</v>
      </c>
      <c r="AZ74" s="109"/>
      <c r="BA74" s="109"/>
      <c r="BB74" s="109"/>
      <c r="BC74" s="109"/>
      <c r="BD74" s="109"/>
      <c r="BE74" s="109"/>
      <c r="BF74" s="109"/>
      <c r="BG74" s="109"/>
      <c r="BH74" s="109"/>
      <c r="BI74" s="104"/>
      <c r="BJ74" s="104"/>
      <c r="BK74" s="104"/>
    </row>
    <row r="75" spans="1:63" ht="15" x14ac:dyDescent="0.25">
      <c r="A75" s="104" t="s">
        <v>365</v>
      </c>
      <c r="B75" s="104"/>
      <c r="C75" s="104"/>
      <c r="D75" s="104"/>
      <c r="E75" s="105"/>
      <c r="F75" s="104"/>
      <c r="G75" s="104"/>
      <c r="H75" s="104"/>
      <c r="I75" s="105"/>
      <c r="J75" s="104"/>
      <c r="K75" s="104"/>
      <c r="L75" s="385"/>
      <c r="M75" s="105"/>
      <c r="N75" s="104"/>
      <c r="O75" s="104"/>
      <c r="P75" s="104"/>
      <c r="Q75" s="105"/>
      <c r="R75" s="106">
        <f t="shared" si="17"/>
        <v>0</v>
      </c>
      <c r="S75" s="107">
        <f t="shared" si="18"/>
        <v>0</v>
      </c>
      <c r="T75" s="108"/>
      <c r="U75" s="108"/>
      <c r="V75" s="108"/>
      <c r="W75" s="108"/>
      <c r="X75" s="108"/>
      <c r="Y75" s="109"/>
      <c r="Z75" s="109"/>
      <c r="AA75" s="109"/>
      <c r="AB75" s="109"/>
      <c r="AC75" s="109"/>
      <c r="AD75" s="109"/>
      <c r="AE75" s="109"/>
      <c r="AG75" s="104" t="s">
        <v>365</v>
      </c>
      <c r="AH75" s="104"/>
      <c r="AI75" s="104"/>
      <c r="AJ75" s="104"/>
      <c r="AK75" s="105"/>
      <c r="AL75" s="104"/>
      <c r="AM75" s="104"/>
      <c r="AN75" s="104"/>
      <c r="AO75" s="105"/>
      <c r="AP75" s="104"/>
      <c r="AQ75" s="104"/>
      <c r="AR75" s="555">
        <v>0</v>
      </c>
      <c r="AS75" s="105"/>
      <c r="AT75" s="544">
        <v>53</v>
      </c>
      <c r="AU75" s="544">
        <v>0</v>
      </c>
      <c r="AV75" s="544">
        <v>0</v>
      </c>
      <c r="AW75" s="552"/>
      <c r="AX75" s="106">
        <f t="shared" si="15"/>
        <v>53</v>
      </c>
      <c r="AY75" s="107">
        <f t="shared" si="16"/>
        <v>0</v>
      </c>
      <c r="AZ75" s="109"/>
      <c r="BA75" s="109"/>
      <c r="BB75" s="109"/>
      <c r="BC75" s="109"/>
      <c r="BD75" s="109"/>
      <c r="BE75" s="109"/>
      <c r="BF75" s="109"/>
      <c r="BG75" s="109"/>
      <c r="BH75" s="109"/>
      <c r="BI75" s="104"/>
      <c r="BJ75" s="104"/>
      <c r="BK75" s="104"/>
    </row>
    <row r="76" spans="1:63" ht="15" x14ac:dyDescent="0.25">
      <c r="A76" s="104" t="s">
        <v>366</v>
      </c>
      <c r="B76" s="104"/>
      <c r="C76" s="104"/>
      <c r="D76" s="104"/>
      <c r="E76" s="105"/>
      <c r="F76" s="104"/>
      <c r="G76" s="104"/>
      <c r="H76" s="104"/>
      <c r="I76" s="105"/>
      <c r="J76" s="104"/>
      <c r="K76" s="104"/>
      <c r="L76" s="385"/>
      <c r="M76" s="105"/>
      <c r="N76" s="104"/>
      <c r="O76" s="104"/>
      <c r="P76" s="104"/>
      <c r="Q76" s="105"/>
      <c r="R76" s="106">
        <f t="shared" si="17"/>
        <v>0</v>
      </c>
      <c r="S76" s="107">
        <f t="shared" si="18"/>
        <v>0</v>
      </c>
      <c r="T76" s="108"/>
      <c r="U76" s="108"/>
      <c r="V76" s="108"/>
      <c r="W76" s="108"/>
      <c r="X76" s="108"/>
      <c r="Y76" s="109"/>
      <c r="Z76" s="109"/>
      <c r="AA76" s="109"/>
      <c r="AB76" s="109"/>
      <c r="AC76" s="109"/>
      <c r="AD76" s="109"/>
      <c r="AE76" s="109"/>
      <c r="AG76" s="104" t="s">
        <v>366</v>
      </c>
      <c r="AH76" s="104"/>
      <c r="AI76" s="104"/>
      <c r="AJ76" s="104"/>
      <c r="AK76" s="105"/>
      <c r="AL76" s="104"/>
      <c r="AM76" s="104"/>
      <c r="AN76" s="104"/>
      <c r="AO76" s="105"/>
      <c r="AP76" s="104"/>
      <c r="AQ76" s="104"/>
      <c r="AR76" s="555">
        <v>46</v>
      </c>
      <c r="AS76" s="105"/>
      <c r="AT76" s="544">
        <v>41</v>
      </c>
      <c r="AU76" s="544">
        <v>28</v>
      </c>
      <c r="AV76" s="544">
        <v>7</v>
      </c>
      <c r="AW76" s="552"/>
      <c r="AX76" s="106">
        <f t="shared" si="15"/>
        <v>122</v>
      </c>
      <c r="AY76" s="107">
        <f t="shared" si="16"/>
        <v>0</v>
      </c>
      <c r="AZ76" s="109"/>
      <c r="BA76" s="109"/>
      <c r="BB76" s="109"/>
      <c r="BC76" s="109"/>
      <c r="BD76" s="109"/>
      <c r="BE76" s="109"/>
      <c r="BF76" s="109"/>
      <c r="BG76" s="109"/>
      <c r="BH76" s="109"/>
      <c r="BI76" s="109"/>
      <c r="BJ76" s="109"/>
      <c r="BK76" s="109"/>
    </row>
    <row r="77" spans="1:63" ht="15" x14ac:dyDescent="0.25">
      <c r="A77" s="104" t="s">
        <v>367</v>
      </c>
      <c r="B77" s="104"/>
      <c r="C77" s="104"/>
      <c r="D77" s="104"/>
      <c r="E77" s="105"/>
      <c r="F77" s="104"/>
      <c r="G77" s="104"/>
      <c r="H77" s="104"/>
      <c r="I77" s="105"/>
      <c r="J77" s="104"/>
      <c r="K77" s="104"/>
      <c r="L77" s="385"/>
      <c r="M77" s="105"/>
      <c r="N77" s="104"/>
      <c r="O77" s="104"/>
      <c r="P77" s="104"/>
      <c r="Q77" s="105"/>
      <c r="R77" s="106">
        <f t="shared" si="17"/>
        <v>0</v>
      </c>
      <c r="S77" s="107">
        <f t="shared" si="18"/>
        <v>0</v>
      </c>
      <c r="T77" s="108"/>
      <c r="U77" s="108"/>
      <c r="V77" s="108"/>
      <c r="W77" s="108"/>
      <c r="X77" s="108"/>
      <c r="Y77" s="109"/>
      <c r="Z77" s="109"/>
      <c r="AA77" s="109"/>
      <c r="AB77" s="109"/>
      <c r="AC77" s="109"/>
      <c r="AD77" s="109"/>
      <c r="AE77" s="109"/>
      <c r="AG77" s="104" t="s">
        <v>367</v>
      </c>
      <c r="AH77" s="104"/>
      <c r="AI77" s="104"/>
      <c r="AJ77" s="104"/>
      <c r="AK77" s="105"/>
      <c r="AL77" s="104"/>
      <c r="AM77" s="104"/>
      <c r="AN77" s="104"/>
      <c r="AO77" s="105"/>
      <c r="AP77" s="104"/>
      <c r="AQ77" s="104"/>
      <c r="AR77" s="555">
        <v>0</v>
      </c>
      <c r="AS77" s="105"/>
      <c r="AT77" s="544">
        <v>8</v>
      </c>
      <c r="AU77" s="544">
        <v>83</v>
      </c>
      <c r="AV77" s="544">
        <v>7</v>
      </c>
      <c r="AW77" s="552"/>
      <c r="AX77" s="106">
        <f t="shared" si="15"/>
        <v>98</v>
      </c>
      <c r="AY77" s="107">
        <f t="shared" si="16"/>
        <v>0</v>
      </c>
      <c r="AZ77" s="109"/>
      <c r="BA77" s="109"/>
      <c r="BB77" s="109"/>
      <c r="BC77" s="109"/>
      <c r="BD77" s="109"/>
      <c r="BE77" s="109"/>
      <c r="BF77" s="109"/>
      <c r="BG77" s="109"/>
      <c r="BH77" s="109"/>
      <c r="BI77" s="109"/>
      <c r="BJ77" s="109"/>
      <c r="BK77" s="109"/>
    </row>
    <row r="78" spans="1:63" ht="15" x14ac:dyDescent="0.25">
      <c r="A78" s="104" t="s">
        <v>368</v>
      </c>
      <c r="B78" s="104"/>
      <c r="C78" s="104"/>
      <c r="D78" s="104"/>
      <c r="E78" s="105"/>
      <c r="F78" s="104"/>
      <c r="G78" s="104"/>
      <c r="H78" s="104"/>
      <c r="I78" s="105"/>
      <c r="J78" s="104"/>
      <c r="K78" s="104"/>
      <c r="L78" s="385"/>
      <c r="M78" s="105"/>
      <c r="N78" s="104"/>
      <c r="O78" s="104"/>
      <c r="P78" s="104"/>
      <c r="Q78" s="105"/>
      <c r="R78" s="106">
        <f t="shared" si="17"/>
        <v>0</v>
      </c>
      <c r="S78" s="107">
        <f t="shared" si="18"/>
        <v>0</v>
      </c>
      <c r="T78" s="108"/>
      <c r="U78" s="108"/>
      <c r="V78" s="108"/>
      <c r="W78" s="108"/>
      <c r="X78" s="108"/>
      <c r="Y78" s="109"/>
      <c r="Z78" s="109"/>
      <c r="AA78" s="109"/>
      <c r="AB78" s="109"/>
      <c r="AC78" s="109"/>
      <c r="AD78" s="109"/>
      <c r="AE78" s="109"/>
      <c r="AG78" s="104" t="s">
        <v>368</v>
      </c>
      <c r="AH78" s="104"/>
      <c r="AI78" s="104"/>
      <c r="AJ78" s="104"/>
      <c r="AK78" s="105"/>
      <c r="AL78" s="104"/>
      <c r="AM78" s="104"/>
      <c r="AN78" s="104"/>
      <c r="AO78" s="105"/>
      <c r="AP78" s="104"/>
      <c r="AQ78" s="104"/>
      <c r="AR78" s="555">
        <v>0</v>
      </c>
      <c r="AS78" s="105"/>
      <c r="AT78" s="544">
        <v>0</v>
      </c>
      <c r="AU78" s="544">
        <v>55</v>
      </c>
      <c r="AV78" s="544">
        <v>45</v>
      </c>
      <c r="AW78" s="552"/>
      <c r="AX78" s="106">
        <f t="shared" si="15"/>
        <v>100</v>
      </c>
      <c r="AY78" s="107">
        <f t="shared" si="16"/>
        <v>0</v>
      </c>
      <c r="AZ78" s="109"/>
      <c r="BA78" s="109"/>
      <c r="BB78" s="109"/>
      <c r="BC78" s="109"/>
      <c r="BD78" s="109"/>
      <c r="BE78" s="109"/>
      <c r="BF78" s="109"/>
      <c r="BG78" s="109"/>
      <c r="BH78" s="109"/>
      <c r="BI78" s="109"/>
      <c r="BJ78" s="109"/>
      <c r="BK78" s="109"/>
    </row>
    <row r="79" spans="1:63" ht="15" x14ac:dyDescent="0.25">
      <c r="A79" s="104" t="s">
        <v>369</v>
      </c>
      <c r="B79" s="104"/>
      <c r="C79" s="104"/>
      <c r="D79" s="104"/>
      <c r="E79" s="105"/>
      <c r="F79" s="104"/>
      <c r="G79" s="104"/>
      <c r="H79" s="104"/>
      <c r="I79" s="105"/>
      <c r="J79" s="104"/>
      <c r="K79" s="104"/>
      <c r="L79" s="385"/>
      <c r="M79" s="105"/>
      <c r="N79" s="104"/>
      <c r="O79" s="104"/>
      <c r="P79" s="104"/>
      <c r="Q79" s="105"/>
      <c r="R79" s="106">
        <f t="shared" si="17"/>
        <v>0</v>
      </c>
      <c r="S79" s="107">
        <f t="shared" si="18"/>
        <v>0</v>
      </c>
      <c r="T79" s="108"/>
      <c r="U79" s="108"/>
      <c r="V79" s="108"/>
      <c r="W79" s="108"/>
      <c r="X79" s="108"/>
      <c r="Y79" s="109"/>
      <c r="Z79" s="109"/>
      <c r="AA79" s="109"/>
      <c r="AB79" s="109"/>
      <c r="AC79" s="109"/>
      <c r="AD79" s="109"/>
      <c r="AE79" s="109"/>
      <c r="AG79" s="104" t="s">
        <v>369</v>
      </c>
      <c r="AH79" s="104"/>
      <c r="AI79" s="104"/>
      <c r="AJ79" s="104"/>
      <c r="AK79" s="105"/>
      <c r="AL79" s="104"/>
      <c r="AM79" s="104"/>
      <c r="AN79" s="104"/>
      <c r="AO79" s="105"/>
      <c r="AP79" s="104"/>
      <c r="AQ79" s="104"/>
      <c r="AR79" s="555">
        <v>21</v>
      </c>
      <c r="AS79" s="105"/>
      <c r="AT79" s="544">
        <v>15</v>
      </c>
      <c r="AU79" s="544">
        <v>58</v>
      </c>
      <c r="AV79" s="544">
        <v>2</v>
      </c>
      <c r="AW79" s="552"/>
      <c r="AX79" s="106">
        <f t="shared" si="15"/>
        <v>96</v>
      </c>
      <c r="AY79" s="107">
        <f t="shared" si="16"/>
        <v>0</v>
      </c>
      <c r="AZ79" s="109"/>
      <c r="BA79" s="109"/>
      <c r="BB79" s="109"/>
      <c r="BC79" s="109"/>
      <c r="BD79" s="109"/>
      <c r="BE79" s="109"/>
      <c r="BF79" s="109"/>
      <c r="BG79" s="109"/>
      <c r="BH79" s="109"/>
      <c r="BI79" s="109"/>
      <c r="BJ79" s="109"/>
      <c r="BK79" s="109"/>
    </row>
    <row r="80" spans="1:63" ht="15" x14ac:dyDescent="0.25">
      <c r="A80" s="104" t="s">
        <v>370</v>
      </c>
      <c r="B80" s="104"/>
      <c r="C80" s="104"/>
      <c r="D80" s="104"/>
      <c r="E80" s="105"/>
      <c r="F80" s="104"/>
      <c r="G80" s="104"/>
      <c r="H80" s="104"/>
      <c r="I80" s="105"/>
      <c r="J80" s="104"/>
      <c r="K80" s="104"/>
      <c r="L80" s="385"/>
      <c r="M80" s="105"/>
      <c r="N80" s="104"/>
      <c r="O80" s="104"/>
      <c r="P80" s="104"/>
      <c r="Q80" s="105"/>
      <c r="R80" s="106">
        <f t="shared" si="17"/>
        <v>0</v>
      </c>
      <c r="S80" s="107">
        <f t="shared" si="18"/>
        <v>0</v>
      </c>
      <c r="T80" s="108"/>
      <c r="U80" s="108"/>
      <c r="V80" s="108"/>
      <c r="W80" s="108"/>
      <c r="X80" s="108"/>
      <c r="Y80" s="109"/>
      <c r="Z80" s="109"/>
      <c r="AA80" s="109"/>
      <c r="AB80" s="109"/>
      <c r="AC80" s="109"/>
      <c r="AD80" s="109"/>
      <c r="AE80" s="109"/>
      <c r="AG80" s="104" t="s">
        <v>370</v>
      </c>
      <c r="AH80" s="104"/>
      <c r="AI80" s="104"/>
      <c r="AJ80" s="104"/>
      <c r="AK80" s="105"/>
      <c r="AL80" s="104"/>
      <c r="AM80" s="104"/>
      <c r="AN80" s="104"/>
      <c r="AO80" s="105"/>
      <c r="AP80" s="104"/>
      <c r="AQ80" s="104"/>
      <c r="AR80" s="555">
        <v>0</v>
      </c>
      <c r="AS80" s="105"/>
      <c r="AT80" s="544">
        <v>0</v>
      </c>
      <c r="AU80" s="544">
        <v>60</v>
      </c>
      <c r="AV80" s="544">
        <v>0</v>
      </c>
      <c r="AW80" s="552"/>
      <c r="AX80" s="106">
        <f t="shared" si="15"/>
        <v>60</v>
      </c>
      <c r="AY80" s="107">
        <f t="shared" si="16"/>
        <v>0</v>
      </c>
      <c r="AZ80" s="109"/>
      <c r="BA80" s="109"/>
      <c r="BB80" s="109"/>
      <c r="BC80" s="109"/>
      <c r="BD80" s="109"/>
      <c r="BE80" s="109"/>
      <c r="BF80" s="109"/>
      <c r="BG80" s="109"/>
      <c r="BH80" s="109"/>
      <c r="BI80" s="109"/>
      <c r="BJ80" s="109"/>
      <c r="BK80" s="109"/>
    </row>
    <row r="81" spans="1:63" ht="15" x14ac:dyDescent="0.25">
      <c r="A81" s="104" t="s">
        <v>371</v>
      </c>
      <c r="B81" s="104"/>
      <c r="C81" s="104"/>
      <c r="D81" s="104"/>
      <c r="E81" s="105"/>
      <c r="F81" s="104"/>
      <c r="G81" s="104"/>
      <c r="H81" s="104"/>
      <c r="I81" s="105"/>
      <c r="J81" s="104"/>
      <c r="K81" s="104"/>
      <c r="L81" s="385"/>
      <c r="M81" s="105"/>
      <c r="N81" s="104"/>
      <c r="O81" s="104"/>
      <c r="P81" s="104"/>
      <c r="Q81" s="105"/>
      <c r="R81" s="106">
        <f t="shared" si="17"/>
        <v>0</v>
      </c>
      <c r="S81" s="107">
        <f t="shared" si="18"/>
        <v>0</v>
      </c>
      <c r="T81" s="108"/>
      <c r="U81" s="108"/>
      <c r="V81" s="108"/>
      <c r="W81" s="108"/>
      <c r="X81" s="108"/>
      <c r="Y81" s="109"/>
      <c r="Z81" s="109"/>
      <c r="AA81" s="109"/>
      <c r="AB81" s="109"/>
      <c r="AC81" s="109"/>
      <c r="AD81" s="109"/>
      <c r="AE81" s="109"/>
      <c r="AG81" s="104" t="s">
        <v>371</v>
      </c>
      <c r="AH81" s="104"/>
      <c r="AI81" s="104"/>
      <c r="AJ81" s="104"/>
      <c r="AK81" s="105"/>
      <c r="AL81" s="104"/>
      <c r="AM81" s="104"/>
      <c r="AN81" s="104"/>
      <c r="AO81" s="105"/>
      <c r="AP81" s="104"/>
      <c r="AQ81" s="104"/>
      <c r="AR81" s="555">
        <v>29</v>
      </c>
      <c r="AS81" s="105"/>
      <c r="AT81" s="544">
        <v>38</v>
      </c>
      <c r="AU81" s="544">
        <v>115</v>
      </c>
      <c r="AV81" s="544">
        <v>7</v>
      </c>
      <c r="AW81" s="552"/>
      <c r="AX81" s="106">
        <f t="shared" si="15"/>
        <v>189</v>
      </c>
      <c r="AY81" s="107">
        <f t="shared" si="16"/>
        <v>0</v>
      </c>
      <c r="AZ81" s="109"/>
      <c r="BA81" s="109"/>
      <c r="BB81" s="109"/>
      <c r="BC81" s="109"/>
      <c r="BD81" s="109"/>
      <c r="BE81" s="109"/>
      <c r="BF81" s="109"/>
      <c r="BG81" s="109"/>
      <c r="BH81" s="109"/>
      <c r="BI81" s="109"/>
      <c r="BJ81" s="109"/>
      <c r="BK81" s="109"/>
    </row>
    <row r="82" spans="1:63" ht="15" x14ac:dyDescent="0.25">
      <c r="A82" s="104" t="s">
        <v>372</v>
      </c>
      <c r="B82" s="104"/>
      <c r="C82" s="104"/>
      <c r="D82" s="104"/>
      <c r="E82" s="105"/>
      <c r="F82" s="104"/>
      <c r="G82" s="104"/>
      <c r="H82" s="104"/>
      <c r="I82" s="105"/>
      <c r="J82" s="104"/>
      <c r="K82" s="104"/>
      <c r="L82" s="385"/>
      <c r="M82" s="105"/>
      <c r="N82" s="104"/>
      <c r="O82" s="104"/>
      <c r="P82" s="104"/>
      <c r="Q82" s="105"/>
      <c r="R82" s="106">
        <f t="shared" si="17"/>
        <v>0</v>
      </c>
      <c r="S82" s="107">
        <f t="shared" si="18"/>
        <v>0</v>
      </c>
      <c r="T82" s="108"/>
      <c r="U82" s="108"/>
      <c r="V82" s="108"/>
      <c r="W82" s="108"/>
      <c r="X82" s="108"/>
      <c r="Y82" s="109"/>
      <c r="Z82" s="109"/>
      <c r="AA82" s="109"/>
      <c r="AB82" s="109"/>
      <c r="AC82" s="109"/>
      <c r="AD82" s="109"/>
      <c r="AE82" s="109"/>
      <c r="AG82" s="104" t="s">
        <v>372</v>
      </c>
      <c r="AH82" s="104"/>
      <c r="AI82" s="104"/>
      <c r="AJ82" s="104"/>
      <c r="AK82" s="105"/>
      <c r="AL82" s="104"/>
      <c r="AM82" s="104"/>
      <c r="AN82" s="104"/>
      <c r="AO82" s="105"/>
      <c r="AP82" s="104"/>
      <c r="AQ82" s="104"/>
      <c r="AR82" s="555">
        <v>0</v>
      </c>
      <c r="AS82" s="105"/>
      <c r="AT82" s="544">
        <v>0</v>
      </c>
      <c r="AU82" s="544">
        <v>0</v>
      </c>
      <c r="AV82" s="544">
        <v>2</v>
      </c>
      <c r="AW82" s="552"/>
      <c r="AX82" s="106">
        <f t="shared" si="15"/>
        <v>2</v>
      </c>
      <c r="AY82" s="107">
        <f t="shared" si="16"/>
        <v>0</v>
      </c>
      <c r="AZ82" s="109"/>
      <c r="BA82" s="109"/>
      <c r="BB82" s="109"/>
      <c r="BC82" s="109"/>
      <c r="BD82" s="109"/>
      <c r="BE82" s="109"/>
      <c r="BF82" s="109"/>
      <c r="BG82" s="109"/>
      <c r="BH82" s="109"/>
      <c r="BI82" s="109"/>
      <c r="BJ82" s="109"/>
      <c r="BK82" s="109"/>
    </row>
    <row r="83" spans="1:63" ht="15" x14ac:dyDescent="0.25">
      <c r="A83" s="104" t="s">
        <v>373</v>
      </c>
      <c r="B83" s="104"/>
      <c r="C83" s="104"/>
      <c r="D83" s="104"/>
      <c r="E83" s="105"/>
      <c r="F83" s="104"/>
      <c r="G83" s="104"/>
      <c r="H83" s="104"/>
      <c r="I83" s="105"/>
      <c r="J83" s="104"/>
      <c r="K83" s="104"/>
      <c r="L83" s="385"/>
      <c r="M83" s="105"/>
      <c r="N83" s="104"/>
      <c r="O83" s="104"/>
      <c r="P83" s="104"/>
      <c r="Q83" s="105"/>
      <c r="R83" s="106">
        <f t="shared" si="17"/>
        <v>0</v>
      </c>
      <c r="S83" s="107">
        <f t="shared" si="18"/>
        <v>0</v>
      </c>
      <c r="T83" s="108"/>
      <c r="U83" s="108"/>
      <c r="V83" s="108"/>
      <c r="W83" s="108"/>
      <c r="X83" s="108"/>
      <c r="Y83" s="109"/>
      <c r="Z83" s="109"/>
      <c r="AA83" s="109"/>
      <c r="AB83" s="109"/>
      <c r="AC83" s="109"/>
      <c r="AD83" s="109"/>
      <c r="AE83" s="109"/>
      <c r="AG83" s="104" t="s">
        <v>373</v>
      </c>
      <c r="AH83" s="104"/>
      <c r="AI83" s="104"/>
      <c r="AJ83" s="104"/>
      <c r="AK83" s="105"/>
      <c r="AL83" s="104"/>
      <c r="AM83" s="104"/>
      <c r="AN83" s="104"/>
      <c r="AO83" s="105"/>
      <c r="AP83" s="104"/>
      <c r="AQ83" s="104"/>
      <c r="AR83" s="555">
        <v>0</v>
      </c>
      <c r="AS83" s="105"/>
      <c r="AT83" s="544">
        <v>20</v>
      </c>
      <c r="AU83" s="544">
        <v>0</v>
      </c>
      <c r="AV83" s="544">
        <v>1</v>
      </c>
      <c r="AW83" s="552"/>
      <c r="AX83" s="106">
        <f t="shared" si="15"/>
        <v>21</v>
      </c>
      <c r="AY83" s="107">
        <f t="shared" si="16"/>
        <v>0</v>
      </c>
      <c r="AZ83" s="109"/>
      <c r="BA83" s="109"/>
      <c r="BB83" s="109"/>
      <c r="BC83" s="109"/>
      <c r="BD83" s="109"/>
      <c r="BE83" s="109"/>
      <c r="BF83" s="109"/>
      <c r="BG83" s="109"/>
      <c r="BH83" s="109"/>
      <c r="BI83" s="109"/>
      <c r="BJ83" s="109"/>
      <c r="BK83" s="109"/>
    </row>
    <row r="84" spans="1:63" ht="15" x14ac:dyDescent="0.25">
      <c r="A84" s="104" t="s">
        <v>374</v>
      </c>
      <c r="B84" s="104"/>
      <c r="C84" s="104"/>
      <c r="D84" s="104"/>
      <c r="E84" s="105"/>
      <c r="F84" s="104"/>
      <c r="G84" s="104"/>
      <c r="H84" s="104"/>
      <c r="I84" s="105"/>
      <c r="J84" s="104"/>
      <c r="K84" s="104"/>
      <c r="L84" s="385"/>
      <c r="M84" s="105"/>
      <c r="N84" s="104"/>
      <c r="O84" s="104"/>
      <c r="P84" s="104"/>
      <c r="Q84" s="105"/>
      <c r="R84" s="106">
        <f t="shared" si="17"/>
        <v>0</v>
      </c>
      <c r="S84" s="107">
        <f t="shared" si="18"/>
        <v>0</v>
      </c>
      <c r="T84" s="108"/>
      <c r="U84" s="108"/>
      <c r="V84" s="108"/>
      <c r="W84" s="108"/>
      <c r="X84" s="108"/>
      <c r="Y84" s="109"/>
      <c r="Z84" s="109"/>
      <c r="AA84" s="109"/>
      <c r="AB84" s="109"/>
      <c r="AC84" s="109"/>
      <c r="AD84" s="109"/>
      <c r="AE84" s="109"/>
      <c r="AG84" s="104" t="s">
        <v>374</v>
      </c>
      <c r="AH84" s="104"/>
      <c r="AI84" s="104"/>
      <c r="AJ84" s="104"/>
      <c r="AK84" s="105"/>
      <c r="AL84" s="104"/>
      <c r="AM84" s="104"/>
      <c r="AN84" s="104"/>
      <c r="AO84" s="105"/>
      <c r="AP84" s="104"/>
      <c r="AQ84" s="104"/>
      <c r="AR84" s="555">
        <v>0</v>
      </c>
      <c r="AS84" s="105"/>
      <c r="AT84" s="544">
        <v>13</v>
      </c>
      <c r="AU84" s="544">
        <v>15</v>
      </c>
      <c r="AV84" s="544">
        <v>17</v>
      </c>
      <c r="AW84" s="552"/>
      <c r="AX84" s="106">
        <f t="shared" si="15"/>
        <v>45</v>
      </c>
      <c r="AY84" s="107">
        <f t="shared" si="16"/>
        <v>0</v>
      </c>
      <c r="AZ84" s="109"/>
      <c r="BA84" s="109"/>
      <c r="BB84" s="109"/>
      <c r="BC84" s="109"/>
      <c r="BD84" s="109"/>
      <c r="BE84" s="109"/>
      <c r="BF84" s="109"/>
      <c r="BG84" s="109"/>
      <c r="BH84" s="109"/>
      <c r="BI84" s="109"/>
      <c r="BJ84" s="109"/>
      <c r="BK84" s="109"/>
    </row>
    <row r="85" spans="1:63" ht="15" x14ac:dyDescent="0.25">
      <c r="A85" s="104" t="s">
        <v>375</v>
      </c>
      <c r="B85" s="104"/>
      <c r="C85" s="104"/>
      <c r="D85" s="104"/>
      <c r="E85" s="105"/>
      <c r="F85" s="104"/>
      <c r="G85" s="104"/>
      <c r="H85" s="104"/>
      <c r="I85" s="105"/>
      <c r="J85" s="104"/>
      <c r="K85" s="104"/>
      <c r="L85" s="385"/>
      <c r="M85" s="105"/>
      <c r="N85" s="104"/>
      <c r="O85" s="104"/>
      <c r="P85" s="104"/>
      <c r="Q85" s="105"/>
      <c r="R85" s="106">
        <f t="shared" si="17"/>
        <v>0</v>
      </c>
      <c r="S85" s="107">
        <f t="shared" si="18"/>
        <v>0</v>
      </c>
      <c r="T85" s="108"/>
      <c r="U85" s="108"/>
      <c r="V85" s="108"/>
      <c r="W85" s="108"/>
      <c r="X85" s="108"/>
      <c r="Y85" s="109"/>
      <c r="Z85" s="109"/>
      <c r="AA85" s="109"/>
      <c r="AB85" s="109"/>
      <c r="AC85" s="109"/>
      <c r="AD85" s="109"/>
      <c r="AE85" s="109"/>
      <c r="AG85" s="104" t="s">
        <v>375</v>
      </c>
      <c r="AH85" s="104"/>
      <c r="AI85" s="104"/>
      <c r="AJ85" s="104"/>
      <c r="AK85" s="105"/>
      <c r="AL85" s="104"/>
      <c r="AM85" s="104"/>
      <c r="AN85" s="104"/>
      <c r="AO85" s="105"/>
      <c r="AP85" s="104"/>
      <c r="AQ85" s="104"/>
      <c r="AR85" s="555">
        <v>0</v>
      </c>
      <c r="AS85" s="105"/>
      <c r="AT85" s="544">
        <v>0</v>
      </c>
      <c r="AU85" s="544">
        <v>0</v>
      </c>
      <c r="AV85" s="544">
        <v>0</v>
      </c>
      <c r="AW85" s="552"/>
      <c r="AX85" s="106">
        <f t="shared" si="15"/>
        <v>0</v>
      </c>
      <c r="AY85" s="107">
        <f t="shared" si="16"/>
        <v>0</v>
      </c>
      <c r="AZ85" s="109"/>
      <c r="BA85" s="109"/>
      <c r="BB85" s="109"/>
      <c r="BC85" s="109"/>
      <c r="BD85" s="109"/>
      <c r="BE85" s="109"/>
      <c r="BF85" s="109"/>
      <c r="BG85" s="109"/>
      <c r="BH85" s="109"/>
      <c r="BI85" s="109"/>
      <c r="BJ85" s="109"/>
      <c r="BK85" s="109"/>
    </row>
    <row r="86" spans="1:63" ht="15" x14ac:dyDescent="0.25">
      <c r="A86" s="111" t="s">
        <v>376</v>
      </c>
      <c r="B86" s="112">
        <f t="shared" ref="B86:AE86" si="19">SUM(B66:B85)</f>
        <v>0</v>
      </c>
      <c r="C86" s="112">
        <f t="shared" si="19"/>
        <v>0</v>
      </c>
      <c r="D86" s="112">
        <f t="shared" si="19"/>
        <v>0</v>
      </c>
      <c r="E86" s="113">
        <f t="shared" si="19"/>
        <v>0</v>
      </c>
      <c r="F86" s="112">
        <f t="shared" si="19"/>
        <v>0</v>
      </c>
      <c r="G86" s="112">
        <f t="shared" si="19"/>
        <v>0</v>
      </c>
      <c r="H86" s="112">
        <f t="shared" si="19"/>
        <v>0</v>
      </c>
      <c r="I86" s="113">
        <f t="shared" si="19"/>
        <v>0</v>
      </c>
      <c r="J86" s="112">
        <f t="shared" si="19"/>
        <v>0</v>
      </c>
      <c r="K86" s="112">
        <f t="shared" si="19"/>
        <v>0</v>
      </c>
      <c r="L86" s="112">
        <f t="shared" si="19"/>
        <v>0</v>
      </c>
      <c r="M86" s="113">
        <f t="shared" si="19"/>
        <v>0</v>
      </c>
      <c r="N86" s="112">
        <f t="shared" si="19"/>
        <v>0</v>
      </c>
      <c r="O86" s="112">
        <f t="shared" si="19"/>
        <v>0</v>
      </c>
      <c r="P86" s="112">
        <f t="shared" si="19"/>
        <v>0</v>
      </c>
      <c r="Q86" s="113">
        <f t="shared" si="19"/>
        <v>0</v>
      </c>
      <c r="R86" s="112">
        <f t="shared" si="19"/>
        <v>0</v>
      </c>
      <c r="S86" s="107">
        <f t="shared" si="19"/>
        <v>0</v>
      </c>
      <c r="T86" s="112">
        <f t="shared" si="19"/>
        <v>0</v>
      </c>
      <c r="U86" s="112">
        <f t="shared" si="19"/>
        <v>0</v>
      </c>
      <c r="V86" s="112">
        <f t="shared" si="19"/>
        <v>0</v>
      </c>
      <c r="W86" s="112">
        <f t="shared" si="19"/>
        <v>0</v>
      </c>
      <c r="X86" s="112">
        <f t="shared" si="19"/>
        <v>0</v>
      </c>
      <c r="Y86" s="112">
        <f t="shared" si="19"/>
        <v>0</v>
      </c>
      <c r="Z86" s="112">
        <f t="shared" si="19"/>
        <v>0</v>
      </c>
      <c r="AA86" s="112">
        <f t="shared" si="19"/>
        <v>0</v>
      </c>
      <c r="AB86" s="112">
        <f t="shared" si="19"/>
        <v>0</v>
      </c>
      <c r="AC86" s="112">
        <f t="shared" si="19"/>
        <v>0</v>
      </c>
      <c r="AD86" s="112">
        <f t="shared" si="19"/>
        <v>0</v>
      </c>
      <c r="AE86" s="112">
        <f t="shared" si="19"/>
        <v>0</v>
      </c>
      <c r="AG86" s="111" t="s">
        <v>376</v>
      </c>
      <c r="AH86" s="112">
        <f t="shared" ref="AH86:BK86" si="20">SUM(AH66:AH85)</f>
        <v>0</v>
      </c>
      <c r="AI86" s="112">
        <f t="shared" si="20"/>
        <v>0</v>
      </c>
      <c r="AJ86" s="112">
        <f t="shared" si="20"/>
        <v>0</v>
      </c>
      <c r="AK86" s="113">
        <f t="shared" si="20"/>
        <v>0</v>
      </c>
      <c r="AL86" s="112">
        <f t="shared" si="20"/>
        <v>0</v>
      </c>
      <c r="AM86" s="112">
        <f t="shared" si="20"/>
        <v>0</v>
      </c>
      <c r="AN86" s="112">
        <f t="shared" si="20"/>
        <v>0</v>
      </c>
      <c r="AO86" s="113">
        <f t="shared" si="20"/>
        <v>0</v>
      </c>
      <c r="AP86" s="112">
        <f t="shared" si="20"/>
        <v>0</v>
      </c>
      <c r="AQ86" s="112">
        <f t="shared" si="20"/>
        <v>0</v>
      </c>
      <c r="AR86" s="112">
        <f t="shared" si="20"/>
        <v>184</v>
      </c>
      <c r="AS86" s="113">
        <f t="shared" si="20"/>
        <v>0</v>
      </c>
      <c r="AT86" s="112">
        <f>SUM(AT66:AT85)</f>
        <v>422</v>
      </c>
      <c r="AU86" s="112">
        <f t="shared" si="20"/>
        <v>987</v>
      </c>
      <c r="AV86" s="112">
        <f t="shared" si="20"/>
        <v>167</v>
      </c>
      <c r="AW86" s="113">
        <f t="shared" si="20"/>
        <v>0</v>
      </c>
      <c r="AX86" s="114">
        <f t="shared" si="20"/>
        <v>1760</v>
      </c>
      <c r="AY86" s="115">
        <f t="shared" si="20"/>
        <v>0</v>
      </c>
      <c r="AZ86" s="112">
        <f t="shared" si="20"/>
        <v>0</v>
      </c>
      <c r="BA86" s="112">
        <f t="shared" si="20"/>
        <v>0</v>
      </c>
      <c r="BB86" s="112">
        <f t="shared" si="20"/>
        <v>0</v>
      </c>
      <c r="BC86" s="112">
        <f t="shared" si="20"/>
        <v>0</v>
      </c>
      <c r="BD86" s="112">
        <f t="shared" si="20"/>
        <v>0</v>
      </c>
      <c r="BE86" s="112">
        <f t="shared" si="20"/>
        <v>0</v>
      </c>
      <c r="BF86" s="112">
        <f t="shared" si="20"/>
        <v>0</v>
      </c>
      <c r="BG86" s="112">
        <f t="shared" si="20"/>
        <v>0</v>
      </c>
      <c r="BH86" s="112">
        <f t="shared" si="20"/>
        <v>0</v>
      </c>
      <c r="BI86" s="112">
        <f t="shared" si="20"/>
        <v>0</v>
      </c>
      <c r="BJ86" s="112">
        <f t="shared" si="20"/>
        <v>0</v>
      </c>
      <c r="BK86" s="112">
        <f t="shared" si="20"/>
        <v>0</v>
      </c>
    </row>
    <row r="88" spans="1:63" x14ac:dyDescent="0.25">
      <c r="J88" s="139"/>
      <c r="K88" s="142"/>
      <c r="L88" s="142"/>
      <c r="M88" s="142"/>
      <c r="N88" s="142"/>
      <c r="O88" s="142"/>
      <c r="P88" s="139"/>
      <c r="Q88" s="397"/>
      <c r="R88" s="397"/>
      <c r="S88" s="398"/>
      <c r="T88" s="397"/>
      <c r="U88" s="397"/>
    </row>
    <row r="89" spans="1:63" x14ac:dyDescent="0.25">
      <c r="J89" s="140"/>
      <c r="K89" s="141"/>
      <c r="L89" s="141"/>
      <c r="M89" s="141"/>
      <c r="N89" s="141"/>
      <c r="O89" s="141"/>
      <c r="P89" s="141"/>
      <c r="Q89" s="397"/>
      <c r="R89" s="397"/>
      <c r="S89" s="397"/>
      <c r="T89" s="397"/>
      <c r="U89" s="397"/>
      <c r="AS89" s="383" t="e">
        <f>+AS11+AS39</f>
        <v>#REF!</v>
      </c>
    </row>
    <row r="90" spans="1:63" x14ac:dyDescent="0.25">
      <c r="J90" s="140"/>
      <c r="K90" s="141"/>
      <c r="L90" s="141"/>
      <c r="M90" s="141"/>
      <c r="N90" s="141"/>
      <c r="O90" s="141"/>
      <c r="P90" s="141"/>
      <c r="Q90" s="397"/>
      <c r="R90" s="397"/>
      <c r="S90" s="397"/>
      <c r="T90" s="397"/>
      <c r="U90" s="397"/>
    </row>
    <row r="91" spans="1:63" x14ac:dyDescent="0.25">
      <c r="J91" s="140"/>
      <c r="K91" s="141"/>
      <c r="L91" s="141"/>
      <c r="M91" s="141"/>
      <c r="N91" s="141"/>
      <c r="O91" s="141"/>
      <c r="P91" s="141"/>
      <c r="Q91" s="397"/>
      <c r="R91" s="397"/>
      <c r="S91" s="398"/>
      <c r="T91" s="397"/>
      <c r="U91" s="397"/>
    </row>
    <row r="92" spans="1:63" x14ac:dyDescent="0.25">
      <c r="J92" s="400"/>
      <c r="K92" s="400"/>
      <c r="L92" s="400"/>
      <c r="M92" s="400"/>
      <c r="N92" s="400"/>
      <c r="O92" s="400"/>
      <c r="P92" s="400"/>
      <c r="Q92" s="397"/>
      <c r="R92" s="397"/>
      <c r="S92" s="397"/>
      <c r="T92" s="397"/>
      <c r="U92" s="397"/>
    </row>
    <row r="93" spans="1:63" x14ac:dyDescent="0.25">
      <c r="J93" s="400"/>
      <c r="K93" s="400"/>
      <c r="L93" s="400"/>
      <c r="M93" s="400"/>
      <c r="N93" s="400"/>
      <c r="O93" s="400"/>
      <c r="P93" s="400"/>
      <c r="Q93" s="397"/>
      <c r="R93" s="397"/>
      <c r="S93" s="397"/>
      <c r="T93" s="397"/>
      <c r="U93" s="397"/>
    </row>
    <row r="94" spans="1:63" x14ac:dyDescent="0.25">
      <c r="J94" s="400"/>
      <c r="K94" s="400"/>
      <c r="L94" s="400"/>
      <c r="M94" s="400"/>
      <c r="N94" s="400"/>
      <c r="O94" s="400"/>
      <c r="P94" s="400"/>
      <c r="Q94" s="397"/>
      <c r="R94" s="397"/>
      <c r="S94" s="397"/>
      <c r="T94" s="397"/>
      <c r="U94" s="397"/>
    </row>
    <row r="95" spans="1:63" s="382" customFormat="1" ht="33" customHeight="1" x14ac:dyDescent="0.25">
      <c r="J95" s="140"/>
      <c r="K95" s="381"/>
      <c r="L95" s="381"/>
      <c r="M95" s="381"/>
      <c r="N95" s="381"/>
      <c r="O95" s="381"/>
      <c r="P95" s="401"/>
      <c r="Q95" s="399"/>
      <c r="R95" s="399"/>
      <c r="S95" s="399"/>
      <c r="T95" s="399"/>
      <c r="U95" s="399"/>
    </row>
    <row r="96" spans="1:63" x14ac:dyDescent="0.25">
      <c r="J96" s="140"/>
      <c r="K96" s="141"/>
      <c r="L96" s="141"/>
      <c r="M96" s="141"/>
      <c r="N96" s="141"/>
      <c r="O96" s="141"/>
      <c r="P96" s="400"/>
      <c r="Q96" s="397"/>
      <c r="R96" s="397"/>
      <c r="S96" s="397"/>
      <c r="T96" s="397"/>
      <c r="U96" s="397"/>
    </row>
    <row r="97" spans="10:21" x14ac:dyDescent="0.25">
      <c r="J97" s="140"/>
      <c r="K97" s="141"/>
      <c r="L97" s="141"/>
      <c r="M97" s="141"/>
      <c r="N97" s="141"/>
      <c r="O97" s="141"/>
      <c r="P97" s="400"/>
      <c r="Q97" s="397"/>
      <c r="R97" s="397"/>
      <c r="S97" s="397"/>
      <c r="T97" s="397"/>
      <c r="U97" s="397"/>
    </row>
    <row r="98" spans="10:21" x14ac:dyDescent="0.25">
      <c r="J98" s="381"/>
      <c r="K98" s="396"/>
      <c r="L98" s="396"/>
      <c r="M98" s="396"/>
      <c r="N98" s="396"/>
      <c r="O98" s="396"/>
      <c r="P98" s="400"/>
      <c r="Q98" s="397"/>
      <c r="R98" s="397"/>
      <c r="S98" s="397"/>
      <c r="T98" s="397"/>
      <c r="U98" s="397"/>
    </row>
    <row r="99" spans="10:21" x14ac:dyDescent="0.25">
      <c r="J99" s="400"/>
      <c r="K99" s="400"/>
      <c r="L99" s="400"/>
      <c r="M99" s="400"/>
      <c r="N99" s="400"/>
      <c r="O99" s="400"/>
      <c r="P99" s="400"/>
      <c r="Q99" s="397"/>
      <c r="R99" s="397"/>
      <c r="S99" s="397"/>
      <c r="T99" s="397"/>
      <c r="U99" s="397"/>
    </row>
    <row r="100" spans="10:21" x14ac:dyDescent="0.25">
      <c r="J100" s="400"/>
      <c r="K100" s="400"/>
      <c r="L100" s="400"/>
      <c r="M100" s="400"/>
      <c r="N100" s="400"/>
      <c r="O100" s="400"/>
      <c r="P100" s="400"/>
      <c r="Q100" s="397"/>
      <c r="R100" s="397"/>
      <c r="S100" s="397"/>
      <c r="T100" s="397"/>
      <c r="U100" s="397"/>
    </row>
    <row r="101" spans="10:21" x14ac:dyDescent="0.25">
      <c r="J101" s="400"/>
      <c r="K101" s="400"/>
      <c r="L101" s="400"/>
      <c r="M101" s="400"/>
      <c r="N101" s="400"/>
      <c r="O101" s="400"/>
      <c r="P101" s="400"/>
      <c r="Q101" s="397"/>
      <c r="R101" s="397"/>
      <c r="S101" s="397"/>
      <c r="T101" s="397"/>
      <c r="U101" s="397"/>
    </row>
    <row r="102" spans="10:21" x14ac:dyDescent="0.25">
      <c r="J102" s="397"/>
      <c r="K102" s="397"/>
      <c r="L102" s="397"/>
      <c r="M102" s="397"/>
      <c r="N102" s="397"/>
      <c r="O102" s="397"/>
      <c r="P102" s="397"/>
      <c r="Q102" s="397"/>
      <c r="R102" s="397"/>
      <c r="S102" s="397"/>
      <c r="T102" s="397"/>
      <c r="U102" s="397"/>
    </row>
  </sheetData>
  <mergeCells count="62">
    <mergeCell ref="BF64:BK64"/>
    <mergeCell ref="A63:BK63"/>
    <mergeCell ref="AN64:AO64"/>
    <mergeCell ref="AR64:AS64"/>
    <mergeCell ref="AV64:AW64"/>
    <mergeCell ref="AX64:AY64"/>
    <mergeCell ref="AZ64:BE64"/>
    <mergeCell ref="R64:S64"/>
    <mergeCell ref="T64:Y64"/>
    <mergeCell ref="Z64:AE64"/>
    <mergeCell ref="AG64:AG65"/>
    <mergeCell ref="AJ64:AK64"/>
    <mergeCell ref="A64:A65"/>
    <mergeCell ref="D64:E64"/>
    <mergeCell ref="H64:I64"/>
    <mergeCell ref="L64:M64"/>
    <mergeCell ref="P64:Q64"/>
    <mergeCell ref="AJ37:AK37"/>
    <mergeCell ref="A37:A38"/>
    <mergeCell ref="D37:E37"/>
    <mergeCell ref="H37:I37"/>
    <mergeCell ref="L37:M37"/>
    <mergeCell ref="P37:Q37"/>
    <mergeCell ref="BF37:BK37"/>
    <mergeCell ref="AR9:AS9"/>
    <mergeCell ref="AV9:AW9"/>
    <mergeCell ref="BF9:BK9"/>
    <mergeCell ref="AZ9:BE9"/>
    <mergeCell ref="AX37:AY37"/>
    <mergeCell ref="AZ37:BE37"/>
    <mergeCell ref="AX9:AY9"/>
    <mergeCell ref="B35:BK35"/>
    <mergeCell ref="AN37:AO37"/>
    <mergeCell ref="AR37:AS37"/>
    <mergeCell ref="AV37:AW37"/>
    <mergeCell ref="R37:S37"/>
    <mergeCell ref="T37:Y37"/>
    <mergeCell ref="Z37:AE37"/>
    <mergeCell ref="AG37:AG38"/>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rintOptions horizontalCentered="1"/>
  <pageMargins left="0.39370078740157483" right="0.39370078740157483" top="0.39370078740157483" bottom="0.39370078740157483" header="0" footer="0"/>
  <pageSetup scale="1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view="pageBreakPreview" topLeftCell="A13" zoomScale="85" zoomScaleNormal="100" zoomScaleSheetLayoutView="85" workbookViewId="0">
      <selection activeCell="F15" sqref="F15"/>
    </sheetView>
  </sheetViews>
  <sheetFormatPr baseColWidth="10" defaultColWidth="11.42578125" defaultRowHeight="14.25" x14ac:dyDescent="0.2"/>
  <cols>
    <col min="1" max="1" width="17.85546875" style="47" customWidth="1"/>
    <col min="2" max="2" width="25.85546875" style="47" customWidth="1"/>
    <col min="3" max="4" width="20.5703125" style="47" customWidth="1"/>
    <col min="5" max="5" width="24.28515625" style="47" customWidth="1"/>
    <col min="6" max="16384" width="11.42578125" style="47"/>
  </cols>
  <sheetData>
    <row r="1" spans="1:5" s="15" customFormat="1" ht="16.5" customHeight="1" x14ac:dyDescent="0.25">
      <c r="A1" s="919"/>
      <c r="B1" s="922" t="s">
        <v>121</v>
      </c>
      <c r="C1" s="922"/>
      <c r="D1" s="922"/>
      <c r="E1" s="116" t="s">
        <v>122</v>
      </c>
    </row>
    <row r="2" spans="1:5" s="15" customFormat="1" ht="20.25" customHeight="1" x14ac:dyDescent="0.25">
      <c r="A2" s="920"/>
      <c r="B2" s="923" t="s">
        <v>123</v>
      </c>
      <c r="C2" s="923"/>
      <c r="D2" s="923"/>
      <c r="E2" s="117" t="s">
        <v>124</v>
      </c>
    </row>
    <row r="3" spans="1:5" s="15" customFormat="1" ht="30" customHeight="1" x14ac:dyDescent="0.25">
      <c r="A3" s="920"/>
      <c r="B3" s="924" t="s">
        <v>125</v>
      </c>
      <c r="C3" s="924"/>
      <c r="D3" s="924"/>
      <c r="E3" s="117" t="s">
        <v>126</v>
      </c>
    </row>
    <row r="4" spans="1:5" s="15" customFormat="1" ht="16.5" customHeight="1" thickBot="1" x14ac:dyDescent="0.3">
      <c r="A4" s="921"/>
      <c r="B4" s="614"/>
      <c r="C4" s="614"/>
      <c r="D4" s="614"/>
      <c r="E4" s="118" t="s">
        <v>379</v>
      </c>
    </row>
    <row r="5" spans="1:5" s="15" customFormat="1" ht="9" customHeight="1" thickBot="1" x14ac:dyDescent="0.25">
      <c r="A5" s="47"/>
      <c r="B5" s="47"/>
      <c r="C5" s="47"/>
      <c r="D5" s="47"/>
      <c r="E5" s="47"/>
    </row>
    <row r="6" spans="1:5" ht="14.25" customHeight="1" x14ac:dyDescent="0.2">
      <c r="A6" s="902" t="s">
        <v>380</v>
      </c>
      <c r="B6" s="599"/>
      <c r="C6" s="599"/>
      <c r="D6" s="599"/>
      <c r="E6" s="903"/>
    </row>
    <row r="7" spans="1:5" s="367" customFormat="1" ht="31.9" customHeight="1" thickBot="1" x14ac:dyDescent="0.25">
      <c r="A7" s="119" t="s">
        <v>381</v>
      </c>
      <c r="B7" s="120" t="s">
        <v>382</v>
      </c>
      <c r="C7" s="925" t="s">
        <v>383</v>
      </c>
      <c r="D7" s="925"/>
      <c r="E7" s="926"/>
    </row>
    <row r="8" spans="1:5" s="370" customFormat="1" ht="94.15" customHeight="1" x14ac:dyDescent="0.25">
      <c r="A8" s="369">
        <v>45572</v>
      </c>
      <c r="B8" s="376" t="s">
        <v>384</v>
      </c>
      <c r="C8" s="913" t="s">
        <v>385</v>
      </c>
      <c r="D8" s="914"/>
      <c r="E8" s="915"/>
    </row>
    <row r="9" spans="1:5" s="370" customFormat="1" ht="117" customHeight="1" x14ac:dyDescent="0.25">
      <c r="A9" s="369">
        <v>45572</v>
      </c>
      <c r="B9" s="376" t="s">
        <v>386</v>
      </c>
      <c r="C9" s="907" t="s">
        <v>387</v>
      </c>
      <c r="D9" s="908"/>
      <c r="E9" s="909"/>
    </row>
    <row r="10" spans="1:5" s="370" customFormat="1" ht="141.6" customHeight="1" x14ac:dyDescent="0.25">
      <c r="A10" s="369">
        <v>45572</v>
      </c>
      <c r="B10" s="376" t="s">
        <v>388</v>
      </c>
      <c r="C10" s="907" t="s">
        <v>389</v>
      </c>
      <c r="D10" s="908"/>
      <c r="E10" s="909"/>
    </row>
    <row r="11" spans="1:5" s="370" customFormat="1" ht="207" customHeight="1" x14ac:dyDescent="0.25">
      <c r="A11" s="408">
        <v>45594</v>
      </c>
      <c r="B11" s="161" t="s">
        <v>390</v>
      </c>
      <c r="C11" s="907" t="s">
        <v>391</v>
      </c>
      <c r="D11" s="908"/>
      <c r="E11" s="909"/>
    </row>
    <row r="12" spans="1:5" s="370" customFormat="1" ht="101.25" customHeight="1" x14ac:dyDescent="0.25">
      <c r="A12" s="530">
        <v>45639</v>
      </c>
      <c r="B12" s="161" t="s">
        <v>390</v>
      </c>
      <c r="C12" s="907" t="s">
        <v>392</v>
      </c>
      <c r="D12" s="908"/>
      <c r="E12" s="909"/>
    </row>
    <row r="13" spans="1:5" s="370" customFormat="1" ht="108" customHeight="1" x14ac:dyDescent="0.25">
      <c r="A13" s="530">
        <v>45647</v>
      </c>
      <c r="B13" s="161" t="s">
        <v>390</v>
      </c>
      <c r="C13" s="916" t="s">
        <v>393</v>
      </c>
      <c r="D13" s="917"/>
      <c r="E13" s="918"/>
    </row>
    <row r="14" spans="1:5" s="370" customFormat="1" ht="83.25" customHeight="1" x14ac:dyDescent="0.25">
      <c r="A14" s="530">
        <v>45653</v>
      </c>
      <c r="B14" s="161" t="s">
        <v>390</v>
      </c>
      <c r="C14" s="916" t="s">
        <v>394</v>
      </c>
      <c r="D14" s="917"/>
      <c r="E14" s="918"/>
    </row>
    <row r="15" spans="1:5" s="370" customFormat="1" x14ac:dyDescent="0.25">
      <c r="A15" s="371"/>
      <c r="B15" s="161"/>
      <c r="C15" s="907"/>
      <c r="D15" s="908"/>
      <c r="E15" s="909"/>
    </row>
    <row r="16" spans="1:5" s="27" customFormat="1" x14ac:dyDescent="0.25">
      <c r="A16" s="372"/>
      <c r="B16" s="83"/>
      <c r="C16" s="910"/>
      <c r="D16" s="911"/>
      <c r="E16" s="912"/>
    </row>
    <row r="17" spans="1:5" s="27" customFormat="1" x14ac:dyDescent="0.25">
      <c r="A17" s="372"/>
      <c r="B17" s="83"/>
      <c r="C17" s="910"/>
      <c r="D17" s="911"/>
      <c r="E17" s="912"/>
    </row>
    <row r="18" spans="1:5" s="375" customFormat="1" x14ac:dyDescent="0.2">
      <c r="A18" s="373"/>
      <c r="B18" s="374"/>
      <c r="C18" s="904"/>
      <c r="D18" s="905"/>
      <c r="E18" s="906"/>
    </row>
    <row r="19" spans="1:5" x14ac:dyDescent="0.2">
      <c r="A19" s="121"/>
      <c r="B19" s="122"/>
      <c r="C19" s="904"/>
      <c r="D19" s="905"/>
      <c r="E19" s="906"/>
    </row>
    <row r="20" spans="1:5" x14ac:dyDescent="0.2">
      <c r="A20" s="121"/>
      <c r="B20" s="122"/>
      <c r="C20" s="904"/>
      <c r="D20" s="905"/>
      <c r="E20" s="906"/>
    </row>
    <row r="21" spans="1:5" x14ac:dyDescent="0.2">
      <c r="A21" s="121"/>
      <c r="B21" s="122"/>
      <c r="C21" s="904"/>
      <c r="D21" s="905"/>
      <c r="E21" s="906"/>
    </row>
    <row r="22" spans="1:5" x14ac:dyDescent="0.2">
      <c r="A22" s="121"/>
      <c r="B22" s="122"/>
      <c r="C22" s="904"/>
      <c r="D22" s="905"/>
      <c r="E22" s="906"/>
    </row>
    <row r="23" spans="1:5" x14ac:dyDescent="0.2">
      <c r="A23" s="121"/>
      <c r="B23" s="122"/>
      <c r="C23" s="904"/>
      <c r="D23" s="905"/>
      <c r="E23" s="906"/>
    </row>
    <row r="24" spans="1:5" x14ac:dyDescent="0.2">
      <c r="A24" s="121"/>
      <c r="B24" s="122"/>
      <c r="C24" s="904"/>
      <c r="D24" s="905"/>
      <c r="E24" s="906"/>
    </row>
    <row r="25" spans="1:5" x14ac:dyDescent="0.2">
      <c r="A25" s="121"/>
      <c r="B25" s="122"/>
      <c r="C25" s="904"/>
      <c r="D25" s="905"/>
      <c r="E25" s="906"/>
    </row>
    <row r="26" spans="1:5" x14ac:dyDescent="0.2">
      <c r="A26" s="121"/>
      <c r="B26" s="122"/>
      <c r="C26" s="904"/>
      <c r="D26" s="905"/>
      <c r="E26" s="906"/>
    </row>
    <row r="27" spans="1:5" x14ac:dyDescent="0.2">
      <c r="A27" s="121"/>
      <c r="B27" s="122"/>
      <c r="C27" s="904"/>
      <c r="D27" s="905"/>
      <c r="E27" s="906"/>
    </row>
    <row r="28" spans="1:5" x14ac:dyDescent="0.2">
      <c r="A28" s="121"/>
      <c r="B28" s="122"/>
      <c r="C28" s="904"/>
      <c r="D28" s="905"/>
      <c r="E28" s="906"/>
    </row>
    <row r="29" spans="1:5" x14ac:dyDescent="0.2">
      <c r="A29" s="121"/>
      <c r="B29" s="122"/>
      <c r="C29" s="904"/>
      <c r="D29" s="905"/>
      <c r="E29" s="906"/>
    </row>
    <row r="30" spans="1:5" x14ac:dyDescent="0.2">
      <c r="A30" s="121"/>
      <c r="B30" s="122"/>
      <c r="C30" s="904"/>
      <c r="D30" s="905"/>
      <c r="E30" s="906"/>
    </row>
    <row r="31" spans="1:5" x14ac:dyDescent="0.2">
      <c r="A31" s="121"/>
      <c r="B31" s="122"/>
      <c r="C31" s="904"/>
      <c r="D31" s="905"/>
      <c r="E31" s="906"/>
    </row>
    <row r="32" spans="1:5" x14ac:dyDescent="0.2">
      <c r="A32" s="121"/>
      <c r="B32" s="122"/>
      <c r="C32" s="904"/>
      <c r="D32" s="905"/>
      <c r="E32" s="906"/>
    </row>
    <row r="33" spans="1:5" x14ac:dyDescent="0.2">
      <c r="A33" s="121"/>
      <c r="B33" s="122"/>
      <c r="C33" s="904"/>
      <c r="D33" s="905"/>
      <c r="E33" s="906"/>
    </row>
    <row r="34" spans="1:5" x14ac:dyDescent="0.2">
      <c r="A34" s="121"/>
      <c r="B34" s="122"/>
      <c r="C34" s="904"/>
      <c r="D34" s="905"/>
      <c r="E34" s="906"/>
    </row>
    <row r="35" spans="1:5" ht="15" thickBot="1" x14ac:dyDescent="0.25">
      <c r="A35" s="123"/>
      <c r="B35" s="124"/>
      <c r="C35" s="899"/>
      <c r="D35" s="900"/>
      <c r="E35" s="901"/>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scale="8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2029-884F-4957-AB53-5829DE19846F}">
  <sheetPr>
    <tabColor rgb="FFE674EC"/>
  </sheetPr>
  <dimension ref="A1:T16"/>
  <sheetViews>
    <sheetView topLeftCell="M2" workbookViewId="0">
      <selection activeCell="S11" sqref="S11"/>
    </sheetView>
  </sheetViews>
  <sheetFormatPr baseColWidth="10" defaultColWidth="10.85546875" defaultRowHeight="11.25" x14ac:dyDescent="0.25"/>
  <cols>
    <col min="1" max="1" width="3.7109375" style="132" bestFit="1" customWidth="1"/>
    <col min="2" max="2" width="42.140625" style="130" customWidth="1"/>
    <col min="3" max="3" width="14.5703125" style="133" customWidth="1"/>
    <col min="4" max="4" width="7.28515625" style="137" bestFit="1" customWidth="1"/>
    <col min="5" max="5" width="12.5703125" style="132" customWidth="1"/>
    <col min="6" max="6" width="10.85546875" style="134"/>
    <col min="7" max="7" width="11.42578125" style="130" bestFit="1" customWidth="1"/>
    <col min="8" max="8" width="10.85546875" style="159"/>
    <col min="9" max="9" width="10.85546875" style="129"/>
    <col min="10" max="11" width="11.42578125" style="129" bestFit="1" customWidth="1"/>
    <col min="12" max="12" width="8.7109375" style="177" customWidth="1"/>
    <col min="13" max="13" width="9" style="129" bestFit="1" customWidth="1"/>
    <col min="14" max="14" width="10.28515625" style="129" bestFit="1" customWidth="1"/>
    <col min="15" max="15" width="14.5703125" style="129" customWidth="1"/>
    <col min="16" max="16" width="12.85546875" style="129" customWidth="1"/>
    <col min="17" max="17" width="14.28515625" style="129" customWidth="1"/>
    <col min="18" max="18" width="15.42578125" style="129" customWidth="1"/>
    <col min="19" max="19" width="10.85546875" style="129"/>
    <col min="20" max="20" width="11.42578125" style="129" bestFit="1" customWidth="1"/>
    <col min="21" max="16384" width="10.85546875" style="129"/>
  </cols>
  <sheetData>
    <row r="1" spans="1:20" s="131" customFormat="1" ht="33.75" x14ac:dyDescent="0.25">
      <c r="A1" s="927" t="s">
        <v>395</v>
      </c>
      <c r="B1" s="927"/>
      <c r="C1" s="403" t="s">
        <v>396</v>
      </c>
      <c r="D1" s="136" t="s">
        <v>397</v>
      </c>
      <c r="E1" s="402" t="s">
        <v>398</v>
      </c>
      <c r="F1" s="135" t="s">
        <v>399</v>
      </c>
      <c r="G1" s="132"/>
      <c r="H1" s="159"/>
      <c r="J1" s="173" t="s">
        <v>400</v>
      </c>
      <c r="K1" s="173" t="s">
        <v>401</v>
      </c>
      <c r="L1" s="179" t="s">
        <v>402</v>
      </c>
      <c r="M1" s="174" t="s">
        <v>403</v>
      </c>
      <c r="N1" s="174" t="s">
        <v>404</v>
      </c>
      <c r="O1" s="276" t="s">
        <v>405</v>
      </c>
      <c r="P1" s="276" t="s">
        <v>406</v>
      </c>
      <c r="Q1" s="174" t="s">
        <v>407</v>
      </c>
      <c r="R1" s="174" t="s">
        <v>408</v>
      </c>
    </row>
    <row r="2" spans="1:20" ht="67.5" x14ac:dyDescent="0.25">
      <c r="A2" s="130">
        <v>1</v>
      </c>
      <c r="B2" s="133" t="str">
        <f>+Meta.1!C17</f>
        <v xml:space="preserve">Formular 9 acciones de transformación cultural que promuevan y garanticen el libre ejercicio de los derechos de las mujeres y la equidad de género a través de mecanismos de cambio cultural y comportamental desarrollados con las comunidades. (Producto MGA - Documento de lineamientos Técnicos) </v>
      </c>
      <c r="C2" s="133">
        <f>+Meta.1!AC22</f>
        <v>60524345</v>
      </c>
      <c r="D2" s="137">
        <f>+C2/$C$6</f>
        <v>9.9803792113533601E-2</v>
      </c>
      <c r="E2" s="133" t="s">
        <v>409</v>
      </c>
      <c r="F2" s="134">
        <v>1</v>
      </c>
      <c r="G2" s="175">
        <f>+Meta.1!AC23</f>
        <v>60524345</v>
      </c>
      <c r="H2" s="160">
        <f>+Meta.1!B35</f>
        <v>0.1</v>
      </c>
      <c r="J2" s="175">
        <f>+Meta.1!X22</f>
        <v>55697250</v>
      </c>
      <c r="K2" s="175">
        <f>+Meta.1!X23</f>
        <v>55697250</v>
      </c>
      <c r="L2" s="176">
        <f>+K2/J2</f>
        <v>1</v>
      </c>
      <c r="M2" s="175">
        <f>+Meta.1!X24</f>
        <v>0</v>
      </c>
      <c r="N2" s="175">
        <f>+Meta.1!X25</f>
        <v>0</v>
      </c>
      <c r="O2" s="175">
        <f>+Meta.1!Y24</f>
        <v>11139450</v>
      </c>
      <c r="P2" s="175">
        <f>+Meta.1!Y25</f>
        <v>9654190</v>
      </c>
      <c r="Q2" s="175">
        <f>Meta.1!Z24</f>
        <v>11139450</v>
      </c>
      <c r="R2" s="175">
        <f>Meta.1!Z25</f>
        <v>11139450</v>
      </c>
      <c r="T2" s="178">
        <f>N2+P2+R2</f>
        <v>20793640</v>
      </c>
    </row>
    <row r="3" spans="1:20" ht="45" x14ac:dyDescent="0.25">
      <c r="A3" s="130">
        <v>3</v>
      </c>
      <c r="B3" s="133" t="str">
        <f>+Meta.3!C17</f>
        <v>Implementar 3 acciones de transformación cultural que promuevan la redistribución equitativa de las labores del cuidado en Bogotá. (Producto MGA - Servicio de promoción de la garantía de derechos)</v>
      </c>
      <c r="C3" s="133">
        <f>+Meta.3!AC22</f>
        <v>410109087</v>
      </c>
      <c r="D3" s="137">
        <f>+C3/$C$6</f>
        <v>0.67626410600261877</v>
      </c>
      <c r="E3" s="133" t="s">
        <v>410</v>
      </c>
      <c r="F3" s="134">
        <v>1</v>
      </c>
      <c r="G3" s="175">
        <f>+Meta.3!AC23</f>
        <v>409973857</v>
      </c>
      <c r="H3" s="160">
        <f>+Meta.3!B35</f>
        <v>0.69</v>
      </c>
      <c r="J3" s="175">
        <f>+Meta.3!X22</f>
        <v>354757112</v>
      </c>
      <c r="K3" s="175">
        <f>+Meta.3!X23</f>
        <v>334634016</v>
      </c>
      <c r="L3" s="176">
        <f>+K3/J3</f>
        <v>0.94327641273615959</v>
      </c>
      <c r="M3" s="175">
        <f>+Meta.3!X24</f>
        <v>0</v>
      </c>
      <c r="N3" s="175">
        <f>+Meta.3!X25</f>
        <v>0</v>
      </c>
      <c r="O3" s="175">
        <f>+Meta.3!Y24</f>
        <v>53369312</v>
      </c>
      <c r="P3" s="175">
        <f>+Meta.3!Y25</f>
        <v>32741317</v>
      </c>
      <c r="Q3" s="175">
        <f>Meta.3!Z24</f>
        <v>75346950</v>
      </c>
      <c r="R3" s="175">
        <f>Meta.3!Z25</f>
        <v>65846950</v>
      </c>
      <c r="T3" s="178">
        <f>N3+P3+R3</f>
        <v>98588267</v>
      </c>
    </row>
    <row r="4" spans="1:20" ht="45" x14ac:dyDescent="0.25">
      <c r="A4" s="130">
        <v>4</v>
      </c>
      <c r="B4" s="133" t="str">
        <f>+Meta.4!C17</f>
        <v>Desarrollar 3 acciones de transformación cultural efectivas para prevenir las violencias contra las mujeres, incluyendo campañas educativas. (Producto MGA - Servicio de promoción de la garantía de derechos)</v>
      </c>
      <c r="C4" s="133">
        <f>+Meta.4!AC22</f>
        <v>69335211</v>
      </c>
      <c r="D4" s="137">
        <v>0.12</v>
      </c>
      <c r="E4" s="133" t="s">
        <v>410</v>
      </c>
      <c r="F4" s="134">
        <v>1</v>
      </c>
      <c r="G4" s="175">
        <f>+Meta.4!AC23</f>
        <v>69335211</v>
      </c>
      <c r="H4" s="160">
        <f>+Meta.4!B35</f>
        <v>0.12</v>
      </c>
      <c r="J4" s="175">
        <f>+Meta.4!X22</f>
        <v>72277053</v>
      </c>
      <c r="K4" s="175">
        <f>+Meta.4!X23</f>
        <v>72277052</v>
      </c>
      <c r="L4" s="176">
        <f>+K4/J4</f>
        <v>0.99999998616435015</v>
      </c>
      <c r="M4" s="175">
        <f>+Meta.4!X24</f>
        <v>0</v>
      </c>
      <c r="N4" s="175">
        <f>+Meta.4!X25</f>
        <v>0</v>
      </c>
      <c r="O4" s="175">
        <f>+Meta.4!Y24</f>
        <v>10144853</v>
      </c>
      <c r="P4" s="175">
        <f>+Meta.4!Y25</f>
        <v>7203016</v>
      </c>
      <c r="Q4" s="175">
        <f>Meta.4!Z24</f>
        <v>15533050</v>
      </c>
      <c r="R4" s="175">
        <f>Meta.4!Z25</f>
        <v>15533050</v>
      </c>
      <c r="T4" s="178">
        <f>N4+P4+R4</f>
        <v>22736066</v>
      </c>
    </row>
    <row r="5" spans="1:20" ht="67.5" x14ac:dyDescent="0.25">
      <c r="A5" s="130">
        <v>5</v>
      </c>
      <c r="B5" s="133" t="str">
        <f>+Meta.5!C17</f>
        <v>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v>
      </c>
      <c r="C5" s="133">
        <f>+Meta.5!AC22</f>
        <v>66464677</v>
      </c>
      <c r="D5" s="137">
        <f>+C5/$C$6</f>
        <v>0.10959931588191757</v>
      </c>
      <c r="E5" s="133" t="s">
        <v>410</v>
      </c>
      <c r="F5" s="134">
        <v>1</v>
      </c>
      <c r="G5" s="175">
        <f>+Meta.5!AC23</f>
        <v>64009844</v>
      </c>
      <c r="H5" s="160">
        <f>+Meta.5!B35</f>
        <v>0.09</v>
      </c>
      <c r="J5" s="175">
        <f>+Meta.5!X22</f>
        <v>44919333</v>
      </c>
      <c r="K5" s="175">
        <f>+Meta.5!X23</f>
        <v>51325000</v>
      </c>
      <c r="L5" s="176">
        <f>+K5/J5</f>
        <v>1.1426037871043186</v>
      </c>
      <c r="M5" s="175">
        <f>+Meta.5!X24</f>
        <v>0</v>
      </c>
      <c r="N5" s="175">
        <f>+Meta.5!X25</f>
        <v>0</v>
      </c>
      <c r="O5" s="175">
        <f>+Meta.5!Y24</f>
        <v>3455333</v>
      </c>
      <c r="P5" s="175">
        <f>+Meta.5!Y25</f>
        <v>7098467</v>
      </c>
      <c r="Q5" s="175">
        <f>Meta.5!Z24</f>
        <v>10366000</v>
      </c>
      <c r="R5" s="175">
        <f>Meta.5!Z25</f>
        <v>10366000</v>
      </c>
      <c r="T5" s="178">
        <f>N5+P5+R5</f>
        <v>17464467</v>
      </c>
    </row>
    <row r="6" spans="1:20" x14ac:dyDescent="0.25">
      <c r="A6" s="130"/>
      <c r="B6" s="404" t="s">
        <v>411</v>
      </c>
      <c r="C6" s="180">
        <f>+C2+C3+C4+C5</f>
        <v>606433320</v>
      </c>
      <c r="E6" s="130"/>
      <c r="G6" s="180">
        <f>+G2+G3+G4+G5</f>
        <v>603843257</v>
      </c>
      <c r="H6" s="160">
        <f>SUM(H2:H5)</f>
        <v>0.99999999999999989</v>
      </c>
      <c r="J6" s="178">
        <f>SUM(J2:J5)</f>
        <v>527650748</v>
      </c>
      <c r="M6" s="178">
        <f t="shared" ref="M6:R6" si="0">SUM(M2:M5)</f>
        <v>0</v>
      </c>
      <c r="N6" s="178">
        <f t="shared" si="0"/>
        <v>0</v>
      </c>
      <c r="O6" s="178">
        <f t="shared" si="0"/>
        <v>78108948</v>
      </c>
      <c r="P6" s="178">
        <f t="shared" si="0"/>
        <v>56696990</v>
      </c>
      <c r="Q6" s="178">
        <f t="shared" si="0"/>
        <v>112385450</v>
      </c>
      <c r="R6" s="178">
        <f t="shared" si="0"/>
        <v>102885450</v>
      </c>
      <c r="T6" s="178">
        <f>SUM(T2:T5)</f>
        <v>159582440</v>
      </c>
    </row>
    <row r="7" spans="1:20" x14ac:dyDescent="0.25">
      <c r="J7" s="176">
        <f>+J6/C6</f>
        <v>0.87008864882292414</v>
      </c>
      <c r="N7" s="277">
        <v>0</v>
      </c>
      <c r="P7" s="277">
        <f>+P6/O6</f>
        <v>0.72587061344111303</v>
      </c>
      <c r="R7" s="277">
        <f>+R6/Q6</f>
        <v>0.91546948470642775</v>
      </c>
    </row>
    <row r="9" spans="1:20" x14ac:dyDescent="0.25">
      <c r="J9" s="178"/>
      <c r="K9" s="176"/>
      <c r="P9" s="277"/>
    </row>
    <row r="10" spans="1:20" ht="14.45" customHeight="1" x14ac:dyDescent="0.25">
      <c r="A10" s="930" t="s">
        <v>412</v>
      </c>
      <c r="B10" s="930"/>
      <c r="C10" s="930"/>
      <c r="D10" s="930"/>
      <c r="E10" s="930"/>
      <c r="F10" s="930"/>
      <c r="J10" s="178"/>
      <c r="K10" s="176"/>
    </row>
    <row r="11" spans="1:20" ht="22.5" x14ac:dyDescent="0.25">
      <c r="A11" s="928" t="s">
        <v>395</v>
      </c>
      <c r="B11" s="928"/>
      <c r="C11" s="403" t="s">
        <v>413</v>
      </c>
      <c r="D11" s="136" t="s">
        <v>397</v>
      </c>
      <c r="E11" s="402" t="s">
        <v>398</v>
      </c>
      <c r="F11" s="135" t="s">
        <v>399</v>
      </c>
      <c r="J11" s="178"/>
      <c r="K11" s="176"/>
    </row>
    <row r="12" spans="1:20" ht="67.5" x14ac:dyDescent="0.25">
      <c r="A12" s="130">
        <v>1</v>
      </c>
      <c r="B12" s="133" t="s">
        <v>137</v>
      </c>
      <c r="C12" s="133">
        <v>55697250</v>
      </c>
      <c r="D12" s="137">
        <v>9.7107618532621884E-2</v>
      </c>
      <c r="E12" s="133" t="s">
        <v>409</v>
      </c>
      <c r="F12" s="134">
        <v>1</v>
      </c>
    </row>
    <row r="13" spans="1:20" ht="45" x14ac:dyDescent="0.25">
      <c r="A13" s="130">
        <v>3</v>
      </c>
      <c r="B13" s="133" t="s">
        <v>198</v>
      </c>
      <c r="C13" s="133">
        <v>394017354</v>
      </c>
      <c r="D13" s="137">
        <v>0.68696545893136618</v>
      </c>
      <c r="E13" s="133" t="s">
        <v>410</v>
      </c>
      <c r="F13" s="134">
        <v>1</v>
      </c>
    </row>
    <row r="14" spans="1:20" ht="45" x14ac:dyDescent="0.25">
      <c r="A14" s="130">
        <v>4</v>
      </c>
      <c r="B14" s="133" t="s">
        <v>220</v>
      </c>
      <c r="C14" s="133">
        <v>72522500</v>
      </c>
      <c r="D14" s="137">
        <v>0.12</v>
      </c>
      <c r="E14" s="133" t="s">
        <v>410</v>
      </c>
      <c r="F14" s="134">
        <v>1</v>
      </c>
    </row>
    <row r="15" spans="1:20" ht="67.5" x14ac:dyDescent="0.25">
      <c r="A15" s="130">
        <v>5</v>
      </c>
      <c r="B15" s="133" t="s">
        <v>235</v>
      </c>
      <c r="C15" s="133">
        <v>51325000</v>
      </c>
      <c r="D15" s="137">
        <v>8.9484642799901579E-2</v>
      </c>
      <c r="E15" s="133" t="s">
        <v>410</v>
      </c>
      <c r="F15" s="134">
        <v>1</v>
      </c>
    </row>
    <row r="16" spans="1:20" x14ac:dyDescent="0.25">
      <c r="A16" s="929" t="s">
        <v>411</v>
      </c>
      <c r="B16" s="929"/>
      <c r="C16" s="180">
        <v>573562104</v>
      </c>
      <c r="E16" s="130"/>
    </row>
  </sheetData>
  <mergeCells count="4">
    <mergeCell ref="A1:B1"/>
    <mergeCell ref="A11:B11"/>
    <mergeCell ref="A16:B16"/>
    <mergeCell ref="A10:F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B913-A084-405F-B978-0AC1BF5D97DB}">
  <sheetPr>
    <tabColor rgb="FF00B050"/>
  </sheetPr>
  <dimension ref="A1:CC108"/>
  <sheetViews>
    <sheetView showGridLines="0" topLeftCell="BR1" zoomScale="70" zoomScaleNormal="70" workbookViewId="0">
      <selection activeCell="CD11" sqref="CD11"/>
    </sheetView>
  </sheetViews>
  <sheetFormatPr baseColWidth="10" defaultColWidth="8.85546875" defaultRowHeight="12.75" x14ac:dyDescent="0.25"/>
  <cols>
    <col min="1" max="9" width="8.85546875" style="311"/>
    <col min="10" max="31" width="8.85546875" style="311" customWidth="1"/>
    <col min="32" max="32" width="8.85546875" style="311"/>
    <col min="33" max="33" width="12.7109375" style="311" customWidth="1"/>
    <col min="34" max="34" width="13.42578125" style="311" bestFit="1" customWidth="1"/>
    <col min="35" max="35" width="8.85546875" style="311"/>
    <col min="36" max="36" width="11.42578125" style="311" customWidth="1"/>
    <col min="37" max="37" width="17.140625" style="311" bestFit="1" customWidth="1"/>
    <col min="38" max="38" width="14.28515625" style="311" bestFit="1" customWidth="1"/>
    <col min="39" max="44" width="8.85546875" style="311" customWidth="1"/>
    <col min="45" max="45" width="13.85546875" style="311" customWidth="1"/>
    <col min="46" max="47" width="10.42578125" style="311" customWidth="1"/>
    <col min="48" max="48" width="8.85546875" style="311" customWidth="1"/>
    <col min="49" max="58" width="12.7109375" style="311" customWidth="1"/>
    <col min="59" max="59" width="13.28515625" style="311" customWidth="1"/>
    <col min="60" max="60" width="11.28515625" style="311" customWidth="1"/>
    <col min="61" max="61" width="11.85546875" style="311" customWidth="1"/>
    <col min="62" max="62" width="15.28515625" style="313" bestFit="1" customWidth="1"/>
    <col min="63" max="63" width="8.85546875" style="313"/>
    <col min="64" max="64" width="12" style="313" bestFit="1" customWidth="1"/>
    <col min="65" max="65" width="10.85546875" style="313" bestFit="1" customWidth="1"/>
    <col min="66" max="66" width="11.28515625" style="313" customWidth="1"/>
    <col min="67" max="67" width="43.42578125" style="311" bestFit="1" customWidth="1"/>
    <col min="68" max="68" width="13.42578125" style="311" bestFit="1" customWidth="1"/>
    <col min="69" max="69" width="11.5703125" style="311" bestFit="1" customWidth="1"/>
    <col min="70" max="70" width="13.140625" style="325" bestFit="1" customWidth="1"/>
    <col min="71" max="71" width="13.5703125" style="325" bestFit="1" customWidth="1"/>
    <col min="72" max="72" width="12.28515625" style="325" bestFit="1" customWidth="1"/>
    <col min="73" max="73" width="10.140625" style="325" bestFit="1" customWidth="1"/>
    <col min="74" max="74" width="10.42578125" style="325" bestFit="1" customWidth="1"/>
    <col min="75" max="75" width="9.7109375" style="311" bestFit="1" customWidth="1"/>
    <col min="76" max="76" width="10.5703125" style="311" bestFit="1" customWidth="1"/>
    <col min="77" max="77" width="9.140625" style="311" bestFit="1" customWidth="1"/>
    <col min="78" max="78" width="11.5703125" style="311" bestFit="1" customWidth="1"/>
    <col min="79" max="80" width="11.28515625" style="311" bestFit="1" customWidth="1"/>
    <col min="81" max="81" width="10.28515625" style="311" bestFit="1" customWidth="1"/>
    <col min="82" max="16384" width="8.85546875" style="311"/>
  </cols>
  <sheetData>
    <row r="1" spans="1:80" s="292" customFormat="1" ht="48.75" thickBot="1" x14ac:dyDescent="0.3">
      <c r="A1" s="278" t="s">
        <v>414</v>
      </c>
      <c r="B1" s="278" t="s">
        <v>415</v>
      </c>
      <c r="C1" s="278" t="s">
        <v>416</v>
      </c>
      <c r="D1" s="278" t="s">
        <v>417</v>
      </c>
      <c r="E1" s="278" t="s">
        <v>418</v>
      </c>
      <c r="F1" s="278" t="s">
        <v>419</v>
      </c>
      <c r="G1" s="279" t="s">
        <v>420</v>
      </c>
      <c r="H1" s="278" t="s">
        <v>421</v>
      </c>
      <c r="I1" s="280" t="s">
        <v>422</v>
      </c>
      <c r="J1" s="278" t="s">
        <v>416</v>
      </c>
      <c r="K1" s="278" t="s">
        <v>417</v>
      </c>
      <c r="L1" s="278" t="s">
        <v>423</v>
      </c>
      <c r="M1" s="278" t="s">
        <v>424</v>
      </c>
      <c r="N1" s="278" t="s">
        <v>425</v>
      </c>
      <c r="O1" s="278" t="s">
        <v>426</v>
      </c>
      <c r="P1" s="278" t="s">
        <v>427</v>
      </c>
      <c r="Q1" s="278" t="s">
        <v>428</v>
      </c>
      <c r="R1" s="281" t="s">
        <v>429</v>
      </c>
      <c r="S1" s="278" t="s">
        <v>430</v>
      </c>
      <c r="T1" s="278" t="s">
        <v>431</v>
      </c>
      <c r="U1" s="278" t="s">
        <v>432</v>
      </c>
      <c r="V1" s="278" t="s">
        <v>433</v>
      </c>
      <c r="W1" s="278" t="s">
        <v>434</v>
      </c>
      <c r="X1" s="281" t="s">
        <v>435</v>
      </c>
      <c r="Y1" s="278" t="s">
        <v>436</v>
      </c>
      <c r="Z1" s="278" t="s">
        <v>437</v>
      </c>
      <c r="AA1" s="279" t="s">
        <v>438</v>
      </c>
      <c r="AB1" s="278" t="s">
        <v>439</v>
      </c>
      <c r="AC1" s="278" t="s">
        <v>440</v>
      </c>
      <c r="AD1" s="279" t="s">
        <v>441</v>
      </c>
      <c r="AE1" s="279" t="s">
        <v>442</v>
      </c>
      <c r="AF1" s="278" t="s">
        <v>443</v>
      </c>
      <c r="AG1" s="278" t="s">
        <v>444</v>
      </c>
      <c r="AH1" s="278" t="s">
        <v>445</v>
      </c>
      <c r="AI1" s="278" t="s">
        <v>446</v>
      </c>
      <c r="AJ1" s="278" t="s">
        <v>447</v>
      </c>
      <c r="AK1" s="278" t="s">
        <v>448</v>
      </c>
      <c r="AL1" s="281" t="s">
        <v>449</v>
      </c>
      <c r="AM1" s="278" t="s">
        <v>450</v>
      </c>
      <c r="AN1" s="279" t="s">
        <v>451</v>
      </c>
      <c r="AO1" s="278" t="s">
        <v>452</v>
      </c>
      <c r="AP1" s="279" t="s">
        <v>453</v>
      </c>
      <c r="AQ1" s="282" t="s">
        <v>454</v>
      </c>
      <c r="AR1" s="283" t="s">
        <v>455</v>
      </c>
      <c r="AS1" s="284" t="s">
        <v>456</v>
      </c>
      <c r="AT1" s="285" t="s">
        <v>457</v>
      </c>
      <c r="AU1" s="285" t="s">
        <v>458</v>
      </c>
      <c r="AV1" s="286" t="s">
        <v>459</v>
      </c>
      <c r="AW1" s="287" t="s">
        <v>460</v>
      </c>
      <c r="AX1" s="288" t="s">
        <v>461</v>
      </c>
      <c r="AY1" s="287" t="s">
        <v>462</v>
      </c>
      <c r="AZ1" s="288" t="s">
        <v>463</v>
      </c>
      <c r="BA1" s="287" t="s">
        <v>464</v>
      </c>
      <c r="BB1" s="288" t="s">
        <v>465</v>
      </c>
      <c r="BC1" s="287" t="s">
        <v>466</v>
      </c>
      <c r="BD1" s="288" t="s">
        <v>467</v>
      </c>
      <c r="BE1" s="289" t="s">
        <v>468</v>
      </c>
      <c r="BF1" s="288" t="s">
        <v>469</v>
      </c>
      <c r="BG1" s="290" t="s">
        <v>470</v>
      </c>
      <c r="BH1" s="291" t="s">
        <v>471</v>
      </c>
      <c r="BI1" s="307"/>
      <c r="BJ1" s="293" t="s">
        <v>472</v>
      </c>
      <c r="BK1" s="293" t="s">
        <v>473</v>
      </c>
      <c r="BL1" s="293" t="s">
        <v>474</v>
      </c>
      <c r="BM1" s="293" t="s">
        <v>475</v>
      </c>
      <c r="BN1" s="293" t="s">
        <v>476</v>
      </c>
      <c r="BR1" s="294" t="s">
        <v>472</v>
      </c>
      <c r="BS1" s="294" t="s">
        <v>473</v>
      </c>
      <c r="BT1" s="294" t="s">
        <v>474</v>
      </c>
      <c r="BU1" s="294" t="s">
        <v>475</v>
      </c>
      <c r="BV1" s="294" t="s">
        <v>476</v>
      </c>
      <c r="BX1" s="294" t="s">
        <v>472</v>
      </c>
      <c r="BY1" s="294" t="s">
        <v>473</v>
      </c>
      <c r="BZ1" s="294" t="s">
        <v>474</v>
      </c>
      <c r="CA1" s="294" t="s">
        <v>475</v>
      </c>
      <c r="CB1" s="294" t="s">
        <v>476</v>
      </c>
    </row>
    <row r="2" spans="1:80" s="295" customFormat="1" ht="12" x14ac:dyDescent="0.25">
      <c r="A2" s="295">
        <v>2024</v>
      </c>
      <c r="B2" s="295">
        <v>7</v>
      </c>
      <c r="C2" s="296">
        <v>45292</v>
      </c>
      <c r="D2" s="296">
        <v>45535</v>
      </c>
      <c r="E2" s="295" t="s">
        <v>477</v>
      </c>
      <c r="F2" s="296">
        <v>45504</v>
      </c>
      <c r="G2" s="295" t="s">
        <v>478</v>
      </c>
      <c r="H2" s="295" t="s">
        <v>479</v>
      </c>
      <c r="I2" s="295" t="s">
        <v>480</v>
      </c>
      <c r="J2" s="296">
        <v>45498</v>
      </c>
      <c r="K2" s="296">
        <v>45657</v>
      </c>
      <c r="L2" s="295" t="s">
        <v>481</v>
      </c>
      <c r="M2" s="295" t="s">
        <v>482</v>
      </c>
      <c r="N2" s="295" t="s">
        <v>483</v>
      </c>
      <c r="O2" s="295">
        <v>1171</v>
      </c>
      <c r="P2" s="295">
        <v>1289</v>
      </c>
      <c r="Q2" s="295" t="s">
        <v>484</v>
      </c>
      <c r="R2" s="295" t="s">
        <v>485</v>
      </c>
      <c r="S2" s="295" t="s">
        <v>486</v>
      </c>
      <c r="T2" s="295" t="s">
        <v>487</v>
      </c>
      <c r="U2" s="295" t="s">
        <v>488</v>
      </c>
      <c r="V2" s="295" t="s">
        <v>489</v>
      </c>
      <c r="W2" s="295" t="s">
        <v>490</v>
      </c>
      <c r="X2" s="295" t="s">
        <v>491</v>
      </c>
      <c r="Y2" s="295" t="s">
        <v>492</v>
      </c>
      <c r="Z2" s="295" t="s">
        <v>493</v>
      </c>
      <c r="AA2" s="295" t="s">
        <v>494</v>
      </c>
      <c r="AB2" s="295" t="s">
        <v>495</v>
      </c>
      <c r="AC2" s="295" t="s">
        <v>496</v>
      </c>
      <c r="AD2" s="295" t="s">
        <v>497</v>
      </c>
      <c r="AE2" s="295" t="s">
        <v>498</v>
      </c>
      <c r="AF2" s="295" t="s">
        <v>499</v>
      </c>
      <c r="AG2" s="409">
        <v>27376904</v>
      </c>
      <c r="AH2" s="409">
        <v>0</v>
      </c>
      <c r="AI2" s="409">
        <v>0</v>
      </c>
      <c r="AJ2" s="409">
        <v>27376904</v>
      </c>
      <c r="AK2" s="409">
        <v>0</v>
      </c>
      <c r="AL2" s="409">
        <v>27376904</v>
      </c>
      <c r="AM2" s="295">
        <v>5000717080</v>
      </c>
      <c r="AN2" s="295">
        <v>1</v>
      </c>
      <c r="AO2" s="295">
        <v>587548</v>
      </c>
      <c r="AP2" s="295">
        <v>3</v>
      </c>
      <c r="AQ2" s="296">
        <v>45504</v>
      </c>
      <c r="AR2" s="298">
        <v>8198</v>
      </c>
      <c r="AS2" s="299"/>
      <c r="AT2" s="300"/>
      <c r="AU2" s="300"/>
      <c r="AV2" s="301" t="s">
        <v>500</v>
      </c>
      <c r="AW2" s="302">
        <v>0</v>
      </c>
      <c r="AX2" s="297">
        <v>0</v>
      </c>
      <c r="AY2" s="302">
        <v>9538946</v>
      </c>
      <c r="AZ2" s="302"/>
      <c r="BA2" s="302">
        <v>4052000</v>
      </c>
      <c r="BB2" s="302"/>
      <c r="BC2" s="302">
        <v>4052000</v>
      </c>
      <c r="BD2" s="302"/>
      <c r="BE2" s="302">
        <v>9733958</v>
      </c>
      <c r="BF2" s="303"/>
      <c r="BG2" s="410">
        <f>AH2</f>
        <v>0</v>
      </c>
      <c r="BH2" s="305">
        <f>AG2-SUM(AW2+AY2+BA2+BC2+BE2+BG2)</f>
        <v>0</v>
      </c>
      <c r="BI2" s="307">
        <v>0</v>
      </c>
      <c r="BJ2" s="306">
        <v>0</v>
      </c>
      <c r="BK2" s="306">
        <v>0</v>
      </c>
      <c r="BL2" s="307">
        <f>+AG2</f>
        <v>27376904</v>
      </c>
      <c r="BM2" s="306">
        <v>0</v>
      </c>
      <c r="BN2" s="306">
        <v>0</v>
      </c>
      <c r="BO2" s="411"/>
      <c r="BP2" s="308"/>
      <c r="BQ2" s="309"/>
      <c r="BR2" s="310">
        <v>0</v>
      </c>
      <c r="BS2" s="310">
        <v>0</v>
      </c>
      <c r="BT2" s="310">
        <f>+AX2</f>
        <v>0</v>
      </c>
      <c r="BU2" s="310">
        <v>0</v>
      </c>
      <c r="BV2" s="310">
        <v>0</v>
      </c>
      <c r="BW2" s="310"/>
      <c r="BX2" s="310">
        <v>0</v>
      </c>
      <c r="BY2" s="310">
        <v>0</v>
      </c>
      <c r="BZ2" s="310">
        <f>+BD2</f>
        <v>0</v>
      </c>
      <c r="CA2" s="310">
        <v>0</v>
      </c>
      <c r="CB2" s="310">
        <v>0</v>
      </c>
    </row>
    <row r="3" spans="1:80" s="295" customFormat="1" ht="12" x14ac:dyDescent="0.25">
      <c r="A3" s="295">
        <v>2024</v>
      </c>
      <c r="B3" s="295">
        <v>7</v>
      </c>
      <c r="C3" s="296">
        <v>45292</v>
      </c>
      <c r="D3" s="296">
        <v>45535</v>
      </c>
      <c r="E3" s="295" t="s">
        <v>477</v>
      </c>
      <c r="F3" s="296">
        <v>45504</v>
      </c>
      <c r="G3" s="295" t="s">
        <v>478</v>
      </c>
      <c r="H3" s="295" t="s">
        <v>479</v>
      </c>
      <c r="I3" s="295" t="s">
        <v>480</v>
      </c>
      <c r="J3" s="296">
        <v>45498</v>
      </c>
      <c r="K3" s="296">
        <v>45657</v>
      </c>
      <c r="L3" s="295" t="s">
        <v>481</v>
      </c>
      <c r="M3" s="295" t="s">
        <v>482</v>
      </c>
      <c r="N3" s="295" t="s">
        <v>483</v>
      </c>
      <c r="O3" s="295">
        <v>1171</v>
      </c>
      <c r="P3" s="295">
        <v>1289</v>
      </c>
      <c r="Q3" s="295" t="s">
        <v>484</v>
      </c>
      <c r="R3" s="295" t="s">
        <v>485</v>
      </c>
      <c r="S3" s="295" t="s">
        <v>486</v>
      </c>
      <c r="T3" s="295" t="s">
        <v>487</v>
      </c>
      <c r="U3" s="295" t="s">
        <v>488</v>
      </c>
      <c r="V3" s="295" t="s">
        <v>501</v>
      </c>
      <c r="W3" s="295" t="s">
        <v>490</v>
      </c>
      <c r="X3" s="295" t="s">
        <v>491</v>
      </c>
      <c r="Y3" s="295" t="s">
        <v>492</v>
      </c>
      <c r="Z3" s="295" t="s">
        <v>493</v>
      </c>
      <c r="AA3" s="295" t="s">
        <v>494</v>
      </c>
      <c r="AB3" s="295" t="s">
        <v>495</v>
      </c>
      <c r="AC3" s="295" t="s">
        <v>496</v>
      </c>
      <c r="AD3" s="295" t="s">
        <v>497</v>
      </c>
      <c r="AE3" s="295" t="s">
        <v>498</v>
      </c>
      <c r="AF3" s="295" t="s">
        <v>499</v>
      </c>
      <c r="AG3" s="409">
        <v>6405667</v>
      </c>
      <c r="AH3" s="409">
        <v>0</v>
      </c>
      <c r="AI3" s="409">
        <v>0</v>
      </c>
      <c r="AJ3" s="409">
        <v>6405667</v>
      </c>
      <c r="AK3" s="409">
        <v>0</v>
      </c>
      <c r="AL3" s="409">
        <v>6405667</v>
      </c>
      <c r="AM3" s="295">
        <v>5000717080</v>
      </c>
      <c r="AN3" s="295">
        <v>2</v>
      </c>
      <c r="AO3" s="295">
        <v>587548</v>
      </c>
      <c r="AP3" s="295">
        <v>4</v>
      </c>
      <c r="AQ3" s="296">
        <v>45504</v>
      </c>
      <c r="AR3" s="298">
        <v>8198</v>
      </c>
      <c r="AS3" s="299"/>
      <c r="AT3" s="300"/>
      <c r="AU3" s="300"/>
      <c r="AV3" s="301" t="s">
        <v>500</v>
      </c>
      <c r="AW3" s="302">
        <v>0</v>
      </c>
      <c r="AX3" s="297">
        <v>0</v>
      </c>
      <c r="AY3" s="302">
        <v>0</v>
      </c>
      <c r="AZ3" s="302"/>
      <c r="BA3" s="302">
        <v>948000</v>
      </c>
      <c r="BB3" s="302"/>
      <c r="BC3" s="302">
        <v>948000</v>
      </c>
      <c r="BD3" s="302"/>
      <c r="BE3" s="302">
        <v>4509667</v>
      </c>
      <c r="BF3" s="303"/>
      <c r="BG3" s="410">
        <f t="shared" ref="BG3:BG29" si="0">AH3</f>
        <v>0</v>
      </c>
      <c r="BH3" s="305">
        <f t="shared" ref="BH3:BH30" si="1">AG3-SUM(AW3+AY3+BA3+BC3+BE3+BG3)</f>
        <v>0</v>
      </c>
      <c r="BI3" s="307">
        <v>0</v>
      </c>
      <c r="BJ3" s="306">
        <v>0</v>
      </c>
      <c r="BK3" s="306">
        <v>0</v>
      </c>
      <c r="BL3" s="306">
        <v>0</v>
      </c>
      <c r="BM3" s="306">
        <v>0</v>
      </c>
      <c r="BN3" s="307">
        <f>+AG3</f>
        <v>6405667</v>
      </c>
      <c r="BP3" s="308"/>
      <c r="BQ3" s="309"/>
      <c r="BR3" s="310">
        <v>0</v>
      </c>
      <c r="BS3" s="310">
        <v>0</v>
      </c>
      <c r="BT3" s="310">
        <v>0</v>
      </c>
      <c r="BU3" s="310">
        <v>0</v>
      </c>
      <c r="BV3" s="310">
        <f>+AX3</f>
        <v>0</v>
      </c>
      <c r="BW3" s="310"/>
      <c r="BX3" s="310">
        <v>0</v>
      </c>
      <c r="BY3" s="310">
        <v>0</v>
      </c>
      <c r="BZ3" s="310">
        <v>0</v>
      </c>
      <c r="CA3" s="310">
        <v>0</v>
      </c>
      <c r="CB3" s="310">
        <f>+BD3</f>
        <v>0</v>
      </c>
    </row>
    <row r="4" spans="1:80" s="295" customFormat="1" x14ac:dyDescent="0.25">
      <c r="A4" s="295">
        <v>2024</v>
      </c>
      <c r="B4" s="295">
        <v>8</v>
      </c>
      <c r="C4" s="296">
        <v>45292</v>
      </c>
      <c r="D4" s="296">
        <v>45535</v>
      </c>
      <c r="E4" s="295" t="s">
        <v>477</v>
      </c>
      <c r="F4" s="296">
        <v>45506</v>
      </c>
      <c r="G4" s="295" t="s">
        <v>502</v>
      </c>
      <c r="H4" s="295" t="s">
        <v>503</v>
      </c>
      <c r="I4" s="295">
        <v>1275</v>
      </c>
      <c r="J4" s="296">
        <v>45506</v>
      </c>
      <c r="K4" s="296">
        <v>45657</v>
      </c>
      <c r="L4" s="295" t="s">
        <v>504</v>
      </c>
      <c r="M4" s="295" t="s">
        <v>482</v>
      </c>
      <c r="N4" s="295" t="s">
        <v>483</v>
      </c>
      <c r="O4" s="295">
        <v>1525</v>
      </c>
      <c r="P4" s="295">
        <v>1383</v>
      </c>
      <c r="Q4" s="295" t="s">
        <v>505</v>
      </c>
      <c r="R4" s="295" t="s">
        <v>485</v>
      </c>
      <c r="S4" s="295" t="s">
        <v>486</v>
      </c>
      <c r="T4" s="295" t="s">
        <v>487</v>
      </c>
      <c r="U4" s="295" t="s">
        <v>488</v>
      </c>
      <c r="V4" s="412" t="s">
        <v>506</v>
      </c>
      <c r="W4" s="412" t="s">
        <v>507</v>
      </c>
      <c r="X4" s="295" t="s">
        <v>491</v>
      </c>
      <c r="Y4" s="295" t="s">
        <v>492</v>
      </c>
      <c r="Z4" s="295" t="s">
        <v>493</v>
      </c>
      <c r="AA4" s="295" t="s">
        <v>508</v>
      </c>
      <c r="AB4" s="295" t="s">
        <v>509</v>
      </c>
      <c r="AC4" s="295" t="s">
        <v>510</v>
      </c>
      <c r="AD4" s="295" t="s">
        <v>511</v>
      </c>
      <c r="AE4" s="295" t="s">
        <v>512</v>
      </c>
      <c r="AF4" s="295" t="s">
        <v>513</v>
      </c>
      <c r="AG4" s="409">
        <v>55697250</v>
      </c>
      <c r="AH4" s="409">
        <v>1485260</v>
      </c>
      <c r="AI4" s="409">
        <v>0</v>
      </c>
      <c r="AJ4" s="409">
        <v>54211990</v>
      </c>
      <c r="AK4" s="409">
        <v>20793640</v>
      </c>
      <c r="AL4" s="409">
        <v>33418350</v>
      </c>
      <c r="AM4" s="295">
        <v>5000718988</v>
      </c>
      <c r="AN4" s="295">
        <v>1</v>
      </c>
      <c r="AO4" s="295">
        <v>590899</v>
      </c>
      <c r="AP4" s="295">
        <v>1</v>
      </c>
      <c r="AQ4" s="296">
        <v>45506</v>
      </c>
      <c r="AR4" s="298">
        <v>8198</v>
      </c>
      <c r="AS4" s="299">
        <v>11139450</v>
      </c>
      <c r="AT4" s="300">
        <v>45509</v>
      </c>
      <c r="AU4" s="300">
        <v>45657</v>
      </c>
      <c r="AV4" s="301" t="s">
        <v>500</v>
      </c>
      <c r="AW4" s="302">
        <f>+AS4/30*26</f>
        <v>9654190</v>
      </c>
      <c r="AX4" s="405">
        <v>9654190</v>
      </c>
      <c r="AY4" s="302">
        <f t="shared" ref="AY4:AY29" si="2">+AS4</f>
        <v>11139450</v>
      </c>
      <c r="AZ4" s="302">
        <v>11139450</v>
      </c>
      <c r="BA4" s="302">
        <f t="shared" ref="BA4:BA29" si="3">+AS4</f>
        <v>11139450</v>
      </c>
      <c r="BB4" s="302"/>
      <c r="BC4" s="302">
        <f t="shared" ref="BC4:BC29" si="4">+AS4</f>
        <v>11139450</v>
      </c>
      <c r="BD4" s="302"/>
      <c r="BE4" s="302">
        <v>11139450</v>
      </c>
      <c r="BF4" s="303"/>
      <c r="BG4" s="410">
        <f t="shared" si="0"/>
        <v>1485260</v>
      </c>
      <c r="BH4" s="305">
        <f t="shared" si="1"/>
        <v>0</v>
      </c>
      <c r="BI4" s="307">
        <v>1485260</v>
      </c>
      <c r="BJ4" s="307">
        <f>+AG4</f>
        <v>55697250</v>
      </c>
      <c r="BK4" s="306">
        <v>0</v>
      </c>
      <c r="BL4" s="306">
        <v>0</v>
      </c>
      <c r="BM4" s="306">
        <v>0</v>
      </c>
      <c r="BN4" s="306">
        <v>0</v>
      </c>
      <c r="BO4" s="413"/>
      <c r="BP4" s="308">
        <f>+BX4/2</f>
        <v>5569725</v>
      </c>
      <c r="BR4" s="310">
        <f>+AX4</f>
        <v>9654190</v>
      </c>
      <c r="BS4" s="310">
        <v>0</v>
      </c>
      <c r="BT4" s="310">
        <v>0</v>
      </c>
      <c r="BU4" s="310">
        <v>0</v>
      </c>
      <c r="BV4" s="310">
        <v>0</v>
      </c>
      <c r="BW4" s="310"/>
      <c r="BX4" s="310">
        <f>AK4-BR4</f>
        <v>11139450</v>
      </c>
      <c r="BY4" s="310">
        <v>0</v>
      </c>
      <c r="BZ4" s="310">
        <v>0</v>
      </c>
      <c r="CA4" s="310">
        <v>0</v>
      </c>
      <c r="CB4" s="310">
        <v>0</v>
      </c>
    </row>
    <row r="5" spans="1:80" s="295" customFormat="1" x14ac:dyDescent="0.25">
      <c r="A5" s="295">
        <v>2024</v>
      </c>
      <c r="B5" s="295">
        <v>8</v>
      </c>
      <c r="C5" s="296">
        <v>45292</v>
      </c>
      <c r="D5" s="296">
        <v>45535</v>
      </c>
      <c r="E5" s="295" t="s">
        <v>477</v>
      </c>
      <c r="F5" s="296">
        <v>45506</v>
      </c>
      <c r="G5" s="295" t="s">
        <v>502</v>
      </c>
      <c r="H5" s="295" t="s">
        <v>503</v>
      </c>
      <c r="I5" s="295">
        <v>1277</v>
      </c>
      <c r="J5" s="296">
        <v>45506</v>
      </c>
      <c r="K5" s="296">
        <v>45657</v>
      </c>
      <c r="L5" s="295" t="s">
        <v>504</v>
      </c>
      <c r="M5" s="295" t="s">
        <v>482</v>
      </c>
      <c r="N5" s="295" t="s">
        <v>483</v>
      </c>
      <c r="O5" s="295">
        <v>1414</v>
      </c>
      <c r="P5" s="295">
        <v>1385</v>
      </c>
      <c r="Q5" s="295" t="s">
        <v>514</v>
      </c>
      <c r="R5" s="295" t="s">
        <v>485</v>
      </c>
      <c r="S5" s="295" t="s">
        <v>486</v>
      </c>
      <c r="T5" s="295" t="s">
        <v>487</v>
      </c>
      <c r="U5" s="295" t="s">
        <v>488</v>
      </c>
      <c r="V5" s="295" t="s">
        <v>515</v>
      </c>
      <c r="W5" s="295" t="s">
        <v>516</v>
      </c>
      <c r="X5" s="295" t="s">
        <v>491</v>
      </c>
      <c r="Y5" s="295" t="s">
        <v>492</v>
      </c>
      <c r="Z5" s="295" t="s">
        <v>493</v>
      </c>
      <c r="AA5" s="295" t="s">
        <v>508</v>
      </c>
      <c r="AB5" s="295" t="s">
        <v>509</v>
      </c>
      <c r="AC5" s="295" t="s">
        <v>517</v>
      </c>
      <c r="AD5" s="295" t="s">
        <v>511</v>
      </c>
      <c r="AE5" s="295" t="s">
        <v>518</v>
      </c>
      <c r="AF5" s="295" t="s">
        <v>519</v>
      </c>
      <c r="AG5" s="409">
        <v>48925000</v>
      </c>
      <c r="AH5" s="409">
        <v>1304667</v>
      </c>
      <c r="AI5" s="409">
        <v>0</v>
      </c>
      <c r="AJ5" s="409">
        <v>47620333</v>
      </c>
      <c r="AK5" s="409">
        <v>18265333</v>
      </c>
      <c r="AL5" s="409">
        <v>29355000</v>
      </c>
      <c r="AM5" s="295">
        <v>5000718992</v>
      </c>
      <c r="AN5" s="295">
        <v>1</v>
      </c>
      <c r="AO5" s="295">
        <v>590274</v>
      </c>
      <c r="AP5" s="295">
        <v>1</v>
      </c>
      <c r="AQ5" s="296">
        <v>45506</v>
      </c>
      <c r="AR5" s="298">
        <v>8198</v>
      </c>
      <c r="AS5" s="299">
        <v>9785000</v>
      </c>
      <c r="AT5" s="300">
        <v>45509</v>
      </c>
      <c r="AU5" s="300">
        <v>45657</v>
      </c>
      <c r="AV5" s="301" t="s">
        <v>500</v>
      </c>
      <c r="AW5" s="302">
        <f>+AS5/30*26</f>
        <v>8480333.333333334</v>
      </c>
      <c r="AX5" s="405">
        <v>8480333</v>
      </c>
      <c r="AY5" s="302">
        <f t="shared" si="2"/>
        <v>9785000</v>
      </c>
      <c r="AZ5" s="302">
        <v>9785000</v>
      </c>
      <c r="BA5" s="302">
        <f t="shared" si="3"/>
        <v>9785000</v>
      </c>
      <c r="BB5" s="302"/>
      <c r="BC5" s="302">
        <f t="shared" si="4"/>
        <v>9785000</v>
      </c>
      <c r="BD5" s="302"/>
      <c r="BE5" s="302">
        <f>AS5</f>
        <v>9785000</v>
      </c>
      <c r="BF5" s="303"/>
      <c r="BG5" s="410">
        <f t="shared" si="0"/>
        <v>1304667</v>
      </c>
      <c r="BH5" s="305">
        <f t="shared" si="1"/>
        <v>-0.3333333358168602</v>
      </c>
      <c r="BI5" s="307">
        <v>1304666.6666666667</v>
      </c>
      <c r="BJ5" s="306">
        <v>0</v>
      </c>
      <c r="BK5" s="306">
        <v>0</v>
      </c>
      <c r="BL5" s="307">
        <f>+AG5</f>
        <v>48925000</v>
      </c>
      <c r="BM5" s="306">
        <v>0</v>
      </c>
      <c r="BN5" s="306">
        <v>0</v>
      </c>
      <c r="BO5" s="413"/>
      <c r="BP5" s="308"/>
      <c r="BR5" s="310">
        <v>0</v>
      </c>
      <c r="BS5" s="310">
        <v>0</v>
      </c>
      <c r="BT5" s="310">
        <f>+AX5</f>
        <v>8480333</v>
      </c>
      <c r="BU5" s="310">
        <v>0</v>
      </c>
      <c r="BV5" s="310">
        <v>0</v>
      </c>
      <c r="BW5" s="310"/>
      <c r="BX5" s="310">
        <v>0</v>
      </c>
      <c r="BY5" s="295">
        <v>0</v>
      </c>
      <c r="BZ5" s="310">
        <f>+AK5-BT5</f>
        <v>9785000</v>
      </c>
      <c r="CA5" s="310">
        <v>0</v>
      </c>
      <c r="CB5" s="310">
        <v>0</v>
      </c>
    </row>
    <row r="6" spans="1:80" s="295" customFormat="1" x14ac:dyDescent="0.25">
      <c r="A6" s="295">
        <v>2024</v>
      </c>
      <c r="B6" s="295">
        <v>8</v>
      </c>
      <c r="C6" s="296">
        <v>45292</v>
      </c>
      <c r="D6" s="296">
        <v>45535</v>
      </c>
      <c r="E6" s="295" t="s">
        <v>477</v>
      </c>
      <c r="F6" s="296">
        <v>45512</v>
      </c>
      <c r="G6" s="295" t="s">
        <v>502</v>
      </c>
      <c r="H6" s="295" t="s">
        <v>503</v>
      </c>
      <c r="I6" s="295" t="s">
        <v>520</v>
      </c>
      <c r="J6" s="296">
        <v>45513</v>
      </c>
      <c r="K6" s="296">
        <v>45657</v>
      </c>
      <c r="L6" s="295" t="s">
        <v>521</v>
      </c>
      <c r="M6" s="295" t="s">
        <v>482</v>
      </c>
      <c r="N6" s="295" t="s">
        <v>483</v>
      </c>
      <c r="O6" s="295">
        <v>1527</v>
      </c>
      <c r="P6" s="295">
        <v>1604</v>
      </c>
      <c r="Q6" s="295" t="s">
        <v>522</v>
      </c>
      <c r="R6" s="295" t="s">
        <v>485</v>
      </c>
      <c r="S6" s="295" t="s">
        <v>486</v>
      </c>
      <c r="T6" s="295" t="s">
        <v>487</v>
      </c>
      <c r="U6" s="295" t="s">
        <v>488</v>
      </c>
      <c r="V6" s="295" t="s">
        <v>506</v>
      </c>
      <c r="W6" s="295" t="s">
        <v>507</v>
      </c>
      <c r="X6" s="295" t="s">
        <v>491</v>
      </c>
      <c r="Y6" s="295" t="s">
        <v>492</v>
      </c>
      <c r="Z6" s="295" t="s">
        <v>493</v>
      </c>
      <c r="AA6" s="295" t="s">
        <v>508</v>
      </c>
      <c r="AB6" s="295" t="s">
        <v>509</v>
      </c>
      <c r="AC6" s="295" t="s">
        <v>523</v>
      </c>
      <c r="AD6" s="295" t="s">
        <v>511</v>
      </c>
      <c r="AE6" s="295" t="s">
        <v>524</v>
      </c>
      <c r="AF6" s="295" t="s">
        <v>525</v>
      </c>
      <c r="AG6" s="409">
        <v>36050000</v>
      </c>
      <c r="AH6" s="409">
        <v>1922667</v>
      </c>
      <c r="AI6" s="409">
        <v>0</v>
      </c>
      <c r="AJ6" s="409">
        <v>34127333</v>
      </c>
      <c r="AK6" s="409">
        <v>12497333</v>
      </c>
      <c r="AL6" s="409">
        <v>21630000</v>
      </c>
      <c r="AM6" s="295">
        <v>5000721495</v>
      </c>
      <c r="AN6" s="295">
        <v>1</v>
      </c>
      <c r="AO6" s="295">
        <v>590905</v>
      </c>
      <c r="AP6" s="295">
        <v>1</v>
      </c>
      <c r="AQ6" s="296">
        <v>45512</v>
      </c>
      <c r="AR6" s="298">
        <v>8198</v>
      </c>
      <c r="AS6" s="299">
        <v>7210000</v>
      </c>
      <c r="AT6" s="300">
        <v>45513</v>
      </c>
      <c r="AU6" s="300">
        <v>45657</v>
      </c>
      <c r="AV6" s="301" t="s">
        <v>500</v>
      </c>
      <c r="AW6" s="302">
        <f>+AS6/30*22</f>
        <v>5287333.333333334</v>
      </c>
      <c r="AX6" s="405">
        <v>5287333</v>
      </c>
      <c r="AY6" s="302">
        <f t="shared" si="2"/>
        <v>7210000</v>
      </c>
      <c r="AZ6" s="302">
        <v>7210000</v>
      </c>
      <c r="BA6" s="302">
        <f t="shared" si="3"/>
        <v>7210000</v>
      </c>
      <c r="BB6" s="302"/>
      <c r="BC6" s="302">
        <f t="shared" si="4"/>
        <v>7210000</v>
      </c>
      <c r="BD6" s="302"/>
      <c r="BE6" s="302">
        <f>AS6</f>
        <v>7210000</v>
      </c>
      <c r="BF6" s="303"/>
      <c r="BG6" s="410">
        <f t="shared" si="0"/>
        <v>1922667</v>
      </c>
      <c r="BH6" s="305">
        <f t="shared" si="1"/>
        <v>-0.3333333358168602</v>
      </c>
      <c r="BI6" s="307">
        <v>1922666.6666666667</v>
      </c>
      <c r="BJ6" s="306">
        <v>0</v>
      </c>
      <c r="BK6" s="306">
        <v>0</v>
      </c>
      <c r="BL6" s="414">
        <f>+AG6</f>
        <v>36050000</v>
      </c>
      <c r="BM6" s="306">
        <v>0</v>
      </c>
      <c r="BN6" s="306">
        <v>0</v>
      </c>
      <c r="BO6" s="411"/>
      <c r="BP6" s="308"/>
      <c r="BR6" s="310">
        <v>0</v>
      </c>
      <c r="BS6" s="310">
        <v>0</v>
      </c>
      <c r="BT6" s="310">
        <f>+AX6</f>
        <v>5287333</v>
      </c>
      <c r="BU6" s="310">
        <v>0</v>
      </c>
      <c r="BV6" s="310">
        <v>0</v>
      </c>
      <c r="BW6" s="310"/>
      <c r="BX6" s="310">
        <v>0</v>
      </c>
      <c r="BY6" s="295">
        <v>0</v>
      </c>
      <c r="BZ6" s="310">
        <f>+AK6-BT6</f>
        <v>7210000</v>
      </c>
      <c r="CA6" s="310">
        <v>0</v>
      </c>
      <c r="CB6" s="310">
        <v>0</v>
      </c>
    </row>
    <row r="7" spans="1:80" s="295" customFormat="1" x14ac:dyDescent="0.25">
      <c r="A7" s="295">
        <v>2024</v>
      </c>
      <c r="B7" s="295">
        <v>8</v>
      </c>
      <c r="C7" s="296">
        <v>45292</v>
      </c>
      <c r="D7" s="296">
        <v>45535</v>
      </c>
      <c r="E7" s="295" t="s">
        <v>477</v>
      </c>
      <c r="F7" s="296">
        <v>45512</v>
      </c>
      <c r="G7" s="295" t="s">
        <v>502</v>
      </c>
      <c r="H7" s="295" t="s">
        <v>503</v>
      </c>
      <c r="I7" s="295" t="s">
        <v>526</v>
      </c>
      <c r="J7" s="296">
        <v>45513</v>
      </c>
      <c r="K7" s="296">
        <v>45657</v>
      </c>
      <c r="L7" s="295" t="s">
        <v>521</v>
      </c>
      <c r="M7" s="295" t="s">
        <v>482</v>
      </c>
      <c r="N7" s="295" t="s">
        <v>483</v>
      </c>
      <c r="O7" s="295">
        <v>1540</v>
      </c>
      <c r="P7" s="295">
        <v>1599</v>
      </c>
      <c r="Q7" s="295" t="s">
        <v>527</v>
      </c>
      <c r="R7" s="295" t="s">
        <v>485</v>
      </c>
      <c r="S7" s="295" t="s">
        <v>486</v>
      </c>
      <c r="T7" s="295" t="s">
        <v>487</v>
      </c>
      <c r="U7" s="295" t="s">
        <v>488</v>
      </c>
      <c r="V7" s="295" t="s">
        <v>506</v>
      </c>
      <c r="W7" s="295" t="s">
        <v>507</v>
      </c>
      <c r="X7" s="295" t="s">
        <v>491</v>
      </c>
      <c r="Y7" s="295" t="s">
        <v>492</v>
      </c>
      <c r="Z7" s="295" t="s">
        <v>493</v>
      </c>
      <c r="AA7" s="295" t="s">
        <v>508</v>
      </c>
      <c r="AB7" s="295" t="s">
        <v>509</v>
      </c>
      <c r="AC7" s="295" t="s">
        <v>528</v>
      </c>
      <c r="AD7" s="295" t="s">
        <v>511</v>
      </c>
      <c r="AE7" s="295" t="s">
        <v>529</v>
      </c>
      <c r="AF7" s="295" t="s">
        <v>530</v>
      </c>
      <c r="AG7" s="409">
        <v>36050000</v>
      </c>
      <c r="AH7" s="409">
        <v>1922667</v>
      </c>
      <c r="AI7" s="409">
        <v>0</v>
      </c>
      <c r="AJ7" s="409">
        <v>34127333</v>
      </c>
      <c r="AK7" s="409">
        <v>12497333</v>
      </c>
      <c r="AL7" s="409">
        <v>21630000</v>
      </c>
      <c r="AM7" s="295">
        <v>5000721470</v>
      </c>
      <c r="AN7" s="295">
        <v>1</v>
      </c>
      <c r="AO7" s="295">
        <v>590956</v>
      </c>
      <c r="AP7" s="295">
        <v>1</v>
      </c>
      <c r="AQ7" s="296">
        <v>45512</v>
      </c>
      <c r="AR7" s="298">
        <v>8198</v>
      </c>
      <c r="AS7" s="299">
        <v>7210000</v>
      </c>
      <c r="AT7" s="300">
        <v>45513</v>
      </c>
      <c r="AU7" s="300">
        <v>45657</v>
      </c>
      <c r="AV7" s="301" t="s">
        <v>500</v>
      </c>
      <c r="AW7" s="302">
        <f>+AS7/30*22</f>
        <v>5287333.333333334</v>
      </c>
      <c r="AX7" s="405">
        <v>5287333</v>
      </c>
      <c r="AY7" s="302">
        <f t="shared" si="2"/>
        <v>7210000</v>
      </c>
      <c r="AZ7" s="302">
        <v>7210000</v>
      </c>
      <c r="BA7" s="302">
        <f t="shared" si="3"/>
        <v>7210000</v>
      </c>
      <c r="BB7" s="302"/>
      <c r="BC7" s="302">
        <f t="shared" si="4"/>
        <v>7210000</v>
      </c>
      <c r="BD7" s="302"/>
      <c r="BE7" s="302">
        <f>AS7</f>
        <v>7210000</v>
      </c>
      <c r="BF7" s="303"/>
      <c r="BG7" s="410">
        <f t="shared" si="0"/>
        <v>1922667</v>
      </c>
      <c r="BH7" s="305">
        <f t="shared" si="1"/>
        <v>-0.3333333358168602</v>
      </c>
      <c r="BI7" s="307">
        <v>1922666.6666666667</v>
      </c>
      <c r="BJ7" s="306">
        <v>0</v>
      </c>
      <c r="BK7" s="306">
        <v>0</v>
      </c>
      <c r="BL7" s="306">
        <v>0</v>
      </c>
      <c r="BM7" s="307">
        <f>+AG7</f>
        <v>36050000</v>
      </c>
      <c r="BN7" s="306">
        <v>0</v>
      </c>
      <c r="BP7" s="308"/>
      <c r="BR7" s="310">
        <v>0</v>
      </c>
      <c r="BS7" s="310">
        <v>0</v>
      </c>
      <c r="BT7" s="310">
        <v>0</v>
      </c>
      <c r="BU7" s="310">
        <f>+AX7</f>
        <v>5287333</v>
      </c>
      <c r="BV7" s="310">
        <v>0</v>
      </c>
      <c r="BW7" s="310"/>
      <c r="BX7" s="310">
        <v>0</v>
      </c>
      <c r="BY7" s="310">
        <v>0</v>
      </c>
      <c r="BZ7" s="295">
        <v>0</v>
      </c>
      <c r="CA7" s="310">
        <f>+AK7-BU7</f>
        <v>7210000</v>
      </c>
      <c r="CB7" s="310">
        <v>0</v>
      </c>
    </row>
    <row r="8" spans="1:80" s="415" customFormat="1" x14ac:dyDescent="0.25">
      <c r="A8" s="415">
        <v>2024</v>
      </c>
      <c r="B8" s="415">
        <v>8</v>
      </c>
      <c r="C8" s="416">
        <v>45292</v>
      </c>
      <c r="D8" s="416">
        <v>45535</v>
      </c>
      <c r="E8" s="415" t="s">
        <v>477</v>
      </c>
      <c r="F8" s="416">
        <v>45509</v>
      </c>
      <c r="G8" s="415" t="s">
        <v>502</v>
      </c>
      <c r="H8" s="415" t="s">
        <v>503</v>
      </c>
      <c r="I8" s="415">
        <v>1328</v>
      </c>
      <c r="J8" s="416">
        <v>45509</v>
      </c>
      <c r="K8" s="416">
        <v>45636</v>
      </c>
      <c r="L8" s="415" t="s">
        <v>531</v>
      </c>
      <c r="M8" s="415" t="s">
        <v>482</v>
      </c>
      <c r="N8" s="415" t="s">
        <v>483</v>
      </c>
      <c r="O8" s="415">
        <v>1542</v>
      </c>
      <c r="P8" s="415">
        <v>1527</v>
      </c>
      <c r="Q8" s="415" t="s">
        <v>532</v>
      </c>
      <c r="R8" s="415" t="s">
        <v>485</v>
      </c>
      <c r="S8" s="415" t="s">
        <v>486</v>
      </c>
      <c r="T8" s="415" t="s">
        <v>487</v>
      </c>
      <c r="U8" s="415" t="s">
        <v>488</v>
      </c>
      <c r="V8" s="415" t="s">
        <v>506</v>
      </c>
      <c r="W8" s="415" t="s">
        <v>507</v>
      </c>
      <c r="X8" s="415" t="s">
        <v>491</v>
      </c>
      <c r="Y8" s="415" t="s">
        <v>492</v>
      </c>
      <c r="Z8" s="415" t="s">
        <v>493</v>
      </c>
      <c r="AA8" s="415" t="s">
        <v>508</v>
      </c>
      <c r="AB8" s="415" t="s">
        <v>509</v>
      </c>
      <c r="AC8" s="415" t="s">
        <v>533</v>
      </c>
      <c r="AD8" s="415" t="s">
        <v>511</v>
      </c>
      <c r="AE8" s="415" t="s">
        <v>534</v>
      </c>
      <c r="AF8" s="415" t="s">
        <v>535</v>
      </c>
      <c r="AG8" s="409">
        <v>27586000</v>
      </c>
      <c r="AH8" s="409">
        <v>0</v>
      </c>
      <c r="AI8" s="409">
        <v>0</v>
      </c>
      <c r="AJ8" s="409">
        <v>27586000</v>
      </c>
      <c r="AK8" s="409">
        <v>10397800</v>
      </c>
      <c r="AL8" s="409">
        <v>17188200</v>
      </c>
      <c r="AM8" s="415">
        <v>5000720509</v>
      </c>
      <c r="AN8" s="415">
        <v>1</v>
      </c>
      <c r="AO8" s="415">
        <v>590961</v>
      </c>
      <c r="AP8" s="415">
        <v>1</v>
      </c>
      <c r="AQ8" s="416">
        <v>45509</v>
      </c>
      <c r="AR8" s="417">
        <v>8198</v>
      </c>
      <c r="AS8" s="418">
        <v>6366000</v>
      </c>
      <c r="AT8" s="419">
        <v>45516</v>
      </c>
      <c r="AU8" s="419">
        <v>45647</v>
      </c>
      <c r="AV8" s="420" t="s">
        <v>500</v>
      </c>
      <c r="AW8" s="421">
        <f>+AS8/30*19</f>
        <v>4031800</v>
      </c>
      <c r="AX8" s="422">
        <v>4031800</v>
      </c>
      <c r="AY8" s="421">
        <f t="shared" si="2"/>
        <v>6366000</v>
      </c>
      <c r="AZ8" s="421">
        <v>6366000</v>
      </c>
      <c r="BA8" s="421">
        <f t="shared" si="3"/>
        <v>6366000</v>
      </c>
      <c r="BB8" s="421"/>
      <c r="BC8" s="421">
        <f t="shared" si="4"/>
        <v>6366000</v>
      </c>
      <c r="BD8" s="421"/>
      <c r="BE8" s="421">
        <f>AS8/30*21</f>
        <v>4456200</v>
      </c>
      <c r="BF8" s="423"/>
      <c r="BG8" s="410">
        <f t="shared" si="0"/>
        <v>0</v>
      </c>
      <c r="BH8" s="305">
        <f t="shared" si="1"/>
        <v>0</v>
      </c>
      <c r="BI8" s="307">
        <v>0</v>
      </c>
      <c r="BJ8" s="424">
        <v>0</v>
      </c>
      <c r="BK8" s="424">
        <v>0</v>
      </c>
      <c r="BL8" s="424">
        <v>0</v>
      </c>
      <c r="BM8" s="424">
        <v>0</v>
      </c>
      <c r="BN8" s="414">
        <f>+AG8</f>
        <v>27586000</v>
      </c>
      <c r="BP8" s="425"/>
      <c r="BR8" s="426">
        <v>0</v>
      </c>
      <c r="BS8" s="426">
        <v>0</v>
      </c>
      <c r="BT8" s="426">
        <v>0</v>
      </c>
      <c r="BU8" s="426">
        <v>0</v>
      </c>
      <c r="BV8" s="426">
        <f>+AX8</f>
        <v>4031800</v>
      </c>
      <c r="BW8" s="426"/>
      <c r="BX8" s="426">
        <v>0</v>
      </c>
      <c r="BY8" s="426">
        <v>0</v>
      </c>
      <c r="BZ8" s="426">
        <v>0</v>
      </c>
      <c r="CA8" s="426">
        <v>0</v>
      </c>
      <c r="CB8" s="426">
        <f>AK8-BV8</f>
        <v>6366000</v>
      </c>
    </row>
    <row r="9" spans="1:80" s="295" customFormat="1" x14ac:dyDescent="0.25">
      <c r="A9" s="295">
        <v>2024</v>
      </c>
      <c r="B9" s="295">
        <v>8</v>
      </c>
      <c r="C9" s="296">
        <v>45292</v>
      </c>
      <c r="D9" s="296">
        <v>45535</v>
      </c>
      <c r="E9" s="295" t="s">
        <v>477</v>
      </c>
      <c r="F9" s="296">
        <v>45509</v>
      </c>
      <c r="G9" s="295" t="s">
        <v>502</v>
      </c>
      <c r="H9" s="295" t="s">
        <v>503</v>
      </c>
      <c r="I9" s="295" t="s">
        <v>536</v>
      </c>
      <c r="J9" s="296">
        <v>45509</v>
      </c>
      <c r="K9" s="296">
        <v>45657</v>
      </c>
      <c r="L9" s="295" t="s">
        <v>537</v>
      </c>
      <c r="M9" s="295" t="s">
        <v>482</v>
      </c>
      <c r="N9" s="295" t="s">
        <v>483</v>
      </c>
      <c r="O9" s="295">
        <v>1546</v>
      </c>
      <c r="P9" s="295">
        <v>1529</v>
      </c>
      <c r="Q9" s="295" t="s">
        <v>538</v>
      </c>
      <c r="R9" s="295" t="s">
        <v>485</v>
      </c>
      <c r="S9" s="295" t="s">
        <v>486</v>
      </c>
      <c r="T9" s="295" t="s">
        <v>487</v>
      </c>
      <c r="U9" s="295" t="s">
        <v>488</v>
      </c>
      <c r="V9" s="295" t="s">
        <v>506</v>
      </c>
      <c r="W9" s="295" t="s">
        <v>507</v>
      </c>
      <c r="X9" s="295" t="s">
        <v>491</v>
      </c>
      <c r="Y9" s="295" t="s">
        <v>492</v>
      </c>
      <c r="Z9" s="295" t="s">
        <v>493</v>
      </c>
      <c r="AA9" s="295" t="s">
        <v>508</v>
      </c>
      <c r="AB9" s="295" t="s">
        <v>509</v>
      </c>
      <c r="AC9" s="295" t="s">
        <v>539</v>
      </c>
      <c r="AD9" s="295" t="s">
        <v>511</v>
      </c>
      <c r="AE9" s="295" t="s">
        <v>540</v>
      </c>
      <c r="AF9" s="295" t="s">
        <v>541</v>
      </c>
      <c r="AG9" s="409">
        <v>36050000</v>
      </c>
      <c r="AH9" s="409">
        <v>1682333</v>
      </c>
      <c r="AI9" s="409">
        <v>0</v>
      </c>
      <c r="AJ9" s="409">
        <v>34367667</v>
      </c>
      <c r="AK9" s="409">
        <v>12737667</v>
      </c>
      <c r="AL9" s="409">
        <v>21630000</v>
      </c>
      <c r="AM9" s="295">
        <v>5000720544</v>
      </c>
      <c r="AN9" s="295">
        <v>1</v>
      </c>
      <c r="AO9" s="295">
        <v>590971</v>
      </c>
      <c r="AP9" s="295">
        <v>1</v>
      </c>
      <c r="AQ9" s="296">
        <v>45509</v>
      </c>
      <c r="AR9" s="298">
        <v>8198</v>
      </c>
      <c r="AS9" s="299">
        <v>7210000</v>
      </c>
      <c r="AT9" s="300">
        <v>45512</v>
      </c>
      <c r="AU9" s="300">
        <v>45657</v>
      </c>
      <c r="AV9" s="301" t="s">
        <v>500</v>
      </c>
      <c r="AW9" s="302">
        <f>+AS9/30*23</f>
        <v>5527666.666666667</v>
      </c>
      <c r="AX9" s="405">
        <v>5527667</v>
      </c>
      <c r="AY9" s="302">
        <f t="shared" si="2"/>
        <v>7210000</v>
      </c>
      <c r="AZ9" s="302">
        <v>7210000</v>
      </c>
      <c r="BA9" s="302">
        <f t="shared" si="3"/>
        <v>7210000</v>
      </c>
      <c r="BB9" s="302"/>
      <c r="BC9" s="302">
        <f t="shared" si="4"/>
        <v>7210000</v>
      </c>
      <c r="BD9" s="302"/>
      <c r="BE9" s="302">
        <f>AS9</f>
        <v>7210000</v>
      </c>
      <c r="BF9" s="303"/>
      <c r="BG9" s="410">
        <f t="shared" si="0"/>
        <v>1682333</v>
      </c>
      <c r="BH9" s="305">
        <f t="shared" si="1"/>
        <v>0.3333333283662796</v>
      </c>
      <c r="BI9" s="307">
        <v>1682333.3333333335</v>
      </c>
      <c r="BJ9" s="306">
        <v>0</v>
      </c>
      <c r="BK9" s="306">
        <v>0</v>
      </c>
      <c r="BL9" s="307">
        <f>+AG9</f>
        <v>36050000</v>
      </c>
      <c r="BM9" s="306">
        <v>0</v>
      </c>
      <c r="BN9" s="306">
        <v>0</v>
      </c>
      <c r="BP9" s="308"/>
      <c r="BR9" s="310">
        <v>0</v>
      </c>
      <c r="BS9" s="310">
        <v>0</v>
      </c>
      <c r="BT9" s="310">
        <f>+AX9</f>
        <v>5527667</v>
      </c>
      <c r="BU9" s="310">
        <v>0</v>
      </c>
      <c r="BV9" s="310">
        <v>0</v>
      </c>
      <c r="BW9" s="310"/>
      <c r="BX9" s="310">
        <v>0</v>
      </c>
      <c r="BY9" s="310">
        <v>0</v>
      </c>
      <c r="BZ9" s="310">
        <f>+AK9-BT9</f>
        <v>7210000</v>
      </c>
      <c r="CA9" s="310">
        <v>0</v>
      </c>
      <c r="CB9" s="310">
        <v>0</v>
      </c>
    </row>
    <row r="10" spans="1:80" s="415" customFormat="1" x14ac:dyDescent="0.25">
      <c r="A10" s="415">
        <v>2024</v>
      </c>
      <c r="B10" s="415">
        <v>8</v>
      </c>
      <c r="C10" s="416">
        <v>45292</v>
      </c>
      <c r="D10" s="416">
        <v>45535</v>
      </c>
      <c r="E10" s="415" t="s">
        <v>477</v>
      </c>
      <c r="F10" s="416">
        <v>45509</v>
      </c>
      <c r="G10" s="415" t="s">
        <v>502</v>
      </c>
      <c r="H10" s="415" t="s">
        <v>503</v>
      </c>
      <c r="I10" s="415" t="s">
        <v>542</v>
      </c>
      <c r="J10" s="416">
        <v>45509</v>
      </c>
      <c r="K10" s="416">
        <v>45657</v>
      </c>
      <c r="L10" s="415" t="s">
        <v>537</v>
      </c>
      <c r="M10" s="415" t="s">
        <v>482</v>
      </c>
      <c r="N10" s="415" t="s">
        <v>483</v>
      </c>
      <c r="O10" s="415">
        <v>1548</v>
      </c>
      <c r="P10" s="415">
        <v>1532</v>
      </c>
      <c r="Q10" s="415" t="s">
        <v>543</v>
      </c>
      <c r="R10" s="415" t="s">
        <v>485</v>
      </c>
      <c r="S10" s="415" t="s">
        <v>486</v>
      </c>
      <c r="T10" s="415" t="s">
        <v>487</v>
      </c>
      <c r="U10" s="415" t="s">
        <v>488</v>
      </c>
      <c r="V10" s="415" t="s">
        <v>506</v>
      </c>
      <c r="W10" s="415" t="s">
        <v>507</v>
      </c>
      <c r="X10" s="415" t="s">
        <v>491</v>
      </c>
      <c r="Y10" s="415" t="s">
        <v>492</v>
      </c>
      <c r="Z10" s="415" t="s">
        <v>493</v>
      </c>
      <c r="AA10" s="415" t="s">
        <v>508</v>
      </c>
      <c r="AB10" s="415" t="s">
        <v>509</v>
      </c>
      <c r="AC10" s="415" t="s">
        <v>544</v>
      </c>
      <c r="AD10" s="415" t="s">
        <v>511</v>
      </c>
      <c r="AE10" s="415" t="s">
        <v>545</v>
      </c>
      <c r="AF10" s="415" t="s">
        <v>546</v>
      </c>
      <c r="AG10" s="409">
        <v>17333333</v>
      </c>
      <c r="AH10" s="409">
        <v>0</v>
      </c>
      <c r="AI10" s="409">
        <v>0</v>
      </c>
      <c r="AJ10" s="409">
        <v>17333333</v>
      </c>
      <c r="AK10" s="409">
        <v>7066667</v>
      </c>
      <c r="AL10" s="409">
        <v>10266666</v>
      </c>
      <c r="AM10" s="415">
        <v>5000720566</v>
      </c>
      <c r="AN10" s="415">
        <v>1</v>
      </c>
      <c r="AO10" s="415">
        <v>590977</v>
      </c>
      <c r="AP10" s="415">
        <v>1</v>
      </c>
      <c r="AQ10" s="416">
        <v>45509</v>
      </c>
      <c r="AR10" s="417">
        <v>8198</v>
      </c>
      <c r="AS10" s="418">
        <v>4000000</v>
      </c>
      <c r="AT10" s="419">
        <v>45512</v>
      </c>
      <c r="AU10" s="419">
        <v>45643</v>
      </c>
      <c r="AV10" s="420" t="s">
        <v>500</v>
      </c>
      <c r="AW10" s="421">
        <f>+AS10/30*23</f>
        <v>3066666.666666667</v>
      </c>
      <c r="AX10" s="422">
        <v>3066667</v>
      </c>
      <c r="AY10" s="421">
        <f t="shared" si="2"/>
        <v>4000000</v>
      </c>
      <c r="AZ10" s="421">
        <v>4000000</v>
      </c>
      <c r="BA10" s="421">
        <f t="shared" si="3"/>
        <v>4000000</v>
      </c>
      <c r="BB10" s="421"/>
      <c r="BC10" s="421">
        <f t="shared" si="4"/>
        <v>4000000</v>
      </c>
      <c r="BD10" s="421"/>
      <c r="BE10" s="421">
        <f>AS10/30*17</f>
        <v>2266666.666666667</v>
      </c>
      <c r="BF10" s="423"/>
      <c r="BG10" s="410">
        <f t="shared" si="0"/>
        <v>0</v>
      </c>
      <c r="BH10" s="305">
        <f t="shared" si="1"/>
        <v>-0.3333333358168602</v>
      </c>
      <c r="BI10" s="307">
        <v>0</v>
      </c>
      <c r="BJ10" s="424">
        <v>0</v>
      </c>
      <c r="BK10" s="424">
        <v>0</v>
      </c>
      <c r="BL10" s="424">
        <v>0</v>
      </c>
      <c r="BM10" s="424">
        <v>0</v>
      </c>
      <c r="BN10" s="414">
        <f>+AG10</f>
        <v>17333333</v>
      </c>
      <c r="BP10" s="425"/>
      <c r="BR10" s="426">
        <v>0</v>
      </c>
      <c r="BS10" s="426">
        <v>0</v>
      </c>
      <c r="BT10" s="426">
        <v>0</v>
      </c>
      <c r="BU10" s="426">
        <v>0</v>
      </c>
      <c r="BV10" s="426">
        <f>+AX10</f>
        <v>3066667</v>
      </c>
      <c r="BW10" s="426"/>
      <c r="BX10" s="426">
        <v>0</v>
      </c>
      <c r="BY10" s="426">
        <v>0</v>
      </c>
      <c r="BZ10" s="426">
        <v>0</v>
      </c>
      <c r="CA10" s="426">
        <v>0</v>
      </c>
      <c r="CB10" s="426">
        <f>AK10-BV10</f>
        <v>4000000</v>
      </c>
    </row>
    <row r="11" spans="1:80" s="339" customFormat="1" x14ac:dyDescent="0.25">
      <c r="A11" s="339">
        <v>2024</v>
      </c>
      <c r="B11" s="339">
        <v>8</v>
      </c>
      <c r="C11" s="427">
        <v>45292</v>
      </c>
      <c r="D11" s="427">
        <v>45535</v>
      </c>
      <c r="E11" s="339" t="s">
        <v>477</v>
      </c>
      <c r="F11" s="427">
        <v>45512</v>
      </c>
      <c r="G11" s="339" t="s">
        <v>502</v>
      </c>
      <c r="H11" s="339" t="s">
        <v>503</v>
      </c>
      <c r="I11" s="339">
        <v>1428</v>
      </c>
      <c r="J11" s="427">
        <v>45512</v>
      </c>
      <c r="K11" s="427">
        <v>45657</v>
      </c>
      <c r="L11" s="339" t="s">
        <v>502</v>
      </c>
      <c r="M11" s="339" t="s">
        <v>482</v>
      </c>
      <c r="N11" s="339" t="s">
        <v>483</v>
      </c>
      <c r="O11" s="339">
        <v>1544</v>
      </c>
      <c r="P11" s="339">
        <v>1563</v>
      </c>
      <c r="Q11" s="339" t="s">
        <v>547</v>
      </c>
      <c r="R11" s="295" t="s">
        <v>485</v>
      </c>
      <c r="S11" s="339" t="s">
        <v>486</v>
      </c>
      <c r="T11" s="339" t="s">
        <v>487</v>
      </c>
      <c r="U11" s="339" t="s">
        <v>488</v>
      </c>
      <c r="V11" s="339" t="s">
        <v>506</v>
      </c>
      <c r="W11" s="339" t="s">
        <v>507</v>
      </c>
      <c r="X11" s="339" t="s">
        <v>491</v>
      </c>
      <c r="Y11" s="339" t="s">
        <v>492</v>
      </c>
      <c r="Z11" s="339" t="s">
        <v>493</v>
      </c>
      <c r="AA11" s="339" t="s">
        <v>508</v>
      </c>
      <c r="AB11" s="339" t="s">
        <v>509</v>
      </c>
      <c r="AC11" s="339" t="s">
        <v>548</v>
      </c>
      <c r="AD11" s="339" t="s">
        <v>511</v>
      </c>
      <c r="AE11" s="339" t="s">
        <v>549</v>
      </c>
      <c r="AF11" s="339" t="s">
        <v>550</v>
      </c>
      <c r="AG11" s="409">
        <v>37500000</v>
      </c>
      <c r="AH11" s="409">
        <v>2000000</v>
      </c>
      <c r="AI11" s="409">
        <v>0</v>
      </c>
      <c r="AJ11" s="409">
        <v>35500000</v>
      </c>
      <c r="AK11" s="409">
        <v>13000000</v>
      </c>
      <c r="AL11" s="409">
        <v>22500000</v>
      </c>
      <c r="AM11" s="339">
        <v>5000721160</v>
      </c>
      <c r="AN11" s="339">
        <v>1</v>
      </c>
      <c r="AO11" s="339">
        <v>590965</v>
      </c>
      <c r="AP11" s="339">
        <v>1</v>
      </c>
      <c r="AQ11" s="427">
        <v>45512</v>
      </c>
      <c r="AR11" s="428">
        <v>8198</v>
      </c>
      <c r="AS11" s="429">
        <v>7500000</v>
      </c>
      <c r="AT11" s="430">
        <v>45513</v>
      </c>
      <c r="AU11" s="430">
        <v>45657</v>
      </c>
      <c r="AV11" s="431" t="s">
        <v>500</v>
      </c>
      <c r="AW11" s="432">
        <f>+AS11/30*22</f>
        <v>5500000</v>
      </c>
      <c r="AX11" s="433">
        <v>5500000</v>
      </c>
      <c r="AY11" s="432">
        <f t="shared" si="2"/>
        <v>7500000</v>
      </c>
      <c r="AZ11" s="432">
        <v>7500000</v>
      </c>
      <c r="BA11" s="432">
        <f t="shared" si="3"/>
        <v>7500000</v>
      </c>
      <c r="BB11" s="432"/>
      <c r="BC11" s="432">
        <f t="shared" si="4"/>
        <v>7500000</v>
      </c>
      <c r="BD11" s="432"/>
      <c r="BE11" s="432">
        <f>+AS11</f>
        <v>7500000</v>
      </c>
      <c r="BF11" s="434"/>
      <c r="BG11" s="410">
        <f t="shared" si="0"/>
        <v>2000000</v>
      </c>
      <c r="BH11" s="305">
        <f t="shared" si="1"/>
        <v>0</v>
      </c>
      <c r="BI11" s="307">
        <v>2000000</v>
      </c>
      <c r="BJ11" s="435">
        <v>0</v>
      </c>
      <c r="BK11" s="435">
        <v>0</v>
      </c>
      <c r="BL11" s="436">
        <f>+AG11</f>
        <v>37500000</v>
      </c>
      <c r="BM11" s="435">
        <v>0</v>
      </c>
      <c r="BN11" s="435">
        <v>0</v>
      </c>
      <c r="BP11" s="437"/>
      <c r="BR11" s="438">
        <v>0</v>
      </c>
      <c r="BS11" s="438">
        <v>0</v>
      </c>
      <c r="BT11" s="438">
        <f>+AX11</f>
        <v>5500000</v>
      </c>
      <c r="BU11" s="438">
        <v>0</v>
      </c>
      <c r="BV11" s="438">
        <v>0</v>
      </c>
      <c r="BW11" s="438"/>
      <c r="BX11" s="438">
        <v>0</v>
      </c>
      <c r="BY11" s="438">
        <v>0</v>
      </c>
      <c r="BZ11" s="310">
        <f>+AK11-BT11</f>
        <v>7500000</v>
      </c>
      <c r="CA11" s="438">
        <v>0</v>
      </c>
      <c r="CB11" s="438">
        <v>0</v>
      </c>
    </row>
    <row r="12" spans="1:80" s="295" customFormat="1" x14ac:dyDescent="0.25">
      <c r="A12" s="295">
        <v>2024</v>
      </c>
      <c r="B12" s="295">
        <v>8</v>
      </c>
      <c r="C12" s="296">
        <v>45292</v>
      </c>
      <c r="D12" s="296">
        <v>45535</v>
      </c>
      <c r="E12" s="295" t="s">
        <v>477</v>
      </c>
      <c r="F12" s="296">
        <v>45519</v>
      </c>
      <c r="G12" s="295" t="s">
        <v>502</v>
      </c>
      <c r="H12" s="295" t="s">
        <v>503</v>
      </c>
      <c r="I12" s="295" t="s">
        <v>551</v>
      </c>
      <c r="J12" s="296">
        <v>45520</v>
      </c>
      <c r="K12" s="296">
        <v>45657</v>
      </c>
      <c r="L12" s="295" t="s">
        <v>552</v>
      </c>
      <c r="M12" s="295" t="s">
        <v>482</v>
      </c>
      <c r="N12" s="295" t="s">
        <v>483</v>
      </c>
      <c r="O12" s="295">
        <v>1551</v>
      </c>
      <c r="P12" s="295">
        <v>1772</v>
      </c>
      <c r="Q12" s="295" t="s">
        <v>553</v>
      </c>
      <c r="R12" s="295" t="s">
        <v>485</v>
      </c>
      <c r="S12" s="295" t="s">
        <v>486</v>
      </c>
      <c r="T12" s="295" t="s">
        <v>487</v>
      </c>
      <c r="U12" s="295" t="s">
        <v>488</v>
      </c>
      <c r="V12" s="295" t="s">
        <v>506</v>
      </c>
      <c r="W12" s="295" t="s">
        <v>507</v>
      </c>
      <c r="X12" s="295" t="s">
        <v>491</v>
      </c>
      <c r="Y12" s="295" t="s">
        <v>492</v>
      </c>
      <c r="Z12" s="295" t="s">
        <v>493</v>
      </c>
      <c r="AA12" s="295" t="s">
        <v>508</v>
      </c>
      <c r="AB12" s="295" t="s">
        <v>509</v>
      </c>
      <c r="AC12" s="295" t="s">
        <v>554</v>
      </c>
      <c r="AD12" s="295" t="s">
        <v>511</v>
      </c>
      <c r="AE12" s="295" t="s">
        <v>555</v>
      </c>
      <c r="AF12" s="295" t="s">
        <v>556</v>
      </c>
      <c r="AG12" s="409">
        <v>21158776</v>
      </c>
      <c r="AH12" s="409">
        <v>783659</v>
      </c>
      <c r="AI12" s="409">
        <v>0</v>
      </c>
      <c r="AJ12" s="409">
        <v>20375117</v>
      </c>
      <c r="AK12" s="409">
        <v>6269266</v>
      </c>
      <c r="AL12" s="409">
        <v>14105851</v>
      </c>
      <c r="AM12" s="295">
        <v>5000724814</v>
      </c>
      <c r="AN12" s="295">
        <v>1</v>
      </c>
      <c r="AO12" s="295">
        <v>590985</v>
      </c>
      <c r="AP12" s="295">
        <v>1</v>
      </c>
      <c r="AQ12" s="296">
        <v>45519</v>
      </c>
      <c r="AR12" s="298">
        <v>8198</v>
      </c>
      <c r="AS12" s="299">
        <f>5665000*83%</f>
        <v>4701950</v>
      </c>
      <c r="AT12" s="300">
        <v>45525</v>
      </c>
      <c r="AU12" s="300">
        <v>45657</v>
      </c>
      <c r="AV12" s="301" t="s">
        <v>500</v>
      </c>
      <c r="AW12" s="302">
        <f>AS12/30*10</f>
        <v>1567316.6666666665</v>
      </c>
      <c r="AX12" s="405">
        <v>1567316</v>
      </c>
      <c r="AY12" s="302">
        <f t="shared" si="2"/>
        <v>4701950</v>
      </c>
      <c r="AZ12" s="302">
        <v>4701950</v>
      </c>
      <c r="BA12" s="302">
        <f t="shared" si="3"/>
        <v>4701950</v>
      </c>
      <c r="BB12" s="302"/>
      <c r="BC12" s="302">
        <f t="shared" si="4"/>
        <v>4701950</v>
      </c>
      <c r="BD12" s="302"/>
      <c r="BE12" s="302">
        <f>+AS12</f>
        <v>4701950</v>
      </c>
      <c r="BF12" s="303"/>
      <c r="BG12" s="410">
        <f t="shared" si="0"/>
        <v>783659</v>
      </c>
      <c r="BH12" s="305">
        <f t="shared" si="1"/>
        <v>0.3333333358168602</v>
      </c>
      <c r="BI12" s="307">
        <v>783658.33333333326</v>
      </c>
      <c r="BJ12" s="306">
        <v>0</v>
      </c>
      <c r="BK12" s="306">
        <v>0</v>
      </c>
      <c r="BL12" s="307">
        <f>+AG12</f>
        <v>21158776</v>
      </c>
      <c r="BM12" s="306">
        <v>0</v>
      </c>
      <c r="BN12" s="306">
        <v>0</v>
      </c>
      <c r="BP12" s="308"/>
      <c r="BR12" s="310">
        <v>0</v>
      </c>
      <c r="BS12" s="310">
        <v>0</v>
      </c>
      <c r="BT12" s="310">
        <f>+AX12</f>
        <v>1567316</v>
      </c>
      <c r="BU12" s="310">
        <v>0</v>
      </c>
      <c r="BV12" s="310">
        <v>0</v>
      </c>
      <c r="BW12" s="310"/>
      <c r="BX12" s="310">
        <v>0</v>
      </c>
      <c r="BY12" s="310">
        <v>0</v>
      </c>
      <c r="BZ12" s="310">
        <f>+AK12-BT12</f>
        <v>4701950</v>
      </c>
      <c r="CA12" s="310">
        <v>0</v>
      </c>
      <c r="CB12" s="310">
        <v>0</v>
      </c>
    </row>
    <row r="13" spans="1:80" s="295" customFormat="1" x14ac:dyDescent="0.25">
      <c r="A13" s="295">
        <v>2024</v>
      </c>
      <c r="B13" s="295">
        <v>8</v>
      </c>
      <c r="C13" s="296">
        <v>45292</v>
      </c>
      <c r="D13" s="296">
        <v>45535</v>
      </c>
      <c r="E13" s="295" t="s">
        <v>477</v>
      </c>
      <c r="F13" s="296">
        <v>45519</v>
      </c>
      <c r="G13" s="295" t="s">
        <v>502</v>
      </c>
      <c r="H13" s="295" t="s">
        <v>503</v>
      </c>
      <c r="I13" s="295" t="s">
        <v>551</v>
      </c>
      <c r="J13" s="296">
        <v>45520</v>
      </c>
      <c r="K13" s="296">
        <v>45657</v>
      </c>
      <c r="L13" s="295" t="s">
        <v>552</v>
      </c>
      <c r="M13" s="295" t="s">
        <v>482</v>
      </c>
      <c r="N13" s="295" t="s">
        <v>483</v>
      </c>
      <c r="O13" s="295">
        <v>1551</v>
      </c>
      <c r="P13" s="295">
        <v>1772</v>
      </c>
      <c r="Q13" s="295" t="s">
        <v>553</v>
      </c>
      <c r="R13" s="295" t="s">
        <v>485</v>
      </c>
      <c r="S13" s="295" t="s">
        <v>486</v>
      </c>
      <c r="T13" s="295" t="s">
        <v>487</v>
      </c>
      <c r="U13" s="295" t="s">
        <v>488</v>
      </c>
      <c r="V13" s="295" t="s">
        <v>506</v>
      </c>
      <c r="W13" s="295" t="s">
        <v>507</v>
      </c>
      <c r="X13" s="295" t="s">
        <v>491</v>
      </c>
      <c r="Y13" s="295" t="s">
        <v>492</v>
      </c>
      <c r="Z13" s="295" t="s">
        <v>493</v>
      </c>
      <c r="AA13" s="295" t="s">
        <v>508</v>
      </c>
      <c r="AB13" s="295" t="s">
        <v>509</v>
      </c>
      <c r="AC13" s="295" t="s">
        <v>554</v>
      </c>
      <c r="AD13" s="295" t="s">
        <v>511</v>
      </c>
      <c r="AE13" s="295" t="s">
        <v>555</v>
      </c>
      <c r="AF13" s="295" t="s">
        <v>556</v>
      </c>
      <c r="AG13" s="409">
        <v>4333724</v>
      </c>
      <c r="AH13" s="409">
        <v>160508</v>
      </c>
      <c r="AI13" s="409">
        <v>0</v>
      </c>
      <c r="AJ13" s="409">
        <v>4173216</v>
      </c>
      <c r="AK13" s="409">
        <v>1284067</v>
      </c>
      <c r="AL13" s="409">
        <v>2889149</v>
      </c>
      <c r="AM13" s="295">
        <v>5000724814</v>
      </c>
      <c r="AN13" s="295">
        <v>2</v>
      </c>
      <c r="AO13" s="295">
        <v>590985</v>
      </c>
      <c r="AP13" s="295">
        <v>2</v>
      </c>
      <c r="AQ13" s="296">
        <v>45519</v>
      </c>
      <c r="AR13" s="298">
        <v>8198</v>
      </c>
      <c r="AS13" s="299">
        <f>5665000*17%</f>
        <v>963050.00000000012</v>
      </c>
      <c r="AT13" s="300">
        <v>45525</v>
      </c>
      <c r="AU13" s="300">
        <v>45657</v>
      </c>
      <c r="AV13" s="301" t="s">
        <v>500</v>
      </c>
      <c r="AW13" s="302">
        <f>AS13/30*10</f>
        <v>321016.66666666674</v>
      </c>
      <c r="AX13" s="405">
        <v>321017</v>
      </c>
      <c r="AY13" s="302">
        <f t="shared" si="2"/>
        <v>963050.00000000012</v>
      </c>
      <c r="AZ13" s="302">
        <v>963050.00000000012</v>
      </c>
      <c r="BA13" s="302">
        <f t="shared" si="3"/>
        <v>963050.00000000012</v>
      </c>
      <c r="BB13" s="302"/>
      <c r="BC13" s="302">
        <f t="shared" si="4"/>
        <v>963050.00000000012</v>
      </c>
      <c r="BD13" s="302"/>
      <c r="BE13" s="302">
        <f>+AS13</f>
        <v>963050.00000000012</v>
      </c>
      <c r="BF13" s="303"/>
      <c r="BG13" s="410">
        <f t="shared" si="0"/>
        <v>160508</v>
      </c>
      <c r="BH13" s="305">
        <f t="shared" si="1"/>
        <v>-0.66666666697710752</v>
      </c>
      <c r="BI13" s="307">
        <v>160508.33333333337</v>
      </c>
      <c r="BJ13" s="306">
        <v>0</v>
      </c>
      <c r="BK13" s="306">
        <v>0</v>
      </c>
      <c r="BL13" s="306">
        <v>0</v>
      </c>
      <c r="BM13" s="307">
        <f>+AG13</f>
        <v>4333724</v>
      </c>
      <c r="BN13" s="306">
        <v>0</v>
      </c>
      <c r="BO13" s="413"/>
      <c r="BP13" s="308"/>
      <c r="BR13" s="310">
        <v>0</v>
      </c>
      <c r="BS13" s="310">
        <v>0</v>
      </c>
      <c r="BT13" s="310">
        <v>0</v>
      </c>
      <c r="BU13" s="310">
        <f>+AX13</f>
        <v>321017</v>
      </c>
      <c r="BV13" s="310">
        <v>0</v>
      </c>
      <c r="BW13" s="310"/>
      <c r="BX13" s="310">
        <v>0</v>
      </c>
      <c r="BY13" s="310">
        <v>0</v>
      </c>
      <c r="BZ13" s="310">
        <v>0</v>
      </c>
      <c r="CA13" s="310">
        <f>AK13-BU13</f>
        <v>963050</v>
      </c>
      <c r="CB13" s="310">
        <v>0</v>
      </c>
    </row>
    <row r="14" spans="1:80" s="295" customFormat="1" x14ac:dyDescent="0.25">
      <c r="A14" s="295">
        <v>2024</v>
      </c>
      <c r="B14" s="295">
        <v>8</v>
      </c>
      <c r="C14" s="296">
        <v>45292</v>
      </c>
      <c r="D14" s="296">
        <v>45535</v>
      </c>
      <c r="E14" s="295" t="s">
        <v>477</v>
      </c>
      <c r="F14" s="296">
        <v>45524</v>
      </c>
      <c r="G14" s="295" t="s">
        <v>502</v>
      </c>
      <c r="H14" s="295" t="s">
        <v>503</v>
      </c>
      <c r="I14" s="295" t="s">
        <v>557</v>
      </c>
      <c r="J14" s="296">
        <v>45524</v>
      </c>
      <c r="K14" s="296">
        <v>45657</v>
      </c>
      <c r="L14" s="295" t="s">
        <v>558</v>
      </c>
      <c r="M14" s="295" t="s">
        <v>482</v>
      </c>
      <c r="N14" s="295" t="s">
        <v>483</v>
      </c>
      <c r="O14" s="295">
        <v>1566</v>
      </c>
      <c r="P14" s="295">
        <v>1811</v>
      </c>
      <c r="Q14" s="295" t="s">
        <v>559</v>
      </c>
      <c r="R14" s="295" t="s">
        <v>485</v>
      </c>
      <c r="S14" s="295" t="s">
        <v>486</v>
      </c>
      <c r="T14" s="295" t="s">
        <v>487</v>
      </c>
      <c r="U14" s="295" t="s">
        <v>488</v>
      </c>
      <c r="V14" s="295" t="s">
        <v>506</v>
      </c>
      <c r="W14" s="295" t="s">
        <v>507</v>
      </c>
      <c r="X14" s="295" t="s">
        <v>491</v>
      </c>
      <c r="Y14" s="295" t="s">
        <v>492</v>
      </c>
      <c r="Z14" s="295" t="s">
        <v>493</v>
      </c>
      <c r="AA14" s="295" t="s">
        <v>508</v>
      </c>
      <c r="AB14" s="295" t="s">
        <v>509</v>
      </c>
      <c r="AC14" s="295" t="s">
        <v>560</v>
      </c>
      <c r="AD14" s="295" t="s">
        <v>511</v>
      </c>
      <c r="AE14" s="295" t="s">
        <v>561</v>
      </c>
      <c r="AF14" s="295" t="s">
        <v>562</v>
      </c>
      <c r="AG14" s="409">
        <v>15946667</v>
      </c>
      <c r="AH14" s="409">
        <v>245333</v>
      </c>
      <c r="AI14" s="409">
        <v>0</v>
      </c>
      <c r="AJ14" s="409">
        <v>15701334</v>
      </c>
      <c r="AK14" s="409">
        <v>4661334</v>
      </c>
      <c r="AL14" s="409">
        <v>11040000</v>
      </c>
      <c r="AM14" s="295">
        <v>5000726899</v>
      </c>
      <c r="AN14" s="295">
        <v>1</v>
      </c>
      <c r="AO14" s="295">
        <v>591064</v>
      </c>
      <c r="AP14" s="295">
        <v>1</v>
      </c>
      <c r="AQ14" s="296">
        <v>45524</v>
      </c>
      <c r="AR14" s="298">
        <v>8198</v>
      </c>
      <c r="AS14" s="299">
        <f>4600000*80%</f>
        <v>3680000</v>
      </c>
      <c r="AT14" s="300">
        <v>45527</v>
      </c>
      <c r="AU14" s="300">
        <v>45657</v>
      </c>
      <c r="AV14" s="301" t="s">
        <v>500</v>
      </c>
      <c r="AW14" s="302">
        <f>AS14/30*8</f>
        <v>981333.33333333337</v>
      </c>
      <c r="AX14" s="405">
        <v>981334</v>
      </c>
      <c r="AY14" s="302">
        <f t="shared" si="2"/>
        <v>3680000</v>
      </c>
      <c r="AZ14" s="302">
        <v>3680000</v>
      </c>
      <c r="BA14" s="302">
        <f t="shared" si="3"/>
        <v>3680000</v>
      </c>
      <c r="BB14" s="302"/>
      <c r="BC14" s="302">
        <f t="shared" si="4"/>
        <v>3680000</v>
      </c>
      <c r="BD14" s="302"/>
      <c r="BE14" s="302">
        <f t="shared" ref="BE14:BE29" si="5">AS14</f>
        <v>3680000</v>
      </c>
      <c r="BF14" s="303"/>
      <c r="BG14" s="410">
        <f t="shared" si="0"/>
        <v>245333</v>
      </c>
      <c r="BH14" s="305">
        <f t="shared" si="1"/>
        <v>0.6666666679084301</v>
      </c>
      <c r="BI14" s="307">
        <v>245333.33333333334</v>
      </c>
      <c r="BJ14" s="306">
        <v>0</v>
      </c>
      <c r="BK14" s="306">
        <v>0</v>
      </c>
      <c r="BL14" s="307">
        <f>+AJ14</f>
        <v>15701334</v>
      </c>
      <c r="BM14" s="306">
        <v>0</v>
      </c>
      <c r="BN14" s="306">
        <v>0</v>
      </c>
      <c r="BO14" s="308"/>
      <c r="BP14" s="308"/>
      <c r="BR14" s="310">
        <v>0</v>
      </c>
      <c r="BS14" s="310">
        <v>0</v>
      </c>
      <c r="BT14" s="310">
        <f t="shared" ref="BT14" si="6">+AX14</f>
        <v>981334</v>
      </c>
      <c r="BU14" s="310">
        <v>0</v>
      </c>
      <c r="BV14" s="310">
        <v>0</v>
      </c>
      <c r="BW14" s="310"/>
      <c r="BX14" s="310">
        <v>0</v>
      </c>
      <c r="BY14" s="310">
        <v>0</v>
      </c>
      <c r="BZ14" s="310">
        <f>+AK14-BT14</f>
        <v>3680000</v>
      </c>
      <c r="CA14" s="310">
        <v>0</v>
      </c>
      <c r="CB14" s="310">
        <v>0</v>
      </c>
    </row>
    <row r="15" spans="1:80" s="295" customFormat="1" x14ac:dyDescent="0.25">
      <c r="A15" s="295">
        <v>2024</v>
      </c>
      <c r="B15" s="295">
        <v>8</v>
      </c>
      <c r="C15" s="296">
        <v>45292</v>
      </c>
      <c r="D15" s="296">
        <v>45535</v>
      </c>
      <c r="E15" s="295" t="s">
        <v>477</v>
      </c>
      <c r="F15" s="296">
        <v>45524</v>
      </c>
      <c r="G15" s="295" t="s">
        <v>502</v>
      </c>
      <c r="H15" s="295" t="s">
        <v>503</v>
      </c>
      <c r="I15" s="295" t="s">
        <v>557</v>
      </c>
      <c r="J15" s="296">
        <v>45524</v>
      </c>
      <c r="K15" s="296">
        <v>45657</v>
      </c>
      <c r="L15" s="295" t="s">
        <v>558</v>
      </c>
      <c r="M15" s="295" t="s">
        <v>482</v>
      </c>
      <c r="N15" s="295" t="s">
        <v>483</v>
      </c>
      <c r="O15" s="295">
        <v>1566</v>
      </c>
      <c r="P15" s="295">
        <v>1811</v>
      </c>
      <c r="Q15" s="295" t="s">
        <v>559</v>
      </c>
      <c r="R15" s="295" t="s">
        <v>485</v>
      </c>
      <c r="S15" s="295" t="s">
        <v>486</v>
      </c>
      <c r="T15" s="295" t="s">
        <v>487</v>
      </c>
      <c r="U15" s="295" t="s">
        <v>488</v>
      </c>
      <c r="V15" s="295" t="s">
        <v>506</v>
      </c>
      <c r="W15" s="295" t="s">
        <v>507</v>
      </c>
      <c r="X15" s="295" t="s">
        <v>491</v>
      </c>
      <c r="Y15" s="295" t="s">
        <v>492</v>
      </c>
      <c r="Z15" s="295" t="s">
        <v>493</v>
      </c>
      <c r="AA15" s="295" t="s">
        <v>508</v>
      </c>
      <c r="AB15" s="295" t="s">
        <v>509</v>
      </c>
      <c r="AC15" s="295" t="s">
        <v>560</v>
      </c>
      <c r="AD15" s="295" t="s">
        <v>511</v>
      </c>
      <c r="AE15" s="295" t="s">
        <v>561</v>
      </c>
      <c r="AF15" s="295" t="s">
        <v>562</v>
      </c>
      <c r="AG15" s="409">
        <v>3986666</v>
      </c>
      <c r="AH15" s="409">
        <v>61333</v>
      </c>
      <c r="AI15" s="409">
        <v>0</v>
      </c>
      <c r="AJ15" s="409">
        <v>3925333</v>
      </c>
      <c r="AK15" s="409">
        <v>1165333</v>
      </c>
      <c r="AL15" s="409">
        <v>2760000</v>
      </c>
      <c r="AM15" s="295">
        <v>5000726899</v>
      </c>
      <c r="AN15" s="295">
        <v>2</v>
      </c>
      <c r="AO15" s="295">
        <v>591064</v>
      </c>
      <c r="AP15" s="295">
        <v>2</v>
      </c>
      <c r="AQ15" s="296">
        <v>45524</v>
      </c>
      <c r="AR15" s="298">
        <v>8198</v>
      </c>
      <c r="AS15" s="299">
        <f>4600000*20%</f>
        <v>920000</v>
      </c>
      <c r="AT15" s="300">
        <v>45527</v>
      </c>
      <c r="AU15" s="300">
        <v>45657</v>
      </c>
      <c r="AV15" s="301" t="s">
        <v>500</v>
      </c>
      <c r="AW15" s="302">
        <f>AS15/30*8</f>
        <v>245333.33333333334</v>
      </c>
      <c r="AX15" s="405">
        <v>245333</v>
      </c>
      <c r="AY15" s="302">
        <f t="shared" si="2"/>
        <v>920000</v>
      </c>
      <c r="AZ15" s="302">
        <v>920000</v>
      </c>
      <c r="BA15" s="302">
        <f t="shared" si="3"/>
        <v>920000</v>
      </c>
      <c r="BB15" s="302"/>
      <c r="BC15" s="302">
        <f t="shared" si="4"/>
        <v>920000</v>
      </c>
      <c r="BD15" s="302"/>
      <c r="BE15" s="302">
        <f t="shared" si="5"/>
        <v>920000</v>
      </c>
      <c r="BF15" s="303"/>
      <c r="BG15" s="410">
        <f t="shared" si="0"/>
        <v>61333</v>
      </c>
      <c r="BH15" s="305">
        <f t="shared" si="1"/>
        <v>-0.33333333302289248</v>
      </c>
      <c r="BI15" s="307">
        <v>61333.333333333336</v>
      </c>
      <c r="BJ15" s="306">
        <v>0</v>
      </c>
      <c r="BK15" s="306">
        <v>0</v>
      </c>
      <c r="BL15" s="306">
        <v>0</v>
      </c>
      <c r="BM15" s="307">
        <f>+AJ15</f>
        <v>3925333</v>
      </c>
      <c r="BN15" s="306">
        <v>0</v>
      </c>
      <c r="BO15" s="411"/>
      <c r="BP15" s="308"/>
      <c r="BR15" s="310">
        <v>0</v>
      </c>
      <c r="BS15" s="310">
        <v>0</v>
      </c>
      <c r="BT15" s="310">
        <v>0</v>
      </c>
      <c r="BU15" s="310">
        <f t="shared" ref="BU15" si="7">+AX15</f>
        <v>245333</v>
      </c>
      <c r="BV15" s="310">
        <v>0</v>
      </c>
      <c r="BW15" s="310"/>
      <c r="BX15" s="310">
        <v>0</v>
      </c>
      <c r="BY15" s="310">
        <v>0</v>
      </c>
      <c r="BZ15" s="310">
        <v>0</v>
      </c>
      <c r="CA15" s="310">
        <f>AK15-BU15</f>
        <v>920000</v>
      </c>
      <c r="CB15" s="310">
        <v>0</v>
      </c>
    </row>
    <row r="16" spans="1:80" s="295" customFormat="1" x14ac:dyDescent="0.25">
      <c r="A16" s="295">
        <v>2024</v>
      </c>
      <c r="B16" s="295">
        <v>8</v>
      </c>
      <c r="C16" s="296">
        <v>45292</v>
      </c>
      <c r="D16" s="296">
        <v>45535</v>
      </c>
      <c r="E16" s="295" t="s">
        <v>477</v>
      </c>
      <c r="F16" s="296">
        <v>45524</v>
      </c>
      <c r="G16" s="295" t="s">
        <v>502</v>
      </c>
      <c r="H16" s="295" t="s">
        <v>503</v>
      </c>
      <c r="I16" s="295" t="s">
        <v>563</v>
      </c>
      <c r="J16" s="296">
        <v>45524</v>
      </c>
      <c r="K16" s="296">
        <v>45657</v>
      </c>
      <c r="L16" s="295" t="s">
        <v>558</v>
      </c>
      <c r="M16" s="295" t="s">
        <v>482</v>
      </c>
      <c r="N16" s="295" t="s">
        <v>483</v>
      </c>
      <c r="O16" s="295">
        <v>1562</v>
      </c>
      <c r="P16" s="295">
        <v>1813</v>
      </c>
      <c r="Q16" s="295" t="s">
        <v>559</v>
      </c>
      <c r="R16" s="295" t="s">
        <v>485</v>
      </c>
      <c r="S16" s="295" t="s">
        <v>486</v>
      </c>
      <c r="T16" s="295" t="s">
        <v>487</v>
      </c>
      <c r="U16" s="295" t="s">
        <v>488</v>
      </c>
      <c r="V16" s="295" t="s">
        <v>506</v>
      </c>
      <c r="W16" s="295" t="s">
        <v>507</v>
      </c>
      <c r="X16" s="295" t="s">
        <v>491</v>
      </c>
      <c r="Y16" s="295" t="s">
        <v>492</v>
      </c>
      <c r="Z16" s="295" t="s">
        <v>493</v>
      </c>
      <c r="AA16" s="295" t="s">
        <v>508</v>
      </c>
      <c r="AB16" s="295" t="s">
        <v>509</v>
      </c>
      <c r="AC16" s="295" t="s">
        <v>564</v>
      </c>
      <c r="AD16" s="295" t="s">
        <v>511</v>
      </c>
      <c r="AE16" s="295" t="s">
        <v>565</v>
      </c>
      <c r="AF16" s="295" t="s">
        <v>566</v>
      </c>
      <c r="AG16" s="409">
        <v>15946667</v>
      </c>
      <c r="AH16" s="409">
        <v>613333</v>
      </c>
      <c r="AI16" s="409">
        <v>0</v>
      </c>
      <c r="AJ16" s="409">
        <v>15333334</v>
      </c>
      <c r="AK16" s="409">
        <v>4293334</v>
      </c>
      <c r="AL16" s="409">
        <v>11040000</v>
      </c>
      <c r="AM16" s="295">
        <v>5000726902</v>
      </c>
      <c r="AN16" s="295">
        <v>1</v>
      </c>
      <c r="AO16" s="295">
        <v>591024</v>
      </c>
      <c r="AP16" s="295">
        <v>1</v>
      </c>
      <c r="AQ16" s="296">
        <v>45524</v>
      </c>
      <c r="AR16" s="298">
        <v>8198</v>
      </c>
      <c r="AS16" s="299">
        <f>4600000*80%</f>
        <v>3680000</v>
      </c>
      <c r="AT16" s="300">
        <v>45530</v>
      </c>
      <c r="AU16" s="300">
        <v>45657</v>
      </c>
      <c r="AV16" s="301" t="s">
        <v>500</v>
      </c>
      <c r="AW16" s="302">
        <f>AS16/30*5</f>
        <v>613333.33333333337</v>
      </c>
      <c r="AX16" s="405">
        <v>613334</v>
      </c>
      <c r="AY16" s="302">
        <f t="shared" si="2"/>
        <v>3680000</v>
      </c>
      <c r="AZ16" s="302">
        <v>3680000</v>
      </c>
      <c r="BA16" s="302">
        <f t="shared" si="3"/>
        <v>3680000</v>
      </c>
      <c r="BB16" s="302"/>
      <c r="BC16" s="302">
        <f t="shared" si="4"/>
        <v>3680000</v>
      </c>
      <c r="BD16" s="302"/>
      <c r="BE16" s="302">
        <f t="shared" si="5"/>
        <v>3680000</v>
      </c>
      <c r="BF16" s="303"/>
      <c r="BG16" s="410">
        <f t="shared" si="0"/>
        <v>613333</v>
      </c>
      <c r="BH16" s="305">
        <f t="shared" si="1"/>
        <v>0.6666666679084301</v>
      </c>
      <c r="BI16" s="307">
        <v>613333.33333333337</v>
      </c>
      <c r="BJ16" s="306">
        <v>0</v>
      </c>
      <c r="BK16" s="306">
        <v>0</v>
      </c>
      <c r="BL16" s="307">
        <f>+AJ16</f>
        <v>15333334</v>
      </c>
      <c r="BM16" s="306">
        <v>0</v>
      </c>
      <c r="BN16" s="306">
        <v>0</v>
      </c>
      <c r="BP16" s="308"/>
      <c r="BR16" s="310">
        <v>0</v>
      </c>
      <c r="BS16" s="310">
        <v>0</v>
      </c>
      <c r="BT16" s="310">
        <f t="shared" ref="BT16" si="8">+AX16</f>
        <v>613334</v>
      </c>
      <c r="BU16" s="310">
        <v>0</v>
      </c>
      <c r="BV16" s="310">
        <v>0</v>
      </c>
      <c r="BW16" s="310"/>
      <c r="BX16" s="310">
        <v>0</v>
      </c>
      <c r="BY16" s="310">
        <v>0</v>
      </c>
      <c r="BZ16" s="310">
        <f>+AK16-BT16</f>
        <v>3680000</v>
      </c>
      <c r="CA16" s="310">
        <v>0</v>
      </c>
      <c r="CB16" s="310">
        <v>0</v>
      </c>
    </row>
    <row r="17" spans="1:81" s="295" customFormat="1" x14ac:dyDescent="0.25">
      <c r="A17" s="295">
        <v>2024</v>
      </c>
      <c r="B17" s="295">
        <v>8</v>
      </c>
      <c r="C17" s="296">
        <v>45292</v>
      </c>
      <c r="D17" s="296">
        <v>45535</v>
      </c>
      <c r="E17" s="295" t="s">
        <v>477</v>
      </c>
      <c r="F17" s="296">
        <v>45524</v>
      </c>
      <c r="G17" s="295" t="s">
        <v>502</v>
      </c>
      <c r="H17" s="295" t="s">
        <v>503</v>
      </c>
      <c r="I17" s="295" t="s">
        <v>563</v>
      </c>
      <c r="J17" s="296">
        <v>45524</v>
      </c>
      <c r="K17" s="296">
        <v>45657</v>
      </c>
      <c r="L17" s="295" t="s">
        <v>558</v>
      </c>
      <c r="M17" s="295" t="s">
        <v>482</v>
      </c>
      <c r="N17" s="295" t="s">
        <v>483</v>
      </c>
      <c r="O17" s="295">
        <v>1562</v>
      </c>
      <c r="P17" s="295">
        <v>1813</v>
      </c>
      <c r="Q17" s="295" t="s">
        <v>559</v>
      </c>
      <c r="R17" s="295" t="s">
        <v>485</v>
      </c>
      <c r="S17" s="295" t="s">
        <v>486</v>
      </c>
      <c r="T17" s="295" t="s">
        <v>487</v>
      </c>
      <c r="U17" s="295" t="s">
        <v>488</v>
      </c>
      <c r="V17" s="295" t="s">
        <v>506</v>
      </c>
      <c r="W17" s="295" t="s">
        <v>507</v>
      </c>
      <c r="X17" s="295" t="s">
        <v>491</v>
      </c>
      <c r="Y17" s="295" t="s">
        <v>492</v>
      </c>
      <c r="Z17" s="295" t="s">
        <v>493</v>
      </c>
      <c r="AA17" s="295" t="s">
        <v>508</v>
      </c>
      <c r="AB17" s="295" t="s">
        <v>509</v>
      </c>
      <c r="AC17" s="295" t="s">
        <v>564</v>
      </c>
      <c r="AD17" s="295" t="s">
        <v>511</v>
      </c>
      <c r="AE17" s="295" t="s">
        <v>565</v>
      </c>
      <c r="AF17" s="295" t="s">
        <v>566</v>
      </c>
      <c r="AG17" s="409">
        <v>3986666</v>
      </c>
      <c r="AH17" s="409">
        <v>153333</v>
      </c>
      <c r="AI17" s="409">
        <v>0</v>
      </c>
      <c r="AJ17" s="409">
        <v>3833333</v>
      </c>
      <c r="AK17" s="409">
        <v>1073333</v>
      </c>
      <c r="AL17" s="409">
        <v>2760000</v>
      </c>
      <c r="AM17" s="295">
        <v>5000726902</v>
      </c>
      <c r="AN17" s="295">
        <v>2</v>
      </c>
      <c r="AO17" s="295">
        <v>591024</v>
      </c>
      <c r="AP17" s="295">
        <v>2</v>
      </c>
      <c r="AQ17" s="296">
        <v>45524</v>
      </c>
      <c r="AR17" s="298">
        <v>8198</v>
      </c>
      <c r="AS17" s="299">
        <f>4600000*20%</f>
        <v>920000</v>
      </c>
      <c r="AT17" s="300">
        <v>45530</v>
      </c>
      <c r="AU17" s="300">
        <v>45657</v>
      </c>
      <c r="AV17" s="301" t="s">
        <v>500</v>
      </c>
      <c r="AW17" s="302">
        <f>AS17/30*5</f>
        <v>153333.33333333334</v>
      </c>
      <c r="AX17" s="405">
        <v>153333</v>
      </c>
      <c r="AY17" s="302">
        <f t="shared" si="2"/>
        <v>920000</v>
      </c>
      <c r="AZ17" s="302">
        <v>920000</v>
      </c>
      <c r="BA17" s="302">
        <f t="shared" si="3"/>
        <v>920000</v>
      </c>
      <c r="BB17" s="302"/>
      <c r="BC17" s="302">
        <f t="shared" si="4"/>
        <v>920000</v>
      </c>
      <c r="BD17" s="302"/>
      <c r="BE17" s="302">
        <f t="shared" si="5"/>
        <v>920000</v>
      </c>
      <c r="BF17" s="303"/>
      <c r="BG17" s="410">
        <f t="shared" si="0"/>
        <v>153333</v>
      </c>
      <c r="BH17" s="305">
        <f t="shared" si="1"/>
        <v>-0.33333333302289248</v>
      </c>
      <c r="BI17" s="307">
        <v>153333.33333333334</v>
      </c>
      <c r="BJ17" s="306">
        <v>0</v>
      </c>
      <c r="BK17" s="306">
        <v>0</v>
      </c>
      <c r="BL17" s="306">
        <v>0</v>
      </c>
      <c r="BM17" s="307">
        <f>+AJ17</f>
        <v>3833333</v>
      </c>
      <c r="BN17" s="306">
        <v>0</v>
      </c>
      <c r="BP17" s="308"/>
      <c r="BR17" s="310">
        <v>0</v>
      </c>
      <c r="BS17" s="310">
        <v>0</v>
      </c>
      <c r="BT17" s="310">
        <v>0</v>
      </c>
      <c r="BU17" s="310">
        <f t="shared" ref="BU17" si="9">+AX17</f>
        <v>153333</v>
      </c>
      <c r="BV17" s="310">
        <v>0</v>
      </c>
      <c r="BW17" s="310"/>
      <c r="BX17" s="310">
        <v>0</v>
      </c>
      <c r="BY17" s="310">
        <v>0</v>
      </c>
      <c r="BZ17" s="310">
        <v>0</v>
      </c>
      <c r="CA17" s="310">
        <f>AK17-BU17</f>
        <v>920000</v>
      </c>
      <c r="CB17" s="310">
        <v>0</v>
      </c>
    </row>
    <row r="18" spans="1:81" s="295" customFormat="1" x14ac:dyDescent="0.25">
      <c r="A18" s="295">
        <v>2024</v>
      </c>
      <c r="B18" s="295">
        <v>8</v>
      </c>
      <c r="C18" s="296">
        <v>45292</v>
      </c>
      <c r="D18" s="296">
        <v>45535</v>
      </c>
      <c r="E18" s="295" t="s">
        <v>477</v>
      </c>
      <c r="F18" s="296">
        <v>45524</v>
      </c>
      <c r="G18" s="295" t="s">
        <v>502</v>
      </c>
      <c r="H18" s="295" t="s">
        <v>503</v>
      </c>
      <c r="I18" s="295" t="s">
        <v>567</v>
      </c>
      <c r="J18" s="296">
        <v>45524</v>
      </c>
      <c r="K18" s="296">
        <v>45657</v>
      </c>
      <c r="L18" s="295" t="s">
        <v>558</v>
      </c>
      <c r="M18" s="295" t="s">
        <v>482</v>
      </c>
      <c r="N18" s="295" t="s">
        <v>483</v>
      </c>
      <c r="O18" s="295">
        <v>1553</v>
      </c>
      <c r="P18" s="295">
        <v>1815</v>
      </c>
      <c r="Q18" s="295" t="s">
        <v>559</v>
      </c>
      <c r="R18" s="295" t="s">
        <v>485</v>
      </c>
      <c r="S18" s="295" t="s">
        <v>486</v>
      </c>
      <c r="T18" s="295" t="s">
        <v>487</v>
      </c>
      <c r="U18" s="295" t="s">
        <v>488</v>
      </c>
      <c r="V18" s="295" t="s">
        <v>506</v>
      </c>
      <c r="W18" s="295" t="s">
        <v>507</v>
      </c>
      <c r="X18" s="295" t="s">
        <v>491</v>
      </c>
      <c r="Y18" s="295" t="s">
        <v>492</v>
      </c>
      <c r="Z18" s="295" t="s">
        <v>493</v>
      </c>
      <c r="AA18" s="295" t="s">
        <v>508</v>
      </c>
      <c r="AB18" s="295" t="s">
        <v>509</v>
      </c>
      <c r="AC18" s="295" t="s">
        <v>568</v>
      </c>
      <c r="AD18" s="295" t="s">
        <v>511</v>
      </c>
      <c r="AE18" s="295" t="s">
        <v>569</v>
      </c>
      <c r="AF18" s="295" t="s">
        <v>570</v>
      </c>
      <c r="AG18" s="409">
        <v>15946667</v>
      </c>
      <c r="AH18" s="409">
        <v>858666</v>
      </c>
      <c r="AI18" s="409">
        <v>0</v>
      </c>
      <c r="AJ18" s="409">
        <v>15088001</v>
      </c>
      <c r="AK18" s="409">
        <v>4048000</v>
      </c>
      <c r="AL18" s="409">
        <v>11040001</v>
      </c>
      <c r="AM18" s="295">
        <v>5000726904</v>
      </c>
      <c r="AN18" s="295">
        <v>1</v>
      </c>
      <c r="AO18" s="295">
        <v>590991</v>
      </c>
      <c r="AP18" s="295">
        <v>1</v>
      </c>
      <c r="AQ18" s="296">
        <v>45524</v>
      </c>
      <c r="AR18" s="298">
        <v>8198</v>
      </c>
      <c r="AS18" s="299">
        <f>4600000*80%</f>
        <v>3680000</v>
      </c>
      <c r="AT18" s="300">
        <v>45532</v>
      </c>
      <c r="AU18" s="300">
        <v>45657</v>
      </c>
      <c r="AV18" s="301" t="s">
        <v>500</v>
      </c>
      <c r="AW18" s="302">
        <f>AS18/30*3</f>
        <v>368000</v>
      </c>
      <c r="AX18" s="405">
        <v>368000</v>
      </c>
      <c r="AY18" s="302">
        <f t="shared" si="2"/>
        <v>3680000</v>
      </c>
      <c r="AZ18" s="302">
        <v>3680000</v>
      </c>
      <c r="BA18" s="302">
        <f t="shared" si="3"/>
        <v>3680000</v>
      </c>
      <c r="BB18" s="302"/>
      <c r="BC18" s="302">
        <f t="shared" si="4"/>
        <v>3680000</v>
      </c>
      <c r="BD18" s="302"/>
      <c r="BE18" s="302">
        <f t="shared" si="5"/>
        <v>3680000</v>
      </c>
      <c r="BF18" s="303"/>
      <c r="BG18" s="410">
        <f t="shared" si="0"/>
        <v>858666</v>
      </c>
      <c r="BH18" s="305">
        <f t="shared" si="1"/>
        <v>1</v>
      </c>
      <c r="BI18" s="307">
        <v>858666.66666666674</v>
      </c>
      <c r="BJ18" s="306">
        <v>0</v>
      </c>
      <c r="BK18" s="306">
        <v>0</v>
      </c>
      <c r="BL18" s="307">
        <f>+AJ18</f>
        <v>15088001</v>
      </c>
      <c r="BM18" s="306">
        <v>0</v>
      </c>
      <c r="BN18" s="306">
        <v>0</v>
      </c>
      <c r="BP18" s="308"/>
      <c r="BR18" s="310">
        <v>0</v>
      </c>
      <c r="BS18" s="310">
        <v>0</v>
      </c>
      <c r="BT18" s="310">
        <f t="shared" ref="BT18" si="10">+AX18</f>
        <v>368000</v>
      </c>
      <c r="BU18" s="310">
        <v>0</v>
      </c>
      <c r="BV18" s="310">
        <v>0</v>
      </c>
      <c r="BW18" s="310"/>
      <c r="BX18" s="310">
        <v>0</v>
      </c>
      <c r="BY18" s="310">
        <v>0</v>
      </c>
      <c r="BZ18" s="310">
        <f>+AK18-BT18</f>
        <v>3680000</v>
      </c>
      <c r="CA18" s="310">
        <v>0</v>
      </c>
      <c r="CB18" s="310">
        <v>0</v>
      </c>
    </row>
    <row r="19" spans="1:81" s="295" customFormat="1" x14ac:dyDescent="0.25">
      <c r="A19" s="295">
        <v>2024</v>
      </c>
      <c r="B19" s="295">
        <v>8</v>
      </c>
      <c r="C19" s="296">
        <v>45292</v>
      </c>
      <c r="D19" s="296">
        <v>45535</v>
      </c>
      <c r="E19" s="295" t="s">
        <v>477</v>
      </c>
      <c r="F19" s="296">
        <v>45524</v>
      </c>
      <c r="G19" s="295" t="s">
        <v>502</v>
      </c>
      <c r="H19" s="295" t="s">
        <v>503</v>
      </c>
      <c r="I19" s="295" t="s">
        <v>567</v>
      </c>
      <c r="J19" s="296">
        <v>45524</v>
      </c>
      <c r="K19" s="296">
        <v>45657</v>
      </c>
      <c r="L19" s="295" t="s">
        <v>558</v>
      </c>
      <c r="M19" s="295" t="s">
        <v>482</v>
      </c>
      <c r="N19" s="295" t="s">
        <v>483</v>
      </c>
      <c r="O19" s="295">
        <v>1553</v>
      </c>
      <c r="P19" s="295">
        <v>1815</v>
      </c>
      <c r="Q19" s="295" t="s">
        <v>559</v>
      </c>
      <c r="R19" s="295" t="s">
        <v>485</v>
      </c>
      <c r="S19" s="295" t="s">
        <v>486</v>
      </c>
      <c r="T19" s="295" t="s">
        <v>487</v>
      </c>
      <c r="U19" s="295" t="s">
        <v>488</v>
      </c>
      <c r="V19" s="295" t="s">
        <v>506</v>
      </c>
      <c r="W19" s="295" t="s">
        <v>507</v>
      </c>
      <c r="X19" s="295" t="s">
        <v>491</v>
      </c>
      <c r="Y19" s="295" t="s">
        <v>492</v>
      </c>
      <c r="Z19" s="295" t="s">
        <v>493</v>
      </c>
      <c r="AA19" s="295" t="s">
        <v>508</v>
      </c>
      <c r="AB19" s="295" t="s">
        <v>509</v>
      </c>
      <c r="AC19" s="295" t="s">
        <v>568</v>
      </c>
      <c r="AD19" s="295" t="s">
        <v>511</v>
      </c>
      <c r="AE19" s="295" t="s">
        <v>569</v>
      </c>
      <c r="AF19" s="295" t="s">
        <v>570</v>
      </c>
      <c r="AG19" s="409">
        <v>3986666</v>
      </c>
      <c r="AH19" s="409">
        <v>214667</v>
      </c>
      <c r="AI19" s="409">
        <v>0</v>
      </c>
      <c r="AJ19" s="409">
        <v>3771999</v>
      </c>
      <c r="AK19" s="409">
        <v>1012000</v>
      </c>
      <c r="AL19" s="409">
        <v>2759999</v>
      </c>
      <c r="AM19" s="295">
        <v>5000726904</v>
      </c>
      <c r="AN19" s="295">
        <v>2</v>
      </c>
      <c r="AO19" s="295">
        <v>590991</v>
      </c>
      <c r="AP19" s="295">
        <v>2</v>
      </c>
      <c r="AQ19" s="296">
        <v>45524</v>
      </c>
      <c r="AR19" s="298">
        <v>8198</v>
      </c>
      <c r="AS19" s="299">
        <f>4600000*20%</f>
        <v>920000</v>
      </c>
      <c r="AT19" s="300">
        <v>45532</v>
      </c>
      <c r="AU19" s="300">
        <v>45657</v>
      </c>
      <c r="AV19" s="301" t="s">
        <v>500</v>
      </c>
      <c r="AW19" s="302">
        <f>AS19/30*3</f>
        <v>92000</v>
      </c>
      <c r="AX19" s="405">
        <v>92000</v>
      </c>
      <c r="AY19" s="302">
        <f t="shared" si="2"/>
        <v>920000</v>
      </c>
      <c r="AZ19" s="302">
        <v>920000</v>
      </c>
      <c r="BA19" s="302">
        <f t="shared" si="3"/>
        <v>920000</v>
      </c>
      <c r="BB19" s="302"/>
      <c r="BC19" s="302">
        <f t="shared" si="4"/>
        <v>920000</v>
      </c>
      <c r="BD19" s="302"/>
      <c r="BE19" s="302">
        <f t="shared" si="5"/>
        <v>920000</v>
      </c>
      <c r="BF19" s="303"/>
      <c r="BG19" s="410">
        <f t="shared" si="0"/>
        <v>214667</v>
      </c>
      <c r="BH19" s="305">
        <f t="shared" si="1"/>
        <v>-1</v>
      </c>
      <c r="BI19" s="307">
        <v>214666.66666666669</v>
      </c>
      <c r="BJ19" s="306">
        <v>0</v>
      </c>
      <c r="BK19" s="306">
        <v>0</v>
      </c>
      <c r="BL19" s="306">
        <v>0</v>
      </c>
      <c r="BM19" s="307">
        <f>+AJ19</f>
        <v>3771999</v>
      </c>
      <c r="BN19" s="306">
        <v>0</v>
      </c>
      <c r="BP19" s="308"/>
      <c r="BR19" s="310">
        <v>0</v>
      </c>
      <c r="BS19" s="310">
        <v>0</v>
      </c>
      <c r="BT19" s="310">
        <v>0</v>
      </c>
      <c r="BU19" s="310">
        <f t="shared" ref="BU19" si="11">+AX19</f>
        <v>92000</v>
      </c>
      <c r="BV19" s="310">
        <v>0</v>
      </c>
      <c r="BW19" s="310"/>
      <c r="BX19" s="310">
        <v>0</v>
      </c>
      <c r="BY19" s="310">
        <v>0</v>
      </c>
      <c r="BZ19" s="310">
        <v>0</v>
      </c>
      <c r="CA19" s="310">
        <f>AK19-BU19</f>
        <v>920000</v>
      </c>
      <c r="CB19" s="310">
        <v>0</v>
      </c>
    </row>
    <row r="20" spans="1:81" s="295" customFormat="1" x14ac:dyDescent="0.25">
      <c r="A20" s="295">
        <v>2024</v>
      </c>
      <c r="B20" s="295">
        <v>8</v>
      </c>
      <c r="C20" s="296">
        <v>45292</v>
      </c>
      <c r="D20" s="296">
        <v>45535</v>
      </c>
      <c r="E20" s="295" t="s">
        <v>477</v>
      </c>
      <c r="F20" s="296">
        <v>45524</v>
      </c>
      <c r="G20" s="295" t="s">
        <v>502</v>
      </c>
      <c r="H20" s="295" t="s">
        <v>503</v>
      </c>
      <c r="I20" s="295" t="s">
        <v>571</v>
      </c>
      <c r="J20" s="296">
        <v>45524</v>
      </c>
      <c r="K20" s="296">
        <v>45657</v>
      </c>
      <c r="L20" s="295" t="s">
        <v>558</v>
      </c>
      <c r="M20" s="295" t="s">
        <v>482</v>
      </c>
      <c r="N20" s="295" t="s">
        <v>483</v>
      </c>
      <c r="O20" s="295">
        <v>1559</v>
      </c>
      <c r="P20" s="295">
        <v>1817</v>
      </c>
      <c r="Q20" s="295" t="s">
        <v>559</v>
      </c>
      <c r="R20" s="295" t="s">
        <v>485</v>
      </c>
      <c r="S20" s="295" t="s">
        <v>486</v>
      </c>
      <c r="T20" s="295" t="s">
        <v>487</v>
      </c>
      <c r="U20" s="295" t="s">
        <v>488</v>
      </c>
      <c r="V20" s="295" t="s">
        <v>506</v>
      </c>
      <c r="W20" s="295" t="s">
        <v>507</v>
      </c>
      <c r="X20" s="295" t="s">
        <v>491</v>
      </c>
      <c r="Y20" s="295" t="s">
        <v>492</v>
      </c>
      <c r="Z20" s="295" t="s">
        <v>493</v>
      </c>
      <c r="AA20" s="295" t="s">
        <v>508</v>
      </c>
      <c r="AB20" s="295" t="s">
        <v>509</v>
      </c>
      <c r="AC20" s="295" t="s">
        <v>572</v>
      </c>
      <c r="AD20" s="295" t="s">
        <v>511</v>
      </c>
      <c r="AE20" s="295" t="s">
        <v>573</v>
      </c>
      <c r="AF20" s="295" t="s">
        <v>574</v>
      </c>
      <c r="AG20" s="409">
        <v>15946667</v>
      </c>
      <c r="AH20" s="409">
        <v>858666</v>
      </c>
      <c r="AI20" s="409">
        <v>0</v>
      </c>
      <c r="AJ20" s="409">
        <v>15088001</v>
      </c>
      <c r="AK20" s="409">
        <v>4048000</v>
      </c>
      <c r="AL20" s="409">
        <v>11040001</v>
      </c>
      <c r="AM20" s="295">
        <v>5000726908</v>
      </c>
      <c r="AN20" s="295">
        <v>1</v>
      </c>
      <c r="AO20" s="295">
        <v>591006</v>
      </c>
      <c r="AP20" s="295">
        <v>1</v>
      </c>
      <c r="AQ20" s="296">
        <v>45524</v>
      </c>
      <c r="AR20" s="298">
        <v>8198</v>
      </c>
      <c r="AS20" s="299">
        <f>4600000*80%</f>
        <v>3680000</v>
      </c>
      <c r="AT20" s="300">
        <v>45532</v>
      </c>
      <c r="AU20" s="300">
        <v>45657</v>
      </c>
      <c r="AV20" s="301" t="s">
        <v>500</v>
      </c>
      <c r="AW20" s="302">
        <f>AS20/30*3</f>
        <v>368000</v>
      </c>
      <c r="AX20" s="405">
        <v>368000</v>
      </c>
      <c r="AY20" s="302">
        <f t="shared" si="2"/>
        <v>3680000</v>
      </c>
      <c r="AZ20" s="302">
        <v>3680000</v>
      </c>
      <c r="BA20" s="302">
        <f t="shared" si="3"/>
        <v>3680000</v>
      </c>
      <c r="BB20" s="302"/>
      <c r="BC20" s="302">
        <f t="shared" si="4"/>
        <v>3680000</v>
      </c>
      <c r="BD20" s="302"/>
      <c r="BE20" s="302">
        <f t="shared" si="5"/>
        <v>3680000</v>
      </c>
      <c r="BF20" s="303"/>
      <c r="BG20" s="410">
        <f t="shared" si="0"/>
        <v>858666</v>
      </c>
      <c r="BH20" s="305">
        <f t="shared" si="1"/>
        <v>1</v>
      </c>
      <c r="BI20" s="307">
        <v>858666.66666666674</v>
      </c>
      <c r="BJ20" s="306">
        <v>0</v>
      </c>
      <c r="BK20" s="306">
        <v>0</v>
      </c>
      <c r="BL20" s="307">
        <f>+AJ20</f>
        <v>15088001</v>
      </c>
      <c r="BM20" s="306">
        <v>0</v>
      </c>
      <c r="BN20" s="306">
        <v>0</v>
      </c>
      <c r="BP20" s="308"/>
      <c r="BR20" s="310">
        <v>0</v>
      </c>
      <c r="BS20" s="310">
        <v>0</v>
      </c>
      <c r="BT20" s="310">
        <f t="shared" ref="BT20" si="12">+AX20</f>
        <v>368000</v>
      </c>
      <c r="BU20" s="310">
        <v>0</v>
      </c>
      <c r="BV20" s="310">
        <v>0</v>
      </c>
      <c r="BW20" s="310"/>
      <c r="BX20" s="310">
        <v>0</v>
      </c>
      <c r="BY20" s="310">
        <v>0</v>
      </c>
      <c r="BZ20" s="310">
        <f>+AK20-BT20</f>
        <v>3680000</v>
      </c>
      <c r="CA20" s="310">
        <v>0</v>
      </c>
      <c r="CB20" s="310">
        <v>0</v>
      </c>
    </row>
    <row r="21" spans="1:81" s="295" customFormat="1" x14ac:dyDescent="0.25">
      <c r="A21" s="295">
        <v>2024</v>
      </c>
      <c r="B21" s="295">
        <v>8</v>
      </c>
      <c r="C21" s="296">
        <v>45292</v>
      </c>
      <c r="D21" s="296">
        <v>45535</v>
      </c>
      <c r="E21" s="295" t="s">
        <v>477</v>
      </c>
      <c r="F21" s="296">
        <v>45524</v>
      </c>
      <c r="G21" s="295" t="s">
        <v>502</v>
      </c>
      <c r="H21" s="295" t="s">
        <v>503</v>
      </c>
      <c r="I21" s="295" t="s">
        <v>571</v>
      </c>
      <c r="J21" s="296">
        <v>45524</v>
      </c>
      <c r="K21" s="296">
        <v>45657</v>
      </c>
      <c r="L21" s="295" t="s">
        <v>558</v>
      </c>
      <c r="M21" s="295" t="s">
        <v>482</v>
      </c>
      <c r="N21" s="295" t="s">
        <v>483</v>
      </c>
      <c r="O21" s="295">
        <v>1559</v>
      </c>
      <c r="P21" s="295">
        <v>1817</v>
      </c>
      <c r="Q21" s="295" t="s">
        <v>559</v>
      </c>
      <c r="R21" s="295" t="s">
        <v>485</v>
      </c>
      <c r="S21" s="295" t="s">
        <v>486</v>
      </c>
      <c r="T21" s="295" t="s">
        <v>487</v>
      </c>
      <c r="U21" s="295" t="s">
        <v>488</v>
      </c>
      <c r="V21" s="295" t="s">
        <v>506</v>
      </c>
      <c r="W21" s="295" t="s">
        <v>507</v>
      </c>
      <c r="X21" s="295" t="s">
        <v>491</v>
      </c>
      <c r="Y21" s="295" t="s">
        <v>492</v>
      </c>
      <c r="Z21" s="295" t="s">
        <v>493</v>
      </c>
      <c r="AA21" s="295" t="s">
        <v>508</v>
      </c>
      <c r="AB21" s="295" t="s">
        <v>509</v>
      </c>
      <c r="AC21" s="295" t="s">
        <v>572</v>
      </c>
      <c r="AD21" s="295" t="s">
        <v>511</v>
      </c>
      <c r="AE21" s="295" t="s">
        <v>573</v>
      </c>
      <c r="AF21" s="295" t="s">
        <v>574</v>
      </c>
      <c r="AG21" s="409">
        <v>3986666</v>
      </c>
      <c r="AH21" s="409">
        <v>214667</v>
      </c>
      <c r="AI21" s="409">
        <v>0</v>
      </c>
      <c r="AJ21" s="409">
        <v>3771999</v>
      </c>
      <c r="AK21" s="409">
        <v>1012000</v>
      </c>
      <c r="AL21" s="409">
        <v>2759999</v>
      </c>
      <c r="AM21" s="295">
        <v>5000726908</v>
      </c>
      <c r="AN21" s="295">
        <v>2</v>
      </c>
      <c r="AO21" s="295">
        <v>591006</v>
      </c>
      <c r="AP21" s="295">
        <v>2</v>
      </c>
      <c r="AQ21" s="296">
        <v>45524</v>
      </c>
      <c r="AR21" s="298">
        <v>8198</v>
      </c>
      <c r="AS21" s="299">
        <f>4600000*20%</f>
        <v>920000</v>
      </c>
      <c r="AT21" s="300">
        <v>45532</v>
      </c>
      <c r="AU21" s="300">
        <v>45657</v>
      </c>
      <c r="AV21" s="301" t="s">
        <v>500</v>
      </c>
      <c r="AW21" s="302">
        <f>AS21/30*3</f>
        <v>92000</v>
      </c>
      <c r="AX21" s="405">
        <v>92000</v>
      </c>
      <c r="AY21" s="302">
        <f t="shared" si="2"/>
        <v>920000</v>
      </c>
      <c r="AZ21" s="302">
        <v>920000</v>
      </c>
      <c r="BA21" s="302">
        <f t="shared" si="3"/>
        <v>920000</v>
      </c>
      <c r="BB21" s="302"/>
      <c r="BC21" s="302">
        <f t="shared" si="4"/>
        <v>920000</v>
      </c>
      <c r="BD21" s="302"/>
      <c r="BE21" s="302">
        <f t="shared" si="5"/>
        <v>920000</v>
      </c>
      <c r="BF21" s="303"/>
      <c r="BG21" s="410">
        <f t="shared" si="0"/>
        <v>214667</v>
      </c>
      <c r="BH21" s="305">
        <f t="shared" si="1"/>
        <v>-1</v>
      </c>
      <c r="BI21" s="307">
        <v>214666.66666666669</v>
      </c>
      <c r="BJ21" s="306">
        <v>0</v>
      </c>
      <c r="BK21" s="306">
        <v>0</v>
      </c>
      <c r="BL21" s="306">
        <v>0</v>
      </c>
      <c r="BM21" s="307">
        <f>+AJ21</f>
        <v>3771999</v>
      </c>
      <c r="BN21" s="306">
        <v>0</v>
      </c>
      <c r="BP21" s="308"/>
      <c r="BR21" s="310">
        <v>0</v>
      </c>
      <c r="BS21" s="310">
        <v>0</v>
      </c>
      <c r="BT21" s="310">
        <v>0</v>
      </c>
      <c r="BU21" s="310">
        <f t="shared" ref="BU21" si="13">+AX21</f>
        <v>92000</v>
      </c>
      <c r="BV21" s="310">
        <v>0</v>
      </c>
      <c r="BW21" s="310"/>
      <c r="BX21" s="310">
        <v>0</v>
      </c>
      <c r="BY21" s="310">
        <v>0</v>
      </c>
      <c r="BZ21" s="310">
        <v>0</v>
      </c>
      <c r="CA21" s="310">
        <f>AK21-BU21</f>
        <v>920000</v>
      </c>
      <c r="CB21" s="310">
        <v>0</v>
      </c>
    </row>
    <row r="22" spans="1:81" s="295" customFormat="1" x14ac:dyDescent="0.25">
      <c r="A22" s="295">
        <v>2024</v>
      </c>
      <c r="B22" s="295">
        <v>8</v>
      </c>
      <c r="C22" s="296">
        <v>45292</v>
      </c>
      <c r="D22" s="296">
        <v>45535</v>
      </c>
      <c r="E22" s="295" t="s">
        <v>477</v>
      </c>
      <c r="F22" s="296">
        <v>45524</v>
      </c>
      <c r="G22" s="295" t="s">
        <v>502</v>
      </c>
      <c r="H22" s="295" t="s">
        <v>503</v>
      </c>
      <c r="I22" s="295" t="s">
        <v>575</v>
      </c>
      <c r="J22" s="296">
        <v>45524</v>
      </c>
      <c r="K22" s="296">
        <v>45657</v>
      </c>
      <c r="L22" s="295" t="s">
        <v>558</v>
      </c>
      <c r="M22" s="295" t="s">
        <v>482</v>
      </c>
      <c r="N22" s="295" t="s">
        <v>483</v>
      </c>
      <c r="O22" s="295">
        <v>1555</v>
      </c>
      <c r="P22" s="295">
        <v>1819</v>
      </c>
      <c r="Q22" s="295" t="s">
        <v>559</v>
      </c>
      <c r="R22" s="295" t="s">
        <v>485</v>
      </c>
      <c r="S22" s="295" t="s">
        <v>486</v>
      </c>
      <c r="T22" s="295" t="s">
        <v>487</v>
      </c>
      <c r="U22" s="295" t="s">
        <v>488</v>
      </c>
      <c r="V22" s="295" t="s">
        <v>506</v>
      </c>
      <c r="W22" s="295" t="s">
        <v>507</v>
      </c>
      <c r="X22" s="295" t="s">
        <v>491</v>
      </c>
      <c r="Y22" s="295" t="s">
        <v>492</v>
      </c>
      <c r="Z22" s="295" t="s">
        <v>493</v>
      </c>
      <c r="AA22" s="295" t="s">
        <v>508</v>
      </c>
      <c r="AB22" s="295" t="s">
        <v>509</v>
      </c>
      <c r="AC22" s="295" t="s">
        <v>576</v>
      </c>
      <c r="AD22" s="295" t="s">
        <v>511</v>
      </c>
      <c r="AE22" s="295" t="s">
        <v>577</v>
      </c>
      <c r="AF22" s="295" t="s">
        <v>578</v>
      </c>
      <c r="AG22" s="409">
        <v>15946667</v>
      </c>
      <c r="AH22" s="409">
        <v>0</v>
      </c>
      <c r="AI22" s="409">
        <v>0</v>
      </c>
      <c r="AJ22" s="409">
        <v>15946667</v>
      </c>
      <c r="AK22" s="409">
        <v>4906666</v>
      </c>
      <c r="AL22" s="409">
        <v>11040001</v>
      </c>
      <c r="AM22" s="295">
        <v>5000726915</v>
      </c>
      <c r="AN22" s="295">
        <v>1</v>
      </c>
      <c r="AO22" s="295">
        <v>590996</v>
      </c>
      <c r="AP22" s="295">
        <v>1</v>
      </c>
      <c r="AQ22" s="296">
        <v>45524</v>
      </c>
      <c r="AR22" s="298">
        <v>8198</v>
      </c>
      <c r="AS22" s="299">
        <f>4600000*80%</f>
        <v>3680000</v>
      </c>
      <c r="AT22" s="300">
        <v>45525</v>
      </c>
      <c r="AU22" s="300">
        <v>45657</v>
      </c>
      <c r="AV22" s="301" t="s">
        <v>500</v>
      </c>
      <c r="AW22" s="302">
        <f>AS22/30*10</f>
        <v>1226666.6666666667</v>
      </c>
      <c r="AX22" s="405">
        <v>1226666</v>
      </c>
      <c r="AY22" s="302">
        <f t="shared" si="2"/>
        <v>3680000</v>
      </c>
      <c r="AZ22" s="302">
        <v>3680000</v>
      </c>
      <c r="BA22" s="302">
        <f t="shared" si="3"/>
        <v>3680000</v>
      </c>
      <c r="BB22" s="302"/>
      <c r="BC22" s="302">
        <f t="shared" si="4"/>
        <v>3680000</v>
      </c>
      <c r="BD22" s="302"/>
      <c r="BE22" s="302">
        <f t="shared" si="5"/>
        <v>3680000</v>
      </c>
      <c r="BF22" s="303"/>
      <c r="BG22" s="410">
        <f t="shared" si="0"/>
        <v>0</v>
      </c>
      <c r="BH22" s="305">
        <f t="shared" si="1"/>
        <v>0.3333333320915699</v>
      </c>
      <c r="BI22" s="307">
        <v>0</v>
      </c>
      <c r="BJ22" s="306">
        <v>0</v>
      </c>
      <c r="BK22" s="306">
        <v>0</v>
      </c>
      <c r="BL22" s="307">
        <f>+AJ22</f>
        <v>15946667</v>
      </c>
      <c r="BM22" s="306">
        <v>0</v>
      </c>
      <c r="BN22" s="306">
        <v>0</v>
      </c>
      <c r="BP22" s="308"/>
      <c r="BR22" s="310">
        <v>0</v>
      </c>
      <c r="BS22" s="310">
        <v>0</v>
      </c>
      <c r="BT22" s="310">
        <f t="shared" ref="BT22" si="14">+AX22</f>
        <v>1226666</v>
      </c>
      <c r="BU22" s="310">
        <v>0</v>
      </c>
      <c r="BV22" s="310">
        <v>0</v>
      </c>
      <c r="BW22" s="310"/>
      <c r="BX22" s="310">
        <v>0</v>
      </c>
      <c r="BY22" s="310">
        <v>0</v>
      </c>
      <c r="BZ22" s="310">
        <f>+AK22-BT22</f>
        <v>3680000</v>
      </c>
      <c r="CA22" s="310">
        <v>0</v>
      </c>
      <c r="CB22" s="310">
        <v>0</v>
      </c>
    </row>
    <row r="23" spans="1:81" s="295" customFormat="1" x14ac:dyDescent="0.25">
      <c r="A23" s="295">
        <v>2024</v>
      </c>
      <c r="B23" s="295">
        <v>8</v>
      </c>
      <c r="C23" s="296">
        <v>45292</v>
      </c>
      <c r="D23" s="296">
        <v>45535</v>
      </c>
      <c r="E23" s="295" t="s">
        <v>477</v>
      </c>
      <c r="F23" s="296">
        <v>45524</v>
      </c>
      <c r="G23" s="295" t="s">
        <v>502</v>
      </c>
      <c r="H23" s="295" t="s">
        <v>503</v>
      </c>
      <c r="I23" s="295" t="s">
        <v>575</v>
      </c>
      <c r="J23" s="296">
        <v>45524</v>
      </c>
      <c r="K23" s="296">
        <v>45657</v>
      </c>
      <c r="L23" s="295" t="s">
        <v>558</v>
      </c>
      <c r="M23" s="295" t="s">
        <v>482</v>
      </c>
      <c r="N23" s="295" t="s">
        <v>483</v>
      </c>
      <c r="O23" s="295">
        <v>1555</v>
      </c>
      <c r="P23" s="295">
        <v>1819</v>
      </c>
      <c r="Q23" s="295" t="s">
        <v>559</v>
      </c>
      <c r="R23" s="295" t="s">
        <v>485</v>
      </c>
      <c r="S23" s="295" t="s">
        <v>486</v>
      </c>
      <c r="T23" s="295" t="s">
        <v>487</v>
      </c>
      <c r="U23" s="295" t="s">
        <v>488</v>
      </c>
      <c r="V23" s="295" t="s">
        <v>506</v>
      </c>
      <c r="W23" s="295" t="s">
        <v>507</v>
      </c>
      <c r="X23" s="295" t="s">
        <v>491</v>
      </c>
      <c r="Y23" s="295" t="s">
        <v>492</v>
      </c>
      <c r="Z23" s="295" t="s">
        <v>493</v>
      </c>
      <c r="AA23" s="295" t="s">
        <v>508</v>
      </c>
      <c r="AB23" s="295" t="s">
        <v>509</v>
      </c>
      <c r="AC23" s="295" t="s">
        <v>576</v>
      </c>
      <c r="AD23" s="295" t="s">
        <v>511</v>
      </c>
      <c r="AE23" s="295" t="s">
        <v>577</v>
      </c>
      <c r="AF23" s="295" t="s">
        <v>578</v>
      </c>
      <c r="AG23" s="409">
        <v>3986666</v>
      </c>
      <c r="AH23" s="409">
        <v>0</v>
      </c>
      <c r="AI23" s="409">
        <v>0</v>
      </c>
      <c r="AJ23" s="409">
        <v>3986666</v>
      </c>
      <c r="AK23" s="409">
        <v>1226667</v>
      </c>
      <c r="AL23" s="409">
        <v>2759999</v>
      </c>
      <c r="AM23" s="295">
        <v>5000726915</v>
      </c>
      <c r="AN23" s="295">
        <v>2</v>
      </c>
      <c r="AO23" s="295">
        <v>590996</v>
      </c>
      <c r="AP23" s="295">
        <v>2</v>
      </c>
      <c r="AQ23" s="296">
        <v>45524</v>
      </c>
      <c r="AR23" s="298">
        <v>8198</v>
      </c>
      <c r="AS23" s="299">
        <f>4600000*20%</f>
        <v>920000</v>
      </c>
      <c r="AT23" s="300">
        <v>45525</v>
      </c>
      <c r="AU23" s="300">
        <v>45657</v>
      </c>
      <c r="AV23" s="301" t="s">
        <v>500</v>
      </c>
      <c r="AW23" s="302">
        <f>AS23/30*10</f>
        <v>306666.66666666669</v>
      </c>
      <c r="AX23" s="405">
        <v>306667</v>
      </c>
      <c r="AY23" s="302">
        <f t="shared" si="2"/>
        <v>920000</v>
      </c>
      <c r="AZ23" s="302">
        <v>920000</v>
      </c>
      <c r="BA23" s="302">
        <f t="shared" si="3"/>
        <v>920000</v>
      </c>
      <c r="BB23" s="302"/>
      <c r="BC23" s="302">
        <f t="shared" si="4"/>
        <v>920000</v>
      </c>
      <c r="BD23" s="302"/>
      <c r="BE23" s="302">
        <f t="shared" si="5"/>
        <v>920000</v>
      </c>
      <c r="BF23" s="303"/>
      <c r="BG23" s="410">
        <f t="shared" si="0"/>
        <v>0</v>
      </c>
      <c r="BH23" s="305">
        <f t="shared" si="1"/>
        <v>-0.66666666697710752</v>
      </c>
      <c r="BI23" s="307">
        <v>0</v>
      </c>
      <c r="BJ23" s="306">
        <v>0</v>
      </c>
      <c r="BK23" s="306">
        <v>0</v>
      </c>
      <c r="BL23" s="306">
        <v>0</v>
      </c>
      <c r="BM23" s="307">
        <f>+AJ23</f>
        <v>3986666</v>
      </c>
      <c r="BN23" s="306">
        <v>0</v>
      </c>
      <c r="BP23" s="308"/>
      <c r="BR23" s="310">
        <v>0</v>
      </c>
      <c r="BS23" s="310">
        <v>0</v>
      </c>
      <c r="BT23" s="310">
        <v>0</v>
      </c>
      <c r="BU23" s="310">
        <f t="shared" ref="BU23" si="15">+AX23</f>
        <v>306667</v>
      </c>
      <c r="BV23" s="310">
        <v>0</v>
      </c>
      <c r="BW23" s="310"/>
      <c r="BX23" s="310">
        <v>0</v>
      </c>
      <c r="BY23" s="310">
        <v>0</v>
      </c>
      <c r="BZ23" s="310">
        <v>0</v>
      </c>
      <c r="CA23" s="310">
        <f>AK23-BU23</f>
        <v>920000</v>
      </c>
      <c r="CB23" s="310">
        <v>0</v>
      </c>
    </row>
    <row r="24" spans="1:81" s="295" customFormat="1" x14ac:dyDescent="0.25">
      <c r="A24" s="295">
        <v>2024</v>
      </c>
      <c r="B24" s="295">
        <v>8</v>
      </c>
      <c r="C24" s="296">
        <v>45292</v>
      </c>
      <c r="D24" s="296">
        <v>45535</v>
      </c>
      <c r="E24" s="295" t="s">
        <v>477</v>
      </c>
      <c r="F24" s="296">
        <v>45524</v>
      </c>
      <c r="G24" s="295" t="s">
        <v>502</v>
      </c>
      <c r="H24" s="295" t="s">
        <v>503</v>
      </c>
      <c r="I24" s="295" t="s">
        <v>579</v>
      </c>
      <c r="J24" s="296">
        <v>45525</v>
      </c>
      <c r="K24" s="296">
        <v>45655</v>
      </c>
      <c r="L24" s="295" t="s">
        <v>580</v>
      </c>
      <c r="M24" s="295" t="s">
        <v>482</v>
      </c>
      <c r="N24" s="295" t="s">
        <v>483</v>
      </c>
      <c r="O24" s="295">
        <v>1560</v>
      </c>
      <c r="P24" s="295">
        <v>1834</v>
      </c>
      <c r="Q24" s="295" t="s">
        <v>559</v>
      </c>
      <c r="R24" s="295" t="s">
        <v>485</v>
      </c>
      <c r="S24" s="295" t="s">
        <v>486</v>
      </c>
      <c r="T24" s="295" t="s">
        <v>487</v>
      </c>
      <c r="U24" s="295" t="s">
        <v>488</v>
      </c>
      <c r="V24" s="295" t="s">
        <v>506</v>
      </c>
      <c r="W24" s="295" t="s">
        <v>507</v>
      </c>
      <c r="X24" s="295" t="s">
        <v>491</v>
      </c>
      <c r="Y24" s="295" t="s">
        <v>492</v>
      </c>
      <c r="Z24" s="295" t="s">
        <v>493</v>
      </c>
      <c r="AA24" s="295" t="s">
        <v>508</v>
      </c>
      <c r="AB24" s="295" t="s">
        <v>509</v>
      </c>
      <c r="AC24" s="295" t="s">
        <v>581</v>
      </c>
      <c r="AD24" s="295" t="s">
        <v>511</v>
      </c>
      <c r="AE24" s="295" t="s">
        <v>582</v>
      </c>
      <c r="AF24" s="295" t="s">
        <v>583</v>
      </c>
      <c r="AG24" s="409">
        <v>15946667</v>
      </c>
      <c r="AH24" s="409">
        <v>0</v>
      </c>
      <c r="AI24" s="409">
        <v>0</v>
      </c>
      <c r="AJ24" s="409">
        <v>15946667</v>
      </c>
      <c r="AK24" s="409">
        <v>4906666</v>
      </c>
      <c r="AL24" s="409">
        <v>11040001</v>
      </c>
      <c r="AM24" s="295">
        <v>5000727533</v>
      </c>
      <c r="AN24" s="295">
        <v>1</v>
      </c>
      <c r="AO24" s="295">
        <v>591018</v>
      </c>
      <c r="AP24" s="295">
        <v>1</v>
      </c>
      <c r="AQ24" s="296">
        <v>45524</v>
      </c>
      <c r="AR24" s="298">
        <v>8198</v>
      </c>
      <c r="AS24" s="299">
        <f>4600000*80%</f>
        <v>3680000</v>
      </c>
      <c r="AT24" s="300">
        <v>45525</v>
      </c>
      <c r="AU24" s="300">
        <v>45657</v>
      </c>
      <c r="AV24" s="301" t="s">
        <v>500</v>
      </c>
      <c r="AW24" s="302">
        <f>AS24/30*10</f>
        <v>1226666.6666666667</v>
      </c>
      <c r="AX24" s="405">
        <v>1226666</v>
      </c>
      <c r="AY24" s="302">
        <f t="shared" si="2"/>
        <v>3680000</v>
      </c>
      <c r="AZ24" s="302">
        <v>3680000</v>
      </c>
      <c r="BA24" s="302">
        <f t="shared" si="3"/>
        <v>3680000</v>
      </c>
      <c r="BB24" s="302"/>
      <c r="BC24" s="302">
        <f t="shared" si="4"/>
        <v>3680000</v>
      </c>
      <c r="BD24" s="302"/>
      <c r="BE24" s="302">
        <f t="shared" si="5"/>
        <v>3680000</v>
      </c>
      <c r="BF24" s="303"/>
      <c r="BG24" s="410">
        <f t="shared" si="0"/>
        <v>0</v>
      </c>
      <c r="BH24" s="305">
        <f t="shared" si="1"/>
        <v>0.3333333320915699</v>
      </c>
      <c r="BI24" s="307">
        <v>0</v>
      </c>
      <c r="BJ24" s="306">
        <v>0</v>
      </c>
      <c r="BK24" s="306">
        <v>0</v>
      </c>
      <c r="BL24" s="307">
        <f>+AJ24</f>
        <v>15946667</v>
      </c>
      <c r="BM24" s="306">
        <v>0</v>
      </c>
      <c r="BN24" s="306">
        <v>0</v>
      </c>
      <c r="BP24" s="308"/>
      <c r="BR24" s="310">
        <v>0</v>
      </c>
      <c r="BS24" s="310">
        <v>0</v>
      </c>
      <c r="BT24" s="310">
        <f t="shared" ref="BT24" si="16">+AX24</f>
        <v>1226666</v>
      </c>
      <c r="BU24" s="310">
        <v>0</v>
      </c>
      <c r="BV24" s="310">
        <v>0</v>
      </c>
      <c r="BW24" s="310"/>
      <c r="BX24" s="310">
        <v>0</v>
      </c>
      <c r="BY24" s="310">
        <v>0</v>
      </c>
      <c r="BZ24" s="310">
        <f>+AK24-BT24</f>
        <v>3680000</v>
      </c>
      <c r="CA24" s="310">
        <v>0</v>
      </c>
      <c r="CB24" s="310">
        <v>0</v>
      </c>
    </row>
    <row r="25" spans="1:81" s="295" customFormat="1" x14ac:dyDescent="0.25">
      <c r="A25" s="295">
        <v>2024</v>
      </c>
      <c r="B25" s="295">
        <v>8</v>
      </c>
      <c r="C25" s="296">
        <v>45292</v>
      </c>
      <c r="D25" s="296">
        <v>45535</v>
      </c>
      <c r="E25" s="295" t="s">
        <v>477</v>
      </c>
      <c r="F25" s="296">
        <v>45524</v>
      </c>
      <c r="G25" s="295" t="s">
        <v>502</v>
      </c>
      <c r="H25" s="295" t="s">
        <v>503</v>
      </c>
      <c r="I25" s="295" t="s">
        <v>579</v>
      </c>
      <c r="J25" s="296">
        <v>45525</v>
      </c>
      <c r="K25" s="296">
        <v>45655</v>
      </c>
      <c r="L25" s="295" t="s">
        <v>580</v>
      </c>
      <c r="M25" s="295" t="s">
        <v>482</v>
      </c>
      <c r="N25" s="295" t="s">
        <v>483</v>
      </c>
      <c r="O25" s="295">
        <v>1560</v>
      </c>
      <c r="P25" s="295">
        <v>1834</v>
      </c>
      <c r="Q25" s="295" t="s">
        <v>559</v>
      </c>
      <c r="R25" s="295" t="s">
        <v>485</v>
      </c>
      <c r="S25" s="295" t="s">
        <v>486</v>
      </c>
      <c r="T25" s="295" t="s">
        <v>487</v>
      </c>
      <c r="U25" s="295" t="s">
        <v>488</v>
      </c>
      <c r="V25" s="295" t="s">
        <v>506</v>
      </c>
      <c r="W25" s="295" t="s">
        <v>507</v>
      </c>
      <c r="X25" s="295" t="s">
        <v>491</v>
      </c>
      <c r="Y25" s="295" t="s">
        <v>492</v>
      </c>
      <c r="Z25" s="295" t="s">
        <v>493</v>
      </c>
      <c r="AA25" s="295" t="s">
        <v>508</v>
      </c>
      <c r="AB25" s="295" t="s">
        <v>509</v>
      </c>
      <c r="AC25" s="295" t="s">
        <v>581</v>
      </c>
      <c r="AD25" s="295" t="s">
        <v>511</v>
      </c>
      <c r="AE25" s="295" t="s">
        <v>582</v>
      </c>
      <c r="AF25" s="295" t="s">
        <v>583</v>
      </c>
      <c r="AG25" s="409">
        <v>3986666</v>
      </c>
      <c r="AH25" s="409">
        <v>0</v>
      </c>
      <c r="AI25" s="409">
        <v>0</v>
      </c>
      <c r="AJ25" s="409">
        <v>3986666</v>
      </c>
      <c r="AK25" s="409">
        <v>1226667</v>
      </c>
      <c r="AL25" s="409">
        <v>2759999</v>
      </c>
      <c r="AM25" s="295">
        <v>5000727533</v>
      </c>
      <c r="AN25" s="295">
        <v>2</v>
      </c>
      <c r="AO25" s="295">
        <v>591018</v>
      </c>
      <c r="AP25" s="295">
        <v>2</v>
      </c>
      <c r="AQ25" s="296">
        <v>45524</v>
      </c>
      <c r="AR25" s="298">
        <v>8198</v>
      </c>
      <c r="AS25" s="299">
        <f>4600000*20%</f>
        <v>920000</v>
      </c>
      <c r="AT25" s="300">
        <v>45525</v>
      </c>
      <c r="AU25" s="300">
        <v>45657</v>
      </c>
      <c r="AV25" s="301" t="s">
        <v>500</v>
      </c>
      <c r="AW25" s="302">
        <f>AS25/30*10</f>
        <v>306666.66666666669</v>
      </c>
      <c r="AX25" s="405">
        <v>306667</v>
      </c>
      <c r="AY25" s="302">
        <f t="shared" si="2"/>
        <v>920000</v>
      </c>
      <c r="AZ25" s="302">
        <v>920000</v>
      </c>
      <c r="BA25" s="302">
        <f t="shared" si="3"/>
        <v>920000</v>
      </c>
      <c r="BB25" s="302"/>
      <c r="BC25" s="302">
        <f t="shared" si="4"/>
        <v>920000</v>
      </c>
      <c r="BD25" s="302"/>
      <c r="BE25" s="302">
        <f t="shared" si="5"/>
        <v>920000</v>
      </c>
      <c r="BF25" s="303"/>
      <c r="BG25" s="410">
        <f t="shared" si="0"/>
        <v>0</v>
      </c>
      <c r="BH25" s="305">
        <f t="shared" si="1"/>
        <v>-0.66666666697710752</v>
      </c>
      <c r="BI25" s="307">
        <v>0</v>
      </c>
      <c r="BJ25" s="306">
        <v>0</v>
      </c>
      <c r="BK25" s="306">
        <v>0</v>
      </c>
      <c r="BL25" s="306">
        <v>0</v>
      </c>
      <c r="BM25" s="307">
        <f>+AJ25</f>
        <v>3986666</v>
      </c>
      <c r="BN25" s="306">
        <v>0</v>
      </c>
      <c r="BP25" s="308"/>
      <c r="BR25" s="310">
        <v>0</v>
      </c>
      <c r="BS25" s="310">
        <v>0</v>
      </c>
      <c r="BT25" s="310">
        <v>0</v>
      </c>
      <c r="BU25" s="310">
        <f t="shared" ref="BU25" si="17">+AX25</f>
        <v>306667</v>
      </c>
      <c r="BV25" s="310">
        <v>0</v>
      </c>
      <c r="BW25" s="310"/>
      <c r="BX25" s="310">
        <v>0</v>
      </c>
      <c r="BY25" s="310">
        <v>0</v>
      </c>
      <c r="BZ25" s="310">
        <v>0</v>
      </c>
      <c r="CA25" s="310">
        <f>AK25-BU25</f>
        <v>920000</v>
      </c>
      <c r="CB25" s="310">
        <v>0</v>
      </c>
    </row>
    <row r="26" spans="1:81" s="295" customFormat="1" x14ac:dyDescent="0.25">
      <c r="A26" s="295">
        <v>2024</v>
      </c>
      <c r="B26" s="295">
        <v>8</v>
      </c>
      <c r="C26" s="296">
        <v>45292</v>
      </c>
      <c r="D26" s="296">
        <v>45535</v>
      </c>
      <c r="E26" s="295" t="s">
        <v>477</v>
      </c>
      <c r="F26" s="296">
        <v>45524</v>
      </c>
      <c r="G26" s="295" t="s">
        <v>502</v>
      </c>
      <c r="H26" s="295" t="s">
        <v>503</v>
      </c>
      <c r="I26" s="295" t="s">
        <v>584</v>
      </c>
      <c r="J26" s="296">
        <v>45525</v>
      </c>
      <c r="K26" s="296">
        <v>45657</v>
      </c>
      <c r="L26" s="295" t="s">
        <v>585</v>
      </c>
      <c r="M26" s="295" t="s">
        <v>482</v>
      </c>
      <c r="N26" s="295" t="s">
        <v>483</v>
      </c>
      <c r="O26" s="295">
        <v>1558</v>
      </c>
      <c r="P26" s="295">
        <v>1835</v>
      </c>
      <c r="Q26" s="295" t="s">
        <v>559</v>
      </c>
      <c r="R26" s="295" t="s">
        <v>485</v>
      </c>
      <c r="S26" s="295" t="s">
        <v>486</v>
      </c>
      <c r="T26" s="295" t="s">
        <v>487</v>
      </c>
      <c r="U26" s="295" t="s">
        <v>488</v>
      </c>
      <c r="V26" s="295" t="s">
        <v>506</v>
      </c>
      <c r="W26" s="295" t="s">
        <v>507</v>
      </c>
      <c r="X26" s="295" t="s">
        <v>491</v>
      </c>
      <c r="Y26" s="295" t="s">
        <v>492</v>
      </c>
      <c r="Z26" s="295" t="s">
        <v>493</v>
      </c>
      <c r="AA26" s="295" t="s">
        <v>508</v>
      </c>
      <c r="AB26" s="295" t="s">
        <v>509</v>
      </c>
      <c r="AC26" s="295" t="s">
        <v>586</v>
      </c>
      <c r="AD26" s="295" t="s">
        <v>511</v>
      </c>
      <c r="AE26" s="295" t="s">
        <v>587</v>
      </c>
      <c r="AF26" s="295" t="s">
        <v>588</v>
      </c>
      <c r="AG26" s="409">
        <v>15946667</v>
      </c>
      <c r="AH26" s="409">
        <v>245333</v>
      </c>
      <c r="AI26" s="409">
        <v>0</v>
      </c>
      <c r="AJ26" s="409">
        <v>15701334</v>
      </c>
      <c r="AK26" s="409">
        <v>4661334</v>
      </c>
      <c r="AL26" s="409">
        <v>11040000</v>
      </c>
      <c r="AM26" s="295">
        <v>5000727535</v>
      </c>
      <c r="AN26" s="295">
        <v>1</v>
      </c>
      <c r="AO26" s="295">
        <v>591001</v>
      </c>
      <c r="AP26" s="295">
        <v>1</v>
      </c>
      <c r="AQ26" s="296">
        <v>45524</v>
      </c>
      <c r="AR26" s="298">
        <v>8198</v>
      </c>
      <c r="AS26" s="299">
        <f>4600000*80%</f>
        <v>3680000</v>
      </c>
      <c r="AT26" s="300">
        <v>45527</v>
      </c>
      <c r="AU26" s="300">
        <v>45657</v>
      </c>
      <c r="AV26" s="301" t="s">
        <v>500</v>
      </c>
      <c r="AW26" s="302">
        <f>AS26/30*8</f>
        <v>981333.33333333337</v>
      </c>
      <c r="AX26" s="405">
        <v>981334</v>
      </c>
      <c r="AY26" s="302">
        <f t="shared" si="2"/>
        <v>3680000</v>
      </c>
      <c r="AZ26" s="302">
        <v>3680000</v>
      </c>
      <c r="BA26" s="302">
        <f t="shared" si="3"/>
        <v>3680000</v>
      </c>
      <c r="BB26" s="302"/>
      <c r="BC26" s="302">
        <f t="shared" si="4"/>
        <v>3680000</v>
      </c>
      <c r="BD26" s="302"/>
      <c r="BE26" s="302">
        <f t="shared" si="5"/>
        <v>3680000</v>
      </c>
      <c r="BF26" s="303"/>
      <c r="BG26" s="410">
        <f t="shared" si="0"/>
        <v>245333</v>
      </c>
      <c r="BH26" s="305">
        <f t="shared" si="1"/>
        <v>0.6666666679084301</v>
      </c>
      <c r="BI26" s="307">
        <v>245333.33333333334</v>
      </c>
      <c r="BJ26" s="306">
        <v>0</v>
      </c>
      <c r="BK26" s="306">
        <v>0</v>
      </c>
      <c r="BL26" s="307">
        <f>+AJ26</f>
        <v>15701334</v>
      </c>
      <c r="BM26" s="306">
        <v>0</v>
      </c>
      <c r="BN26" s="306">
        <v>0</v>
      </c>
      <c r="BP26" s="308"/>
      <c r="BR26" s="310">
        <v>0</v>
      </c>
      <c r="BS26" s="310">
        <v>0</v>
      </c>
      <c r="BT26" s="310">
        <f t="shared" ref="BT26" si="18">+AX26</f>
        <v>981334</v>
      </c>
      <c r="BU26" s="310">
        <v>0</v>
      </c>
      <c r="BV26" s="310">
        <v>0</v>
      </c>
      <c r="BW26" s="310"/>
      <c r="BX26" s="310">
        <v>0</v>
      </c>
      <c r="BY26" s="310">
        <v>0</v>
      </c>
      <c r="BZ26" s="310">
        <f>+AK26-BT26</f>
        <v>3680000</v>
      </c>
      <c r="CA26" s="310">
        <v>0</v>
      </c>
      <c r="CB26" s="310">
        <v>0</v>
      </c>
    </row>
    <row r="27" spans="1:81" s="295" customFormat="1" x14ac:dyDescent="0.25">
      <c r="A27" s="295">
        <v>2024</v>
      </c>
      <c r="B27" s="295">
        <v>8</v>
      </c>
      <c r="C27" s="296">
        <v>45292</v>
      </c>
      <c r="D27" s="296">
        <v>45535</v>
      </c>
      <c r="E27" s="295" t="s">
        <v>477</v>
      </c>
      <c r="F27" s="296">
        <v>45524</v>
      </c>
      <c r="G27" s="295" t="s">
        <v>502</v>
      </c>
      <c r="H27" s="295" t="s">
        <v>503</v>
      </c>
      <c r="I27" s="295" t="s">
        <v>584</v>
      </c>
      <c r="J27" s="296">
        <v>45525</v>
      </c>
      <c r="K27" s="296">
        <v>45657</v>
      </c>
      <c r="L27" s="295" t="s">
        <v>585</v>
      </c>
      <c r="M27" s="295" t="s">
        <v>482</v>
      </c>
      <c r="N27" s="295" t="s">
        <v>483</v>
      </c>
      <c r="O27" s="295">
        <v>1558</v>
      </c>
      <c r="P27" s="295">
        <v>1835</v>
      </c>
      <c r="Q27" s="295" t="s">
        <v>559</v>
      </c>
      <c r="R27" s="295" t="s">
        <v>485</v>
      </c>
      <c r="S27" s="295" t="s">
        <v>486</v>
      </c>
      <c r="T27" s="295" t="s">
        <v>487</v>
      </c>
      <c r="U27" s="295" t="s">
        <v>488</v>
      </c>
      <c r="V27" s="295" t="s">
        <v>506</v>
      </c>
      <c r="W27" s="295" t="s">
        <v>507</v>
      </c>
      <c r="X27" s="295" t="s">
        <v>491</v>
      </c>
      <c r="Y27" s="295" t="s">
        <v>492</v>
      </c>
      <c r="Z27" s="295" t="s">
        <v>493</v>
      </c>
      <c r="AA27" s="295" t="s">
        <v>508</v>
      </c>
      <c r="AB27" s="295" t="s">
        <v>509</v>
      </c>
      <c r="AC27" s="295" t="s">
        <v>586</v>
      </c>
      <c r="AD27" s="295" t="s">
        <v>511</v>
      </c>
      <c r="AE27" s="295" t="s">
        <v>587</v>
      </c>
      <c r="AF27" s="295" t="s">
        <v>588</v>
      </c>
      <c r="AG27" s="409">
        <v>3986666</v>
      </c>
      <c r="AH27" s="409">
        <v>61333</v>
      </c>
      <c r="AI27" s="409">
        <v>0</v>
      </c>
      <c r="AJ27" s="409">
        <v>3925333</v>
      </c>
      <c r="AK27" s="409">
        <v>1165333</v>
      </c>
      <c r="AL27" s="409">
        <v>2760000</v>
      </c>
      <c r="AM27" s="295">
        <v>5000727535</v>
      </c>
      <c r="AN27" s="295">
        <v>2</v>
      </c>
      <c r="AO27" s="295">
        <v>591001</v>
      </c>
      <c r="AP27" s="295">
        <v>2</v>
      </c>
      <c r="AQ27" s="296">
        <v>45524</v>
      </c>
      <c r="AR27" s="298">
        <v>8198</v>
      </c>
      <c r="AS27" s="299">
        <f>4600000*20%</f>
        <v>920000</v>
      </c>
      <c r="AT27" s="300">
        <v>45527</v>
      </c>
      <c r="AU27" s="300">
        <v>45657</v>
      </c>
      <c r="AV27" s="301" t="s">
        <v>500</v>
      </c>
      <c r="AW27" s="302">
        <f>AS27/30*8</f>
        <v>245333.33333333334</v>
      </c>
      <c r="AX27" s="405">
        <v>245333</v>
      </c>
      <c r="AY27" s="302">
        <f t="shared" si="2"/>
        <v>920000</v>
      </c>
      <c r="AZ27" s="302">
        <v>920000</v>
      </c>
      <c r="BA27" s="302">
        <f t="shared" si="3"/>
        <v>920000</v>
      </c>
      <c r="BB27" s="302"/>
      <c r="BC27" s="302">
        <f t="shared" si="4"/>
        <v>920000</v>
      </c>
      <c r="BD27" s="302"/>
      <c r="BE27" s="302">
        <f t="shared" si="5"/>
        <v>920000</v>
      </c>
      <c r="BF27" s="303"/>
      <c r="BG27" s="410">
        <f t="shared" si="0"/>
        <v>61333</v>
      </c>
      <c r="BH27" s="305">
        <f t="shared" si="1"/>
        <v>-0.33333333302289248</v>
      </c>
      <c r="BI27" s="307">
        <v>61333.333333333336</v>
      </c>
      <c r="BJ27" s="306">
        <v>0</v>
      </c>
      <c r="BK27" s="306">
        <v>0</v>
      </c>
      <c r="BL27" s="306">
        <v>0</v>
      </c>
      <c r="BM27" s="307">
        <f>+AJ27</f>
        <v>3925333</v>
      </c>
      <c r="BN27" s="306">
        <v>0</v>
      </c>
      <c r="BP27" s="308"/>
      <c r="BR27" s="310">
        <v>0</v>
      </c>
      <c r="BS27" s="310">
        <v>0</v>
      </c>
      <c r="BT27" s="310">
        <v>0</v>
      </c>
      <c r="BU27" s="310">
        <f t="shared" ref="BU27" si="19">+AX27</f>
        <v>245333</v>
      </c>
      <c r="BV27" s="310">
        <v>0</v>
      </c>
      <c r="BW27" s="310"/>
      <c r="BX27" s="310">
        <v>0</v>
      </c>
      <c r="BY27" s="310">
        <v>0</v>
      </c>
      <c r="BZ27" s="310">
        <v>0</v>
      </c>
      <c r="CA27" s="310">
        <f>AK27-BU27</f>
        <v>920000</v>
      </c>
      <c r="CB27" s="310">
        <v>0</v>
      </c>
    </row>
    <row r="28" spans="1:81" s="295" customFormat="1" x14ac:dyDescent="0.25">
      <c r="A28" s="295">
        <v>2024</v>
      </c>
      <c r="B28" s="295">
        <v>8</v>
      </c>
      <c r="C28" s="296">
        <v>45292</v>
      </c>
      <c r="D28" s="296">
        <v>45535</v>
      </c>
      <c r="E28" s="295" t="s">
        <v>477</v>
      </c>
      <c r="F28" s="296">
        <v>45524</v>
      </c>
      <c r="G28" s="295" t="s">
        <v>502</v>
      </c>
      <c r="H28" s="295" t="s">
        <v>503</v>
      </c>
      <c r="I28" s="295" t="s">
        <v>589</v>
      </c>
      <c r="J28" s="296">
        <v>45525</v>
      </c>
      <c r="K28" s="296">
        <v>45657</v>
      </c>
      <c r="L28" s="295" t="s">
        <v>585</v>
      </c>
      <c r="M28" s="295" t="s">
        <v>482</v>
      </c>
      <c r="N28" s="295" t="s">
        <v>483</v>
      </c>
      <c r="O28" s="295">
        <v>1564</v>
      </c>
      <c r="P28" s="295">
        <v>1836</v>
      </c>
      <c r="Q28" s="295" t="s">
        <v>559</v>
      </c>
      <c r="R28" s="295" t="s">
        <v>485</v>
      </c>
      <c r="S28" s="295" t="s">
        <v>486</v>
      </c>
      <c r="T28" s="295" t="s">
        <v>487</v>
      </c>
      <c r="U28" s="295" t="s">
        <v>488</v>
      </c>
      <c r="V28" s="295" t="s">
        <v>506</v>
      </c>
      <c r="W28" s="295" t="s">
        <v>507</v>
      </c>
      <c r="X28" s="295" t="s">
        <v>491</v>
      </c>
      <c r="Y28" s="295" t="s">
        <v>492</v>
      </c>
      <c r="Z28" s="295" t="s">
        <v>493</v>
      </c>
      <c r="AA28" s="295" t="s">
        <v>508</v>
      </c>
      <c r="AB28" s="295" t="s">
        <v>509</v>
      </c>
      <c r="AC28" s="295" t="s">
        <v>590</v>
      </c>
      <c r="AD28" s="295" t="s">
        <v>511</v>
      </c>
      <c r="AE28" s="295" t="s">
        <v>591</v>
      </c>
      <c r="AF28" s="295" t="s">
        <v>592</v>
      </c>
      <c r="AG28" s="409">
        <v>15946667</v>
      </c>
      <c r="AH28" s="409">
        <v>613333</v>
      </c>
      <c r="AI28" s="409">
        <v>0</v>
      </c>
      <c r="AJ28" s="409">
        <v>15333334</v>
      </c>
      <c r="AK28" s="409">
        <v>4293334</v>
      </c>
      <c r="AL28" s="409">
        <v>11040000</v>
      </c>
      <c r="AM28" s="295">
        <v>5000727546</v>
      </c>
      <c r="AN28" s="295">
        <v>1</v>
      </c>
      <c r="AO28" s="295">
        <v>591051</v>
      </c>
      <c r="AP28" s="295">
        <v>1</v>
      </c>
      <c r="AQ28" s="296">
        <v>45524</v>
      </c>
      <c r="AR28" s="298">
        <v>8198</v>
      </c>
      <c r="AS28" s="299">
        <f>4600000*80%</f>
        <v>3680000</v>
      </c>
      <c r="AT28" s="300">
        <v>45530</v>
      </c>
      <c r="AU28" s="300">
        <v>45657</v>
      </c>
      <c r="AV28" s="301" t="s">
        <v>500</v>
      </c>
      <c r="AW28" s="302">
        <f>AS28/30*5</f>
        <v>613333.33333333337</v>
      </c>
      <c r="AX28" s="405">
        <v>613334</v>
      </c>
      <c r="AY28" s="302">
        <f t="shared" si="2"/>
        <v>3680000</v>
      </c>
      <c r="AZ28" s="302">
        <v>3680000</v>
      </c>
      <c r="BA28" s="302">
        <f t="shared" si="3"/>
        <v>3680000</v>
      </c>
      <c r="BB28" s="302"/>
      <c r="BC28" s="302">
        <f t="shared" si="4"/>
        <v>3680000</v>
      </c>
      <c r="BD28" s="302"/>
      <c r="BE28" s="302">
        <f t="shared" si="5"/>
        <v>3680000</v>
      </c>
      <c r="BF28" s="303"/>
      <c r="BG28" s="410">
        <f t="shared" si="0"/>
        <v>613333</v>
      </c>
      <c r="BH28" s="305">
        <f t="shared" si="1"/>
        <v>0.6666666679084301</v>
      </c>
      <c r="BI28" s="307">
        <v>613333.33333333337</v>
      </c>
      <c r="BJ28" s="306">
        <v>0</v>
      </c>
      <c r="BK28" s="306">
        <v>0</v>
      </c>
      <c r="BL28" s="307">
        <f>+AJ28</f>
        <v>15333334</v>
      </c>
      <c r="BM28" s="306">
        <v>0</v>
      </c>
      <c r="BN28" s="306">
        <v>0</v>
      </c>
      <c r="BP28" s="308"/>
      <c r="BR28" s="310">
        <v>0</v>
      </c>
      <c r="BS28" s="310">
        <v>0</v>
      </c>
      <c r="BT28" s="310">
        <f t="shared" ref="BT28" si="20">+AX28</f>
        <v>613334</v>
      </c>
      <c r="BU28" s="310">
        <v>0</v>
      </c>
      <c r="BV28" s="310">
        <v>0</v>
      </c>
      <c r="BW28" s="310"/>
      <c r="BX28" s="310">
        <v>0</v>
      </c>
      <c r="BY28" s="310">
        <v>0</v>
      </c>
      <c r="BZ28" s="310">
        <f>+AK28-BT28</f>
        <v>3680000</v>
      </c>
      <c r="CA28" s="310">
        <v>0</v>
      </c>
      <c r="CB28" s="310">
        <v>0</v>
      </c>
    </row>
    <row r="29" spans="1:81" s="295" customFormat="1" x14ac:dyDescent="0.25">
      <c r="A29" s="295">
        <v>2024</v>
      </c>
      <c r="B29" s="295">
        <v>8</v>
      </c>
      <c r="C29" s="296">
        <v>45292</v>
      </c>
      <c r="D29" s="296">
        <v>45535</v>
      </c>
      <c r="E29" s="295" t="s">
        <v>477</v>
      </c>
      <c r="F29" s="296">
        <v>45524</v>
      </c>
      <c r="G29" s="295" t="s">
        <v>502</v>
      </c>
      <c r="H29" s="295" t="s">
        <v>503</v>
      </c>
      <c r="I29" s="295" t="s">
        <v>589</v>
      </c>
      <c r="J29" s="296">
        <v>45525</v>
      </c>
      <c r="K29" s="296">
        <v>45657</v>
      </c>
      <c r="L29" s="295" t="s">
        <v>585</v>
      </c>
      <c r="M29" s="295" t="s">
        <v>482</v>
      </c>
      <c r="N29" s="295" t="s">
        <v>483</v>
      </c>
      <c r="O29" s="295">
        <v>1564</v>
      </c>
      <c r="P29" s="295">
        <v>1836</v>
      </c>
      <c r="Q29" s="295" t="s">
        <v>559</v>
      </c>
      <c r="R29" s="295" t="s">
        <v>485</v>
      </c>
      <c r="S29" s="295" t="s">
        <v>486</v>
      </c>
      <c r="T29" s="295" t="s">
        <v>487</v>
      </c>
      <c r="U29" s="295" t="s">
        <v>488</v>
      </c>
      <c r="V29" s="295" t="s">
        <v>506</v>
      </c>
      <c r="W29" s="295" t="s">
        <v>507</v>
      </c>
      <c r="X29" s="295" t="s">
        <v>491</v>
      </c>
      <c r="Y29" s="295" t="s">
        <v>492</v>
      </c>
      <c r="Z29" s="295" t="s">
        <v>493</v>
      </c>
      <c r="AA29" s="295" t="s">
        <v>508</v>
      </c>
      <c r="AB29" s="295" t="s">
        <v>509</v>
      </c>
      <c r="AC29" s="295" t="s">
        <v>590</v>
      </c>
      <c r="AD29" s="295" t="s">
        <v>511</v>
      </c>
      <c r="AE29" s="295" t="s">
        <v>591</v>
      </c>
      <c r="AF29" s="295" t="s">
        <v>592</v>
      </c>
      <c r="AG29" s="409">
        <v>3986666</v>
      </c>
      <c r="AH29" s="409">
        <v>153333</v>
      </c>
      <c r="AI29" s="409">
        <v>0</v>
      </c>
      <c r="AJ29" s="409">
        <v>3833333</v>
      </c>
      <c r="AK29" s="409">
        <v>1073333</v>
      </c>
      <c r="AL29" s="409">
        <v>2760000</v>
      </c>
      <c r="AM29" s="295">
        <v>5000727546</v>
      </c>
      <c r="AN29" s="295">
        <v>2</v>
      </c>
      <c r="AO29" s="295">
        <v>591051</v>
      </c>
      <c r="AP29" s="295">
        <v>2</v>
      </c>
      <c r="AQ29" s="296">
        <v>45524</v>
      </c>
      <c r="AR29" s="298">
        <v>8198</v>
      </c>
      <c r="AS29" s="299">
        <f>4600000*20%</f>
        <v>920000</v>
      </c>
      <c r="AT29" s="300">
        <v>45530</v>
      </c>
      <c r="AU29" s="300">
        <v>45657</v>
      </c>
      <c r="AV29" s="301" t="s">
        <v>500</v>
      </c>
      <c r="AW29" s="302">
        <f>AS29/30*5</f>
        <v>153333.33333333334</v>
      </c>
      <c r="AX29" s="405">
        <v>153333</v>
      </c>
      <c r="AY29" s="302">
        <f t="shared" si="2"/>
        <v>920000</v>
      </c>
      <c r="AZ29" s="302">
        <v>920000</v>
      </c>
      <c r="BA29" s="302">
        <f t="shared" si="3"/>
        <v>920000</v>
      </c>
      <c r="BB29" s="302"/>
      <c r="BC29" s="302">
        <f t="shared" si="4"/>
        <v>920000</v>
      </c>
      <c r="BD29" s="302"/>
      <c r="BE29" s="302">
        <f t="shared" si="5"/>
        <v>920000</v>
      </c>
      <c r="BF29" s="303"/>
      <c r="BG29" s="410">
        <f t="shared" si="0"/>
        <v>153333</v>
      </c>
      <c r="BH29" s="305">
        <f t="shared" si="1"/>
        <v>-0.33333333302289248</v>
      </c>
      <c r="BI29" s="307">
        <v>153333.33333333334</v>
      </c>
      <c r="BJ29" s="306">
        <v>0</v>
      </c>
      <c r="BK29" s="306">
        <v>0</v>
      </c>
      <c r="BL29" s="306">
        <v>0</v>
      </c>
      <c r="BM29" s="307">
        <f>+AJ29</f>
        <v>3833333</v>
      </c>
      <c r="BN29" s="306">
        <v>0</v>
      </c>
      <c r="BP29" s="308"/>
      <c r="BR29" s="310">
        <v>0</v>
      </c>
      <c r="BS29" s="310">
        <v>0</v>
      </c>
      <c r="BT29" s="310">
        <v>0</v>
      </c>
      <c r="BU29" s="310">
        <f t="shared" ref="BU29" si="21">+AX29</f>
        <v>153333</v>
      </c>
      <c r="BV29" s="310">
        <v>0</v>
      </c>
      <c r="BW29" s="310"/>
      <c r="BX29" s="310">
        <v>0</v>
      </c>
      <c r="BY29" s="310">
        <v>0</v>
      </c>
      <c r="BZ29" s="310">
        <v>0</v>
      </c>
      <c r="CA29" s="310">
        <f>AK29-BU29</f>
        <v>920000</v>
      </c>
      <c r="CB29" s="310">
        <v>0</v>
      </c>
    </row>
    <row r="30" spans="1:81" s="295" customFormat="1" x14ac:dyDescent="0.25">
      <c r="A30" s="439" t="s">
        <v>593</v>
      </c>
      <c r="B30" s="439" t="s">
        <v>508</v>
      </c>
      <c r="C30" s="440">
        <v>45292</v>
      </c>
      <c r="D30" s="440">
        <v>45596</v>
      </c>
      <c r="E30" s="439" t="s">
        <v>477</v>
      </c>
      <c r="F30" s="440">
        <v>45572</v>
      </c>
      <c r="G30" s="439" t="s">
        <v>502</v>
      </c>
      <c r="H30" s="439" t="s">
        <v>503</v>
      </c>
      <c r="I30" s="439" t="s">
        <v>594</v>
      </c>
      <c r="J30" s="440">
        <v>45572</v>
      </c>
      <c r="K30" s="440">
        <v>45657</v>
      </c>
      <c r="L30" s="439" t="s">
        <v>595</v>
      </c>
      <c r="M30" s="439" t="s">
        <v>482</v>
      </c>
      <c r="N30" s="439" t="s">
        <v>483</v>
      </c>
      <c r="O30" s="439">
        <v>1478</v>
      </c>
      <c r="P30" s="439">
        <v>2101</v>
      </c>
      <c r="Q30" s="439" t="s">
        <v>596</v>
      </c>
      <c r="R30" s="439" t="s">
        <v>485</v>
      </c>
      <c r="S30" s="439" t="s">
        <v>486</v>
      </c>
      <c r="T30" s="439" t="s">
        <v>487</v>
      </c>
      <c r="U30" s="439" t="s">
        <v>597</v>
      </c>
      <c r="V30" s="439" t="s">
        <v>515</v>
      </c>
      <c r="W30" s="439" t="s">
        <v>516</v>
      </c>
      <c r="X30" s="439" t="s">
        <v>491</v>
      </c>
      <c r="Y30" s="295" t="s">
        <v>492</v>
      </c>
      <c r="Z30" s="439" t="s">
        <v>493</v>
      </c>
      <c r="AA30" s="295" t="s">
        <v>508</v>
      </c>
      <c r="AB30" s="295" t="s">
        <v>509</v>
      </c>
      <c r="AD30" s="439" t="s">
        <v>511</v>
      </c>
      <c r="AE30" s="439" t="s">
        <v>598</v>
      </c>
      <c r="AF30" s="439" t="s">
        <v>599</v>
      </c>
      <c r="AG30" s="409">
        <v>28500000</v>
      </c>
      <c r="AH30" s="409">
        <v>0</v>
      </c>
      <c r="AI30" s="409">
        <v>0</v>
      </c>
      <c r="AJ30" s="409">
        <v>28500000</v>
      </c>
      <c r="AK30" s="409">
        <v>0</v>
      </c>
      <c r="AL30" s="409">
        <v>28500000</v>
      </c>
      <c r="AM30" s="439">
        <v>5000748465</v>
      </c>
      <c r="AN30" s="439">
        <v>1</v>
      </c>
      <c r="AO30" s="439">
        <v>590577</v>
      </c>
      <c r="AP30" s="439">
        <v>1</v>
      </c>
      <c r="AQ30" s="440">
        <v>45572</v>
      </c>
      <c r="AR30" s="298">
        <v>8198</v>
      </c>
      <c r="AS30" s="299">
        <v>9500000</v>
      </c>
      <c r="AT30" s="300">
        <v>45576</v>
      </c>
      <c r="AU30" s="300">
        <v>45657</v>
      </c>
      <c r="AV30" s="301" t="s">
        <v>500</v>
      </c>
      <c r="AW30" s="302">
        <v>0</v>
      </c>
      <c r="AX30" s="405">
        <v>0</v>
      </c>
      <c r="AY30" s="302">
        <v>0</v>
      </c>
      <c r="AZ30" s="302"/>
      <c r="BA30" s="302">
        <f>9500000/30*20</f>
        <v>6333333.333333334</v>
      </c>
      <c r="BB30" s="302"/>
      <c r="BC30" s="302">
        <v>9500000</v>
      </c>
      <c r="BD30" s="302"/>
      <c r="BE30" s="302">
        <v>9500000</v>
      </c>
      <c r="BF30" s="303"/>
      <c r="BG30" s="410">
        <f>9500000/30*10</f>
        <v>3166666.666666667</v>
      </c>
      <c r="BH30" s="305">
        <f t="shared" si="1"/>
        <v>0</v>
      </c>
      <c r="BI30" s="307"/>
      <c r="BJ30" s="306">
        <v>0</v>
      </c>
      <c r="BK30" s="306">
        <v>0</v>
      </c>
      <c r="BL30" s="307">
        <f>+AJ30</f>
        <v>28500000</v>
      </c>
      <c r="BM30" s="307">
        <v>0</v>
      </c>
      <c r="BN30" s="306">
        <v>0</v>
      </c>
      <c r="BP30" s="308"/>
      <c r="BR30" s="310">
        <v>0</v>
      </c>
      <c r="BS30" s="310">
        <v>0</v>
      </c>
      <c r="BT30" s="310">
        <v>0</v>
      </c>
      <c r="BU30" s="310">
        <v>0</v>
      </c>
      <c r="BV30" s="310">
        <v>0</v>
      </c>
      <c r="BW30" s="310"/>
      <c r="BX30" s="310">
        <v>0</v>
      </c>
      <c r="BY30" s="310">
        <v>0</v>
      </c>
      <c r="BZ30" s="310">
        <f>+AK30-BT30</f>
        <v>0</v>
      </c>
      <c r="CA30" s="310">
        <v>0</v>
      </c>
      <c r="CB30" s="310">
        <v>0</v>
      </c>
    </row>
    <row r="31" spans="1:81" s="295" customFormat="1" x14ac:dyDescent="0.25">
      <c r="C31" s="296"/>
      <c r="D31" s="296"/>
      <c r="F31" s="296"/>
      <c r="J31" s="296"/>
      <c r="K31" s="296"/>
      <c r="AG31" s="297"/>
      <c r="AH31" s="297"/>
      <c r="AI31" s="297"/>
      <c r="AJ31" s="297"/>
      <c r="AK31" s="405"/>
      <c r="AL31" s="297"/>
      <c r="AQ31" s="296"/>
      <c r="AR31" s="298"/>
      <c r="AS31" s="299"/>
      <c r="AT31" s="300"/>
      <c r="AU31" s="300"/>
      <c r="AV31" s="301"/>
      <c r="AW31" s="302"/>
      <c r="AX31" s="405"/>
      <c r="AY31" s="302"/>
      <c r="AZ31" s="302"/>
      <c r="BA31" s="302"/>
      <c r="BB31" s="302"/>
      <c r="BC31" s="302"/>
      <c r="BD31" s="302"/>
      <c r="BE31" s="302"/>
      <c r="BF31" s="303"/>
      <c r="BG31" s="410"/>
      <c r="BH31" s="305"/>
      <c r="BI31" s="297"/>
      <c r="BJ31" s="306"/>
      <c r="BK31" s="306"/>
      <c r="BL31" s="306"/>
      <c r="BM31" s="307"/>
      <c r="BN31" s="306"/>
      <c r="BP31" s="308"/>
      <c r="BR31" s="426">
        <f>SUM(BR2:BR30)</f>
        <v>9654190</v>
      </c>
      <c r="BS31" s="426">
        <f>SUM(BS2:BS30)</f>
        <v>0</v>
      </c>
      <c r="BT31" s="426">
        <f>SUM(BT2:BT30)</f>
        <v>32741317</v>
      </c>
      <c r="BU31" s="426">
        <f>SUM(BU2:BU30)</f>
        <v>7203016</v>
      </c>
      <c r="BV31" s="426">
        <f>SUM(BV2:BV30)</f>
        <v>7098467</v>
      </c>
      <c r="BW31" s="441">
        <f>BR31+BS31+BT31+BU31+BV31</f>
        <v>56696990</v>
      </c>
      <c r="BX31" s="426">
        <f>SUM(BX2:BX30)</f>
        <v>11139450</v>
      </c>
      <c r="BY31" s="426">
        <f>SUM(BY2:BY30)</f>
        <v>0</v>
      </c>
      <c r="BZ31" s="426">
        <f>SUM(BZ2:BZ30)</f>
        <v>65846950</v>
      </c>
      <c r="CA31" s="426">
        <f>SUM(CA2:CA30)</f>
        <v>15533050</v>
      </c>
      <c r="CB31" s="426">
        <f>SUM(CB2:CB30)</f>
        <v>10366000</v>
      </c>
      <c r="CC31" s="441">
        <f>BX31+BY31+BZ31+CA31+CB31</f>
        <v>102885450</v>
      </c>
    </row>
    <row r="32" spans="1:81" s="295" customFormat="1" x14ac:dyDescent="0.25">
      <c r="C32" s="296"/>
      <c r="D32" s="296"/>
      <c r="F32" s="296"/>
      <c r="J32" s="296"/>
      <c r="K32" s="296"/>
      <c r="AG32" s="297"/>
      <c r="AH32" s="297"/>
      <c r="AI32" s="297"/>
      <c r="AJ32" s="297"/>
      <c r="AK32" s="405"/>
      <c r="AL32" s="297"/>
      <c r="AQ32" s="296"/>
      <c r="AR32" s="298"/>
      <c r="AS32" s="299"/>
      <c r="AT32" s="300"/>
      <c r="AU32" s="300"/>
      <c r="AV32" s="301"/>
      <c r="AW32" s="302"/>
      <c r="AX32" s="405"/>
      <c r="AY32" s="302"/>
      <c r="AZ32" s="302"/>
      <c r="BA32" s="302"/>
      <c r="BB32" s="302"/>
      <c r="BC32" s="302"/>
      <c r="BD32" s="302"/>
      <c r="BE32" s="302"/>
      <c r="BF32" s="303"/>
      <c r="BG32" s="410"/>
      <c r="BH32" s="305"/>
      <c r="BI32" s="297"/>
      <c r="BJ32" s="306"/>
      <c r="BK32" s="306"/>
      <c r="BL32" s="306"/>
      <c r="BM32" s="307"/>
      <c r="BN32" s="306"/>
      <c r="BP32" s="308"/>
      <c r="BR32" s="310"/>
      <c r="BS32" s="310"/>
      <c r="BT32" s="310"/>
      <c r="BU32" s="310"/>
      <c r="BV32" s="310"/>
      <c r="BW32" s="310"/>
    </row>
    <row r="33" spans="1:75" s="295" customFormat="1" ht="12" x14ac:dyDescent="0.25">
      <c r="C33" s="296"/>
      <c r="D33" s="296"/>
      <c r="F33" s="296"/>
      <c r="J33" s="296"/>
      <c r="K33" s="296"/>
      <c r="AF33" s="295" t="s">
        <v>600</v>
      </c>
      <c r="AG33" s="297">
        <f>7210000*3</f>
        <v>21630000</v>
      </c>
      <c r="AH33" s="297"/>
      <c r="AI33" s="297"/>
      <c r="AJ33" s="297"/>
      <c r="AK33" s="297"/>
      <c r="AL33" s="297">
        <f>5665000*2</f>
        <v>11330000</v>
      </c>
      <c r="AQ33" s="296"/>
      <c r="AR33" s="298"/>
      <c r="AS33" s="299"/>
      <c r="AT33" s="300"/>
      <c r="AU33" s="300"/>
      <c r="AV33" s="301"/>
      <c r="AW33" s="302"/>
      <c r="AX33" s="302"/>
      <c r="AY33" s="302">
        <v>0</v>
      </c>
      <c r="AZ33" s="302"/>
      <c r="BA33" s="302">
        <v>0</v>
      </c>
      <c r="BB33" s="302"/>
      <c r="BC33" s="302">
        <f>5665000/30*20</f>
        <v>3776666.666666667</v>
      </c>
      <c r="BD33" s="302"/>
      <c r="BE33" s="302">
        <v>5665000</v>
      </c>
      <c r="BF33" s="303"/>
      <c r="BG33" s="410">
        <f>5665000/30*10</f>
        <v>1888333.3333333335</v>
      </c>
      <c r="BH33" s="305">
        <f>AL33-SUM(AW33+AY33+BA33+BC33+BE33+BG33)</f>
        <v>0</v>
      </c>
      <c r="BI33" s="297"/>
      <c r="BJ33" s="306"/>
      <c r="BK33" s="306"/>
      <c r="BL33" s="306"/>
      <c r="BM33" s="307"/>
      <c r="BN33" s="306"/>
      <c r="BO33" s="295">
        <v>573562104</v>
      </c>
      <c r="BP33" s="308"/>
      <c r="BR33" s="310">
        <v>0</v>
      </c>
      <c r="BS33" s="310">
        <v>0</v>
      </c>
      <c r="BT33" s="310">
        <v>0</v>
      </c>
      <c r="BU33" s="310">
        <v>0</v>
      </c>
      <c r="BV33" s="310">
        <v>0</v>
      </c>
      <c r="BW33" s="310"/>
    </row>
    <row r="34" spans="1:75" s="295" customFormat="1" ht="12" x14ac:dyDescent="0.25">
      <c r="C34" s="296"/>
      <c r="D34" s="296"/>
      <c r="F34" s="296"/>
      <c r="J34" s="296"/>
      <c r="K34" s="296"/>
      <c r="AF34" s="295" t="s">
        <v>601</v>
      </c>
      <c r="AG34" s="297">
        <f>9000000*2</f>
        <v>18000000</v>
      </c>
      <c r="AH34" s="297"/>
      <c r="AI34" s="297"/>
      <c r="AJ34" s="297"/>
      <c r="AK34" s="297"/>
      <c r="AL34" s="297">
        <f>9000000*2</f>
        <v>18000000</v>
      </c>
      <c r="AQ34" s="296"/>
      <c r="AR34" s="298"/>
      <c r="AS34" s="299"/>
      <c r="AT34" s="300"/>
      <c r="AU34" s="300"/>
      <c r="AV34" s="301"/>
      <c r="AW34" s="302"/>
      <c r="AX34" s="302"/>
      <c r="AY34" s="302">
        <v>0</v>
      </c>
      <c r="AZ34" s="302"/>
      <c r="BA34" s="302">
        <v>0</v>
      </c>
      <c r="BB34" s="302"/>
      <c r="BC34" s="302">
        <f>9000000/30*20</f>
        <v>6000000</v>
      </c>
      <c r="BD34" s="302"/>
      <c r="BE34" s="302">
        <v>9000000</v>
      </c>
      <c r="BF34" s="303"/>
      <c r="BG34" s="442">
        <f>9000000/30*10</f>
        <v>3000000</v>
      </c>
      <c r="BH34" s="305">
        <f>AL34-SUM(AW34+AY34+BA34+BC34+BE34+BG34)</f>
        <v>0</v>
      </c>
      <c r="BI34" s="297"/>
      <c r="BJ34" s="306"/>
      <c r="BK34" s="306"/>
      <c r="BL34" s="306"/>
      <c r="BM34" s="307"/>
      <c r="BN34" s="306"/>
      <c r="BP34" s="308"/>
      <c r="BR34" s="310">
        <v>0</v>
      </c>
      <c r="BS34" s="310">
        <v>0</v>
      </c>
      <c r="BT34" s="310">
        <v>0</v>
      </c>
      <c r="BU34" s="310">
        <v>0</v>
      </c>
      <c r="BV34" s="310">
        <v>0</v>
      </c>
      <c r="BW34" s="310"/>
    </row>
    <row r="35" spans="1:75" s="295" customFormat="1" ht="12" x14ac:dyDescent="0.25">
      <c r="C35" s="296"/>
      <c r="D35" s="296"/>
      <c r="F35" s="296"/>
      <c r="J35" s="296"/>
      <c r="K35" s="296"/>
      <c r="AF35" s="295" t="s">
        <v>602</v>
      </c>
      <c r="AG35" s="297">
        <f>4165000</f>
        <v>4165000</v>
      </c>
      <c r="AH35" s="297"/>
      <c r="AI35" s="297"/>
      <c r="AJ35" s="297"/>
      <c r="AK35" s="297"/>
      <c r="AL35" s="297">
        <v>0</v>
      </c>
      <c r="AQ35" s="296"/>
      <c r="AR35" s="298"/>
      <c r="AS35" s="299"/>
      <c r="AT35" s="300"/>
      <c r="AU35" s="300"/>
      <c r="AV35" s="301"/>
      <c r="AW35" s="302"/>
      <c r="AX35" s="302"/>
      <c r="AY35" s="302">
        <v>0</v>
      </c>
      <c r="AZ35" s="302"/>
      <c r="BA35" s="302">
        <v>0</v>
      </c>
      <c r="BB35" s="302"/>
      <c r="BC35" s="302">
        <v>0</v>
      </c>
      <c r="BD35" s="302"/>
      <c r="BE35" s="302">
        <v>0</v>
      </c>
      <c r="BF35" s="303"/>
      <c r="BG35" s="304">
        <v>0</v>
      </c>
      <c r="BH35" s="305">
        <f>AJ35-SUM(AW35+AY35+BA35+BC35+BE35+BG35)</f>
        <v>0</v>
      </c>
      <c r="BI35" s="297"/>
      <c r="BJ35" s="306"/>
      <c r="BK35" s="306"/>
      <c r="BL35" s="306"/>
      <c r="BM35" s="307"/>
      <c r="BN35" s="306"/>
      <c r="BP35" s="308"/>
      <c r="BR35" s="310"/>
      <c r="BS35" s="310"/>
      <c r="BT35" s="310"/>
      <c r="BU35" s="310"/>
      <c r="BV35" s="310"/>
      <c r="BW35" s="310"/>
    </row>
    <row r="36" spans="1:75" x14ac:dyDescent="0.25">
      <c r="AY36" s="312"/>
      <c r="AZ36" s="312"/>
      <c r="BA36" s="312"/>
      <c r="BB36" s="312"/>
      <c r="BC36" s="312"/>
      <c r="BD36" s="312"/>
      <c r="BE36" s="312"/>
      <c r="BF36" s="312"/>
      <c r="BO36" s="314"/>
      <c r="BR36" s="310"/>
      <c r="BS36" s="310"/>
      <c r="BT36" s="310"/>
      <c r="BU36" s="310"/>
      <c r="BV36" s="310"/>
      <c r="BW36" s="310"/>
    </row>
    <row r="37" spans="1:75" s="316" customFormat="1" ht="12" x14ac:dyDescent="0.25">
      <c r="A37" s="315"/>
      <c r="I37" s="315"/>
      <c r="Q37" s="315"/>
      <c r="R37" s="315"/>
      <c r="S37" s="315"/>
      <c r="X37" s="315"/>
      <c r="AF37" s="315">
        <v>8198</v>
      </c>
      <c r="AG37" s="317">
        <f t="shared" ref="AG37:AL37" si="22">+AG2+AG3+AG4+AG5+AG6+AG7+AG8+AG9+AG10+AG11+AG12+AG13+AG14+AG15+AG16+AG17+AG18+AG19+AG20+AG21+AG22+AG23+AG24+AG25+AG26+AG27+AG28+AG29+AG30</f>
        <v>542433318</v>
      </c>
      <c r="AH37" s="317">
        <f t="shared" si="22"/>
        <v>15555091</v>
      </c>
      <c r="AI37" s="317">
        <f t="shared" si="22"/>
        <v>0</v>
      </c>
      <c r="AJ37" s="317">
        <f t="shared" si="22"/>
        <v>526878227</v>
      </c>
      <c r="AK37" s="317">
        <f t="shared" si="22"/>
        <v>159582440</v>
      </c>
      <c r="AL37" s="317">
        <f t="shared" si="22"/>
        <v>367295787</v>
      </c>
      <c r="AM37" s="317"/>
      <c r="AR37" s="318"/>
      <c r="AS37" s="319"/>
      <c r="AT37" s="320"/>
      <c r="AU37" s="320"/>
      <c r="AV37" s="315"/>
      <c r="AW37" s="317">
        <f>+AW2+AW3+AW4+AW5+AW6+AW7+AW8+AW9+AW10+AW11+AW12+AW13+AW14+AW15+AW16+AW17+AW18+AW19+AW20+AW21+AW22+AW23+AW24+AW25+AW26+AW27+AW28+AW29+AW33+AW34+AW35</f>
        <v>56696990.000000007</v>
      </c>
      <c r="AX37" s="443">
        <f>SUM(AX2:AX35)</f>
        <v>56696990</v>
      </c>
      <c r="AY37" s="317">
        <f>+AY2+AY3+AY4+AY5+AY6+AY7+AY8+AY9+AY10+AY11+AY12+AY13+AY14+AY15+AY16+AY17+AY18+AY19+AY20+AY21+AY22+AY23+AY24+AY25+AY26+AY27+AY28+AY29+AY33+AY34+AY35</f>
        <v>112424396</v>
      </c>
      <c r="AZ37" s="443">
        <f>SUM(AZ2:AZ35)</f>
        <v>102885450</v>
      </c>
      <c r="BA37" s="317">
        <f>+BA2+BA3+BA4+BA5+BA6+BA7+BA8+BA9+BA10+BA11+BA12+BA13+BA14+BA15+BA16+BA17+BA18+BA19+BA20+BA21+BA22+BA23+BA24+BA25+BA26+BA27+BA28+BA29+BA33+BA34+BA35</f>
        <v>107885450</v>
      </c>
      <c r="BB37" s="317"/>
      <c r="BC37" s="317">
        <f>+BC2+BC3+BC4+BC5+BC6+BC7+BC8+BC9+BC10+BC11+BC12+BC13+BC14+BC15+BC16+BC17+BC18+BC19+BC20+BC21+BC22+BC23+BC24+BC25+BC26+BC27+BC28+BC29+BC33+BC34+BC35</f>
        <v>117662116.66666667</v>
      </c>
      <c r="BD37" s="317"/>
      <c r="BE37" s="317">
        <f>+BE2+BE3+BE4+BE5+BE6+BE7+BE8+BE9+BE10+BE11+BE12+BE13+BE14+BE15+BE16+BE17+BE18+BE19+BE20+BE21+BE22+BE23+BE24+BE25+BE26+BE27+BE28+BE29+BE33+BE34+BE35</f>
        <v>128150941.66666666</v>
      </c>
      <c r="BF37" s="317"/>
      <c r="BG37" s="321">
        <f>+BG2+BG3+BG4+BG5+BG6+BG7+BG8+BG9+BG10+BG11+BG12+BG13+BG14+BG15+BG16+BG17+BG18+BG19+BG20+BG21+BG22+BG23+BG24+BG25+BG26+BG27+BG28+BG29+BG30+BG33+BG34+BG35</f>
        <v>23610091</v>
      </c>
      <c r="BH37" s="317">
        <f>+BH2+BH3+BH4+BH5+BH6+BH7+BH8+BH9+BH10+BH11+BH12+BH13+BH14+BH15+BH16+BH17+BH18+BH19+BH20+BH21+BH22+BH23+BH24+BH25+BH26+BH27+BH28+BH29</f>
        <v>-0.66666667629033327</v>
      </c>
      <c r="BI37" s="317">
        <f>+AW37+AY37+BA37+BC37+BE37</f>
        <v>522819894.33333337</v>
      </c>
      <c r="BJ37" s="322">
        <f>+BJ2+BJ3+BJ4+BJ5+BJ6+BJ7+BJ8+BJ9+BJ10+BJ11+BJ12+BJ13+BJ14+BJ15+BJ16+BJ17+BJ18+BJ19+BJ20+BJ21+BJ22+BJ23+BJ24+BJ25+BJ26+BJ27+BJ28+BJ29</f>
        <v>55697250</v>
      </c>
      <c r="BK37" s="322">
        <f>+BK2+BK3+BK4+BK5+BK6+BK7+BK8+BK9+BK10+BK11+BK12+BK13+BK14+BK15+BK16+BK17+BK18+BK19+BK20+BK21+BK22+BK23+BK24+BK25+BK26+BK27+BK28+BK29</f>
        <v>0</v>
      </c>
      <c r="BL37" s="322">
        <f>+BL2+BL3+BL4+BL5+BL6+BL7+BL8+BL9+BL10+BL11+BL12+BL13+BL14+BL15+BL16+BL17+BL18+BL19+BL20+BL21+BL22+BL23+BL24+BL25+BL26+BL27+BL28+BL29</f>
        <v>331199352</v>
      </c>
      <c r="BM37" s="322">
        <f>+BM2+BM3+BM4+BM5+BM6+BM7+BM8+BM9+BM10+BM11+BM12+BM13+BM14+BM15+BM16+BM17+BM18+BM19+BM20+BM21+BM22+BM23+BM24+BM25+BM26+BM27+BM28+BM29</f>
        <v>71418386</v>
      </c>
      <c r="BN37" s="322">
        <f>+BN2+BN3+BN4+BN5+BN6+BN7+BN8+BN9+BN10+BN11+BN12+BN13+BN14+BN15+BN16+BN17+BN18+BN19+BN20+BN21+BN22+BN23+BN24+BN25+BN26+BN27+BN28+BN29</f>
        <v>51325000</v>
      </c>
      <c r="BO37" s="314">
        <f>+BJ37+BK37+BL37+BM37+BN37</f>
        <v>509639988</v>
      </c>
      <c r="BP37" s="323"/>
      <c r="BR37" s="310">
        <f>SUM(BR2:BR36)</f>
        <v>19308380</v>
      </c>
      <c r="BS37" s="310">
        <f>SUM(BS2:BS36)</f>
        <v>0</v>
      </c>
      <c r="BT37" s="310">
        <f>SUM(BT2:BT36)</f>
        <v>65482634</v>
      </c>
      <c r="BU37" s="310">
        <f>SUM(BU2:BU36)</f>
        <v>14406032</v>
      </c>
      <c r="BV37" s="310">
        <f>SUM(BV2:BV36)</f>
        <v>14196934</v>
      </c>
      <c r="BW37" s="310">
        <f>SUM(BR37:BV37)</f>
        <v>113393980</v>
      </c>
    </row>
    <row r="38" spans="1:75" x14ac:dyDescent="0.25">
      <c r="AW38" s="324" t="s">
        <v>603</v>
      </c>
      <c r="AX38" s="444">
        <f>+AW37/AX37</f>
        <v>1.0000000000000002</v>
      </c>
      <c r="AZ38" s="445">
        <f>+AZ37/AY37</f>
        <v>0.91515234825010761</v>
      </c>
      <c r="BG38" s="312">
        <f>+BG37-BG34-BG33-BG30</f>
        <v>15555091</v>
      </c>
      <c r="BO38" s="312">
        <f>+BO33-BO37</f>
        <v>63922116</v>
      </c>
      <c r="BR38" s="310"/>
      <c r="BS38" s="310"/>
      <c r="BT38" s="310"/>
      <c r="BU38" s="310"/>
      <c r="BV38" s="310"/>
      <c r="BW38" s="310">
        <f>+BW37-AW37</f>
        <v>56696989.999999993</v>
      </c>
    </row>
    <row r="39" spans="1:75" ht="15" x14ac:dyDescent="0.25">
      <c r="AW39" s="312"/>
      <c r="AX39" s="312"/>
      <c r="BA39" s="312">
        <f>+AX37+AY37+BA37+BC37+BE37</f>
        <v>522819894.33333337</v>
      </c>
      <c r="BB39" s="351">
        <f>+BA39/(BP50+BP58)</f>
        <v>0.86212263919359411</v>
      </c>
      <c r="BI39" s="312">
        <f>+BH41+BH42+BE43+BE44</f>
        <v>1733333.3333333335</v>
      </c>
      <c r="BO39" s="446">
        <f>+BO6+BO15+BO2</f>
        <v>0</v>
      </c>
      <c r="BP39" s="446">
        <f>+BO39/4</f>
        <v>0</v>
      </c>
    </row>
    <row r="41" spans="1:75" s="447" customFormat="1" ht="12" x14ac:dyDescent="0.25">
      <c r="A41" s="447">
        <v>2024</v>
      </c>
      <c r="B41" s="447">
        <v>7</v>
      </c>
      <c r="C41" s="448">
        <v>45292</v>
      </c>
      <c r="D41" s="448">
        <v>45535</v>
      </c>
      <c r="E41" s="447" t="s">
        <v>477</v>
      </c>
      <c r="F41" s="448">
        <v>45504</v>
      </c>
      <c r="G41" s="447" t="s">
        <v>478</v>
      </c>
      <c r="H41" s="447" t="s">
        <v>479</v>
      </c>
      <c r="I41" s="447" t="s">
        <v>480</v>
      </c>
      <c r="J41" s="448">
        <v>45498</v>
      </c>
      <c r="K41" s="448">
        <v>45657</v>
      </c>
      <c r="L41" s="447" t="s">
        <v>481</v>
      </c>
      <c r="M41" s="447" t="s">
        <v>482</v>
      </c>
      <c r="N41" s="447" t="s">
        <v>483</v>
      </c>
      <c r="O41" s="447">
        <v>1171</v>
      </c>
      <c r="P41" s="447">
        <v>1289</v>
      </c>
      <c r="Q41" s="447" t="s">
        <v>484</v>
      </c>
      <c r="R41" s="447" t="s">
        <v>485</v>
      </c>
      <c r="S41" s="447" t="s">
        <v>486</v>
      </c>
      <c r="T41" s="447" t="s">
        <v>487</v>
      </c>
      <c r="U41" s="447" t="s">
        <v>488</v>
      </c>
      <c r="V41" s="447" t="s">
        <v>501</v>
      </c>
      <c r="W41" s="447" t="s">
        <v>490</v>
      </c>
      <c r="X41" s="447" t="s">
        <v>491</v>
      </c>
      <c r="Y41" s="447" t="s">
        <v>492</v>
      </c>
      <c r="Z41" s="447" t="s">
        <v>493</v>
      </c>
      <c r="AA41" s="447" t="s">
        <v>494</v>
      </c>
      <c r="AB41" s="447" t="s">
        <v>495</v>
      </c>
      <c r="AC41" s="447" t="s">
        <v>496</v>
      </c>
      <c r="AD41" s="447" t="s">
        <v>497</v>
      </c>
      <c r="AE41" s="447" t="s">
        <v>498</v>
      </c>
      <c r="AF41" s="447" t="s">
        <v>499</v>
      </c>
      <c r="AG41" s="449">
        <v>27376904</v>
      </c>
      <c r="AH41" s="449">
        <v>0</v>
      </c>
      <c r="AI41" s="449">
        <v>0</v>
      </c>
      <c r="AJ41" s="449">
        <v>27376904</v>
      </c>
      <c r="AK41" s="449">
        <v>0</v>
      </c>
      <c r="AL41" s="449">
        <v>27376904</v>
      </c>
      <c r="AM41" s="447">
        <v>5000717080</v>
      </c>
      <c r="AN41" s="447">
        <v>1</v>
      </c>
      <c r="AO41" s="447">
        <v>587548</v>
      </c>
      <c r="AP41" s="447">
        <v>3</v>
      </c>
      <c r="AQ41" s="448">
        <v>45504</v>
      </c>
      <c r="AR41" s="450">
        <v>8198</v>
      </c>
      <c r="AS41" s="451"/>
      <c r="AT41" s="452"/>
      <c r="AU41" s="452"/>
      <c r="AV41" s="453" t="s">
        <v>500</v>
      </c>
      <c r="AW41" s="454">
        <v>0</v>
      </c>
      <c r="AX41" s="454"/>
      <c r="AY41" s="454">
        <v>0</v>
      </c>
      <c r="AZ41" s="454"/>
      <c r="BA41" s="454">
        <v>0</v>
      </c>
      <c r="BB41" s="454"/>
      <c r="BC41" s="454">
        <v>0</v>
      </c>
      <c r="BD41" s="454"/>
      <c r="BE41" s="454">
        <f>27376904/2</f>
        <v>13688452</v>
      </c>
      <c r="BF41" s="455"/>
      <c r="BG41" s="455">
        <v>0</v>
      </c>
      <c r="BH41" s="454">
        <v>0</v>
      </c>
      <c r="BI41" s="449"/>
      <c r="BJ41" s="456">
        <v>0</v>
      </c>
      <c r="BK41" s="456">
        <v>0</v>
      </c>
      <c r="BL41" s="457">
        <f>+AG41/2</f>
        <v>13688452</v>
      </c>
      <c r="BM41" s="456">
        <v>0</v>
      </c>
      <c r="BN41" s="456">
        <v>0</v>
      </c>
      <c r="BO41" s="447" t="s">
        <v>604</v>
      </c>
      <c r="BP41" s="458">
        <f t="shared" ref="BP41" si="23">+AJ41-SUM(BJ41:BN41)</f>
        <v>13688452</v>
      </c>
      <c r="BQ41" s="459"/>
      <c r="BR41" s="460"/>
      <c r="BS41" s="461"/>
      <c r="BT41" s="460"/>
      <c r="BU41" s="460"/>
      <c r="BV41" s="460"/>
    </row>
    <row r="42" spans="1:75" s="447" customFormat="1" ht="12" x14ac:dyDescent="0.25">
      <c r="A42" s="447">
        <v>2024</v>
      </c>
      <c r="B42" s="447">
        <v>7</v>
      </c>
      <c r="C42" s="448">
        <v>45292</v>
      </c>
      <c r="D42" s="448">
        <v>45535</v>
      </c>
      <c r="E42" s="447" t="s">
        <v>477</v>
      </c>
      <c r="F42" s="448">
        <v>45504</v>
      </c>
      <c r="G42" s="447" t="s">
        <v>478</v>
      </c>
      <c r="H42" s="447" t="s">
        <v>479</v>
      </c>
      <c r="I42" s="447" t="s">
        <v>480</v>
      </c>
      <c r="J42" s="448">
        <v>45498</v>
      </c>
      <c r="K42" s="448">
        <v>45657</v>
      </c>
      <c r="L42" s="447" t="s">
        <v>481</v>
      </c>
      <c r="M42" s="447" t="s">
        <v>482</v>
      </c>
      <c r="N42" s="447" t="s">
        <v>483</v>
      </c>
      <c r="O42" s="447">
        <v>1171</v>
      </c>
      <c r="P42" s="447">
        <v>1289</v>
      </c>
      <c r="Q42" s="447" t="s">
        <v>484</v>
      </c>
      <c r="R42" s="447" t="s">
        <v>485</v>
      </c>
      <c r="S42" s="447" t="s">
        <v>486</v>
      </c>
      <c r="T42" s="447" t="s">
        <v>487</v>
      </c>
      <c r="U42" s="447" t="s">
        <v>488</v>
      </c>
      <c r="V42" s="447" t="s">
        <v>501</v>
      </c>
      <c r="W42" s="447" t="s">
        <v>490</v>
      </c>
      <c r="X42" s="447" t="s">
        <v>491</v>
      </c>
      <c r="Y42" s="447" t="s">
        <v>492</v>
      </c>
      <c r="Z42" s="447" t="s">
        <v>493</v>
      </c>
      <c r="AA42" s="447" t="s">
        <v>494</v>
      </c>
      <c r="AB42" s="447" t="s">
        <v>495</v>
      </c>
      <c r="AC42" s="447" t="s">
        <v>496</v>
      </c>
      <c r="AD42" s="447" t="s">
        <v>497</v>
      </c>
      <c r="AE42" s="447" t="s">
        <v>498</v>
      </c>
      <c r="AF42" s="447" t="s">
        <v>499</v>
      </c>
      <c r="AG42" s="449">
        <v>6405667</v>
      </c>
      <c r="AH42" s="449">
        <v>0</v>
      </c>
      <c r="AI42" s="449">
        <v>0</v>
      </c>
      <c r="AJ42" s="449">
        <v>6405667</v>
      </c>
      <c r="AK42" s="449">
        <v>0</v>
      </c>
      <c r="AL42" s="449">
        <v>6405667</v>
      </c>
      <c r="AM42" s="447">
        <v>5000717080</v>
      </c>
      <c r="AN42" s="447">
        <v>2</v>
      </c>
      <c r="AO42" s="447">
        <v>587548</v>
      </c>
      <c r="AP42" s="447">
        <v>4</v>
      </c>
      <c r="AQ42" s="448">
        <v>45504</v>
      </c>
      <c r="AR42" s="450">
        <v>8198</v>
      </c>
      <c r="AS42" s="451"/>
      <c r="AT42" s="452"/>
      <c r="AU42" s="452"/>
      <c r="AV42" s="453" t="s">
        <v>500</v>
      </c>
      <c r="AW42" s="454">
        <v>0</v>
      </c>
      <c r="AX42" s="454"/>
      <c r="AY42" s="454">
        <v>0</v>
      </c>
      <c r="AZ42" s="454"/>
      <c r="BA42" s="454">
        <v>0</v>
      </c>
      <c r="BB42" s="454"/>
      <c r="BC42" s="454">
        <v>0</v>
      </c>
      <c r="BD42" s="454"/>
      <c r="BE42" s="454">
        <f>6405667/2</f>
        <v>3202833.5</v>
      </c>
      <c r="BF42" s="455"/>
      <c r="BG42" s="455">
        <v>0</v>
      </c>
      <c r="BH42" s="454">
        <v>0</v>
      </c>
      <c r="BI42" s="449"/>
      <c r="BJ42" s="456">
        <v>0</v>
      </c>
      <c r="BK42" s="456">
        <v>0</v>
      </c>
      <c r="BL42" s="456">
        <v>0</v>
      </c>
      <c r="BM42" s="456">
        <v>0</v>
      </c>
      <c r="BN42" s="457">
        <f>(AG42/2)-1</f>
        <v>3202832.5</v>
      </c>
      <c r="BO42" s="447" t="s">
        <v>604</v>
      </c>
      <c r="BP42" s="458">
        <f>+AJ42-SUM(BJ42:BN42)</f>
        <v>3202834.5</v>
      </c>
      <c r="BQ42" s="459"/>
      <c r="BR42" s="460"/>
      <c r="BS42" s="461"/>
      <c r="BT42" s="460"/>
      <c r="BU42" s="460"/>
      <c r="BV42" s="460"/>
    </row>
    <row r="43" spans="1:75" s="337" customFormat="1" ht="12" x14ac:dyDescent="0.25">
      <c r="A43" s="327">
        <v>2024</v>
      </c>
      <c r="B43" s="337">
        <v>8</v>
      </c>
      <c r="C43" s="462">
        <v>45292</v>
      </c>
      <c r="D43" s="462">
        <v>45535</v>
      </c>
      <c r="E43" s="337" t="s">
        <v>477</v>
      </c>
      <c r="F43" s="462">
        <v>45509</v>
      </c>
      <c r="G43" s="337" t="s">
        <v>502</v>
      </c>
      <c r="H43" s="337" t="s">
        <v>503</v>
      </c>
      <c r="I43" s="327" t="s">
        <v>605</v>
      </c>
      <c r="J43" s="462">
        <v>45509</v>
      </c>
      <c r="K43" s="462">
        <v>45636</v>
      </c>
      <c r="L43" s="337" t="s">
        <v>531</v>
      </c>
      <c r="M43" s="337" t="s">
        <v>482</v>
      </c>
      <c r="N43" s="337" t="s">
        <v>483</v>
      </c>
      <c r="O43" s="337">
        <v>1542</v>
      </c>
      <c r="P43" s="337">
        <v>1527</v>
      </c>
      <c r="Q43" s="327" t="s">
        <v>532</v>
      </c>
      <c r="R43" s="327" t="s">
        <v>485</v>
      </c>
      <c r="S43" s="327" t="s">
        <v>486</v>
      </c>
      <c r="T43" s="337" t="s">
        <v>487</v>
      </c>
      <c r="U43" s="337" t="s">
        <v>488</v>
      </c>
      <c r="V43" s="337" t="s">
        <v>506</v>
      </c>
      <c r="W43" s="337" t="s">
        <v>507</v>
      </c>
      <c r="X43" s="327" t="s">
        <v>491</v>
      </c>
      <c r="Y43" s="337" t="s">
        <v>492</v>
      </c>
      <c r="Z43" s="337" t="s">
        <v>493</v>
      </c>
      <c r="AA43" s="337" t="s">
        <v>508</v>
      </c>
      <c r="AB43" s="337" t="s">
        <v>509</v>
      </c>
      <c r="AC43" s="337" t="s">
        <v>533</v>
      </c>
      <c r="AD43" s="337" t="s">
        <v>511</v>
      </c>
      <c r="AE43" s="337" t="s">
        <v>534</v>
      </c>
      <c r="AF43" s="327" t="s">
        <v>535</v>
      </c>
      <c r="AG43" s="329">
        <v>0</v>
      </c>
      <c r="AH43" s="329">
        <v>0</v>
      </c>
      <c r="AI43" s="329">
        <v>0</v>
      </c>
      <c r="AJ43" s="329">
        <v>0</v>
      </c>
      <c r="AK43" s="329">
        <v>0</v>
      </c>
      <c r="AL43" s="329">
        <v>0</v>
      </c>
      <c r="AM43" s="337">
        <v>5000720509</v>
      </c>
      <c r="AN43" s="337">
        <v>1</v>
      </c>
      <c r="AO43" s="337">
        <v>590961</v>
      </c>
      <c r="AP43" s="337">
        <v>1</v>
      </c>
      <c r="AQ43" s="462">
        <v>45509</v>
      </c>
      <c r="AR43" s="330">
        <v>8198</v>
      </c>
      <c r="AS43" s="331">
        <v>6366000</v>
      </c>
      <c r="AT43" s="332">
        <v>45648</v>
      </c>
      <c r="AU43" s="332">
        <v>45657</v>
      </c>
      <c r="AV43" s="333" t="s">
        <v>500</v>
      </c>
      <c r="AW43" s="334">
        <v>0</v>
      </c>
      <c r="AX43" s="334"/>
      <c r="AY43" s="334">
        <v>0</v>
      </c>
      <c r="AZ43" s="334"/>
      <c r="BA43" s="334">
        <v>0</v>
      </c>
      <c r="BB43" s="334"/>
      <c r="BC43" s="334">
        <v>0</v>
      </c>
      <c r="BD43" s="334"/>
      <c r="BE43" s="334"/>
      <c r="BF43" s="335"/>
      <c r="BG43" s="335">
        <v>0</v>
      </c>
      <c r="BH43" s="334">
        <v>0</v>
      </c>
      <c r="BI43" s="329"/>
      <c r="BJ43" s="336">
        <v>0</v>
      </c>
      <c r="BK43" s="336">
        <v>0</v>
      </c>
      <c r="BL43" s="336">
        <v>0</v>
      </c>
      <c r="BM43" s="336">
        <v>0</v>
      </c>
      <c r="BN43" s="463"/>
      <c r="BO43" s="337" t="s">
        <v>606</v>
      </c>
      <c r="BP43" s="464"/>
      <c r="BR43" s="338"/>
      <c r="BS43" s="338"/>
      <c r="BT43" s="338"/>
      <c r="BU43" s="338"/>
      <c r="BV43" s="338"/>
    </row>
    <row r="44" spans="1:75" s="337" customFormat="1" ht="12" x14ac:dyDescent="0.25">
      <c r="A44" s="327">
        <v>2024</v>
      </c>
      <c r="B44" s="337">
        <v>8</v>
      </c>
      <c r="C44" s="462">
        <v>45292</v>
      </c>
      <c r="D44" s="462">
        <v>45535</v>
      </c>
      <c r="E44" s="337" t="s">
        <v>477</v>
      </c>
      <c r="F44" s="462">
        <v>45509</v>
      </c>
      <c r="G44" s="337" t="s">
        <v>502</v>
      </c>
      <c r="H44" s="337" t="s">
        <v>503</v>
      </c>
      <c r="I44" s="327" t="s">
        <v>542</v>
      </c>
      <c r="J44" s="462">
        <v>45509</v>
      </c>
      <c r="K44" s="462">
        <v>45657</v>
      </c>
      <c r="L44" s="337" t="s">
        <v>537</v>
      </c>
      <c r="M44" s="337" t="s">
        <v>482</v>
      </c>
      <c r="N44" s="337" t="s">
        <v>483</v>
      </c>
      <c r="O44" s="337">
        <v>1548</v>
      </c>
      <c r="P44" s="337">
        <v>1532</v>
      </c>
      <c r="Q44" s="327" t="s">
        <v>543</v>
      </c>
      <c r="R44" s="327" t="s">
        <v>485</v>
      </c>
      <c r="S44" s="327" t="s">
        <v>486</v>
      </c>
      <c r="T44" s="337" t="s">
        <v>487</v>
      </c>
      <c r="U44" s="337" t="s">
        <v>488</v>
      </c>
      <c r="V44" s="337" t="s">
        <v>506</v>
      </c>
      <c r="W44" s="337" t="s">
        <v>507</v>
      </c>
      <c r="X44" s="327" t="s">
        <v>491</v>
      </c>
      <c r="Y44" s="337" t="s">
        <v>492</v>
      </c>
      <c r="Z44" s="337" t="s">
        <v>493</v>
      </c>
      <c r="AA44" s="337" t="s">
        <v>508</v>
      </c>
      <c r="AB44" s="337" t="s">
        <v>509</v>
      </c>
      <c r="AC44" s="337" t="s">
        <v>544</v>
      </c>
      <c r="AD44" s="337" t="s">
        <v>511</v>
      </c>
      <c r="AE44" s="337" t="s">
        <v>545</v>
      </c>
      <c r="AF44" s="327" t="s">
        <v>546</v>
      </c>
      <c r="AG44" s="329">
        <v>0</v>
      </c>
      <c r="AH44" s="329">
        <v>0</v>
      </c>
      <c r="AI44" s="329">
        <v>0</v>
      </c>
      <c r="AJ44" s="329">
        <v>0</v>
      </c>
      <c r="AK44" s="329">
        <v>0</v>
      </c>
      <c r="AL44" s="329">
        <v>0</v>
      </c>
      <c r="AM44" s="337">
        <v>5000720566</v>
      </c>
      <c r="AN44" s="337">
        <v>1</v>
      </c>
      <c r="AO44" s="337">
        <v>590977</v>
      </c>
      <c r="AP44" s="337">
        <v>1</v>
      </c>
      <c r="AQ44" s="462">
        <v>45509</v>
      </c>
      <c r="AR44" s="330">
        <v>8198</v>
      </c>
      <c r="AS44" s="331">
        <v>4000000</v>
      </c>
      <c r="AT44" s="332">
        <v>45644</v>
      </c>
      <c r="AU44" s="332">
        <v>45657</v>
      </c>
      <c r="AV44" s="333" t="s">
        <v>500</v>
      </c>
      <c r="AW44" s="334">
        <v>0</v>
      </c>
      <c r="AX44" s="334"/>
      <c r="AY44" s="334">
        <v>0</v>
      </c>
      <c r="AZ44" s="334"/>
      <c r="BA44" s="334">
        <v>0</v>
      </c>
      <c r="BB44" s="334"/>
      <c r="BC44" s="334">
        <v>0</v>
      </c>
      <c r="BD44" s="334"/>
      <c r="BE44" s="334">
        <f>AS44/30*13</f>
        <v>1733333.3333333335</v>
      </c>
      <c r="BF44" s="335"/>
      <c r="BG44" s="335">
        <v>0</v>
      </c>
      <c r="BH44" s="334">
        <v>-0.3333333358168602</v>
      </c>
      <c r="BI44" s="329"/>
      <c r="BJ44" s="336">
        <v>0</v>
      </c>
      <c r="BK44" s="336">
        <v>0</v>
      </c>
      <c r="BL44" s="336">
        <v>0</v>
      </c>
      <c r="BM44" s="336">
        <v>0</v>
      </c>
      <c r="BN44" s="463">
        <f>+BE44</f>
        <v>1733333.3333333335</v>
      </c>
      <c r="BO44" s="337" t="s">
        <v>607</v>
      </c>
      <c r="BP44" s="464"/>
      <c r="BR44" s="338"/>
      <c r="BS44" s="338"/>
      <c r="BT44" s="338"/>
      <c r="BU44" s="338"/>
      <c r="BV44" s="338"/>
    </row>
    <row r="45" spans="1:75" s="465" customFormat="1" ht="12" x14ac:dyDescent="0.25">
      <c r="A45" s="465">
        <v>2024</v>
      </c>
      <c r="B45" s="465">
        <v>8</v>
      </c>
      <c r="C45" s="466">
        <v>45292</v>
      </c>
      <c r="D45" s="466">
        <v>45535</v>
      </c>
      <c r="E45" s="465" t="s">
        <v>477</v>
      </c>
      <c r="F45" s="466">
        <v>45506</v>
      </c>
      <c r="G45" s="465" t="s">
        <v>502</v>
      </c>
      <c r="H45" s="465" t="s">
        <v>503</v>
      </c>
      <c r="I45" s="465" t="s">
        <v>608</v>
      </c>
      <c r="J45" s="466">
        <v>45506</v>
      </c>
      <c r="K45" s="466">
        <v>45657</v>
      </c>
      <c r="L45" s="465" t="s">
        <v>504</v>
      </c>
      <c r="M45" s="465" t="s">
        <v>482</v>
      </c>
      <c r="N45" s="465" t="s">
        <v>483</v>
      </c>
      <c r="O45" s="465">
        <v>1525</v>
      </c>
      <c r="P45" s="465">
        <v>1383</v>
      </c>
      <c r="Q45" s="465" t="s">
        <v>505</v>
      </c>
      <c r="R45" s="465" t="s">
        <v>485</v>
      </c>
      <c r="S45" s="465" t="s">
        <v>486</v>
      </c>
      <c r="T45" s="465" t="s">
        <v>487</v>
      </c>
      <c r="U45" s="465" t="s">
        <v>488</v>
      </c>
      <c r="V45" s="465" t="s">
        <v>506</v>
      </c>
      <c r="W45" s="465" t="s">
        <v>507</v>
      </c>
      <c r="X45" s="465" t="s">
        <v>491</v>
      </c>
      <c r="Y45" s="465" t="s">
        <v>492</v>
      </c>
      <c r="Z45" s="465" t="s">
        <v>493</v>
      </c>
      <c r="AA45" s="465" t="s">
        <v>508</v>
      </c>
      <c r="AB45" s="465" t="s">
        <v>509</v>
      </c>
      <c r="AC45" s="465" t="s">
        <v>510</v>
      </c>
      <c r="AD45" s="465" t="s">
        <v>511</v>
      </c>
      <c r="AE45" s="465" t="s">
        <v>512</v>
      </c>
      <c r="AF45" s="465" t="s">
        <v>513</v>
      </c>
      <c r="AG45" s="467">
        <v>0</v>
      </c>
      <c r="AH45" s="467">
        <v>0</v>
      </c>
      <c r="AI45" s="467">
        <v>0</v>
      </c>
      <c r="AJ45" s="467">
        <v>0</v>
      </c>
      <c r="AK45" s="467">
        <v>0</v>
      </c>
      <c r="AL45" s="467">
        <v>0</v>
      </c>
      <c r="AM45" s="465">
        <v>5000718988</v>
      </c>
      <c r="AN45" s="465">
        <v>1</v>
      </c>
      <c r="AO45" s="465">
        <v>590899</v>
      </c>
      <c r="AP45" s="465">
        <v>1</v>
      </c>
      <c r="AQ45" s="466">
        <v>45506</v>
      </c>
      <c r="AR45" s="468">
        <v>8198</v>
      </c>
      <c r="AS45" s="469">
        <v>11139450</v>
      </c>
      <c r="AT45" s="470">
        <v>45658</v>
      </c>
      <c r="AU45" s="470">
        <v>45677</v>
      </c>
      <c r="AV45" s="471" t="s">
        <v>500</v>
      </c>
      <c r="AW45" s="472">
        <v>0</v>
      </c>
      <c r="AX45" s="472"/>
      <c r="AY45" s="472">
        <v>0</v>
      </c>
      <c r="AZ45" s="472"/>
      <c r="BA45" s="472">
        <v>0</v>
      </c>
      <c r="BB45" s="472"/>
      <c r="BC45" s="472">
        <v>0</v>
      </c>
      <c r="BD45" s="472"/>
      <c r="BE45" s="472">
        <v>0</v>
      </c>
      <c r="BF45" s="473"/>
      <c r="BG45" s="473">
        <v>0</v>
      </c>
      <c r="BH45" s="472">
        <f>AS45/30*15</f>
        <v>5569725</v>
      </c>
      <c r="BI45" s="467"/>
      <c r="BJ45" s="474">
        <f>+BH45</f>
        <v>5569725</v>
      </c>
      <c r="BK45" s="475">
        <v>0</v>
      </c>
      <c r="BL45" s="475">
        <v>0</v>
      </c>
      <c r="BM45" s="475">
        <v>0</v>
      </c>
      <c r="BN45" s="475">
        <v>0</v>
      </c>
      <c r="BO45" s="476" t="s">
        <v>609</v>
      </c>
      <c r="BP45" s="477"/>
      <c r="BR45" s="478"/>
      <c r="BS45" s="478"/>
      <c r="BT45" s="478"/>
      <c r="BU45" s="478"/>
      <c r="BV45" s="478"/>
    </row>
    <row r="46" spans="1:75" s="480" customFormat="1" ht="12" x14ac:dyDescent="0.25">
      <c r="A46" s="479">
        <v>2024</v>
      </c>
      <c r="B46" s="480">
        <v>8</v>
      </c>
      <c r="C46" s="481">
        <v>45292</v>
      </c>
      <c r="D46" s="481">
        <v>45535</v>
      </c>
      <c r="E46" s="480" t="s">
        <v>477</v>
      </c>
      <c r="F46" s="481">
        <v>45506</v>
      </c>
      <c r="G46" s="480" t="s">
        <v>502</v>
      </c>
      <c r="H46" s="480" t="s">
        <v>503</v>
      </c>
      <c r="I46" s="479" t="s">
        <v>610</v>
      </c>
      <c r="J46" s="481">
        <v>45506</v>
      </c>
      <c r="K46" s="481">
        <v>45657</v>
      </c>
      <c r="L46" s="480" t="s">
        <v>504</v>
      </c>
      <c r="M46" s="480" t="s">
        <v>482</v>
      </c>
      <c r="N46" s="480" t="s">
        <v>483</v>
      </c>
      <c r="O46" s="480">
        <v>1414</v>
      </c>
      <c r="P46" s="480">
        <v>1385</v>
      </c>
      <c r="Q46" s="479" t="s">
        <v>514</v>
      </c>
      <c r="R46" s="479" t="s">
        <v>485</v>
      </c>
      <c r="S46" s="479" t="s">
        <v>486</v>
      </c>
      <c r="T46" s="480" t="s">
        <v>487</v>
      </c>
      <c r="U46" s="480" t="s">
        <v>488</v>
      </c>
      <c r="V46" s="480" t="s">
        <v>515</v>
      </c>
      <c r="W46" s="480" t="s">
        <v>516</v>
      </c>
      <c r="X46" s="479" t="s">
        <v>491</v>
      </c>
      <c r="Y46" s="480" t="s">
        <v>492</v>
      </c>
      <c r="Z46" s="480" t="s">
        <v>493</v>
      </c>
      <c r="AA46" s="480" t="s">
        <v>508</v>
      </c>
      <c r="AB46" s="480" t="s">
        <v>509</v>
      </c>
      <c r="AC46" s="480" t="s">
        <v>517</v>
      </c>
      <c r="AD46" s="480" t="s">
        <v>511</v>
      </c>
      <c r="AE46" s="480" t="s">
        <v>518</v>
      </c>
      <c r="AF46" s="479" t="s">
        <v>519</v>
      </c>
      <c r="AG46" s="482">
        <v>0</v>
      </c>
      <c r="AH46" s="482">
        <v>0</v>
      </c>
      <c r="AI46" s="482">
        <v>0</v>
      </c>
      <c r="AJ46" s="482">
        <v>0</v>
      </c>
      <c r="AK46" s="482">
        <v>0</v>
      </c>
      <c r="AL46" s="482">
        <v>0</v>
      </c>
      <c r="AM46" s="480">
        <v>5000718992</v>
      </c>
      <c r="AN46" s="480">
        <v>1</v>
      </c>
      <c r="AO46" s="480">
        <v>590274</v>
      </c>
      <c r="AP46" s="480">
        <v>1</v>
      </c>
      <c r="AQ46" s="481">
        <v>45506</v>
      </c>
      <c r="AR46" s="483">
        <v>8198</v>
      </c>
      <c r="AS46" s="484">
        <v>9785000</v>
      </c>
      <c r="AT46" s="485">
        <v>45658</v>
      </c>
      <c r="AU46" s="485">
        <v>45677</v>
      </c>
      <c r="AV46" s="486" t="s">
        <v>500</v>
      </c>
      <c r="AW46" s="487">
        <v>0</v>
      </c>
      <c r="AX46" s="487"/>
      <c r="AY46" s="487">
        <v>0</v>
      </c>
      <c r="AZ46" s="487"/>
      <c r="BA46" s="487">
        <v>0</v>
      </c>
      <c r="BB46" s="487"/>
      <c r="BC46" s="487">
        <v>0</v>
      </c>
      <c r="BD46" s="487"/>
      <c r="BE46" s="487">
        <v>0</v>
      </c>
      <c r="BF46" s="488"/>
      <c r="BG46" s="488">
        <v>0</v>
      </c>
      <c r="BH46" s="487">
        <f>AS46/30*15</f>
        <v>4892500</v>
      </c>
      <c r="BI46" s="482"/>
      <c r="BJ46" s="489">
        <v>0</v>
      </c>
      <c r="BK46" s="489">
        <v>0</v>
      </c>
      <c r="BL46" s="490">
        <f>+BH46</f>
        <v>4892500</v>
      </c>
      <c r="BM46" s="489">
        <v>0</v>
      </c>
      <c r="BN46" s="489">
        <v>0</v>
      </c>
      <c r="BO46" s="491" t="s">
        <v>611</v>
      </c>
      <c r="BP46" s="349"/>
      <c r="BR46" s="492"/>
      <c r="BS46" s="492"/>
      <c r="BT46" s="492"/>
      <c r="BU46" s="492"/>
      <c r="BV46" s="492"/>
    </row>
    <row r="47" spans="1:75" s="480" customFormat="1" ht="12" x14ac:dyDescent="0.25">
      <c r="A47" s="479">
        <v>2024</v>
      </c>
      <c r="B47" s="480">
        <v>8</v>
      </c>
      <c r="C47" s="481">
        <v>45292</v>
      </c>
      <c r="D47" s="481">
        <v>45535</v>
      </c>
      <c r="E47" s="480" t="s">
        <v>477</v>
      </c>
      <c r="F47" s="481">
        <v>45512</v>
      </c>
      <c r="G47" s="480" t="s">
        <v>502</v>
      </c>
      <c r="H47" s="480" t="s">
        <v>503</v>
      </c>
      <c r="I47" s="479" t="s">
        <v>612</v>
      </c>
      <c r="J47" s="481">
        <v>45512</v>
      </c>
      <c r="K47" s="481">
        <v>45657</v>
      </c>
      <c r="L47" s="480" t="s">
        <v>502</v>
      </c>
      <c r="M47" s="480" t="s">
        <v>482</v>
      </c>
      <c r="N47" s="480" t="s">
        <v>483</v>
      </c>
      <c r="O47" s="480">
        <v>1544</v>
      </c>
      <c r="P47" s="480">
        <v>1563</v>
      </c>
      <c r="Q47" s="479" t="s">
        <v>547</v>
      </c>
      <c r="R47" s="479" t="s">
        <v>485</v>
      </c>
      <c r="S47" s="479" t="s">
        <v>486</v>
      </c>
      <c r="T47" s="480" t="s">
        <v>487</v>
      </c>
      <c r="U47" s="480" t="s">
        <v>488</v>
      </c>
      <c r="V47" s="480" t="s">
        <v>506</v>
      </c>
      <c r="W47" s="480" t="s">
        <v>507</v>
      </c>
      <c r="X47" s="479" t="s">
        <v>491</v>
      </c>
      <c r="Y47" s="480" t="s">
        <v>492</v>
      </c>
      <c r="Z47" s="480" t="s">
        <v>493</v>
      </c>
      <c r="AA47" s="480" t="s">
        <v>508</v>
      </c>
      <c r="AB47" s="480" t="s">
        <v>509</v>
      </c>
      <c r="AC47" s="480" t="s">
        <v>548</v>
      </c>
      <c r="AD47" s="480" t="s">
        <v>511</v>
      </c>
      <c r="AE47" s="480" t="s">
        <v>549</v>
      </c>
      <c r="AF47" s="479" t="s">
        <v>550</v>
      </c>
      <c r="AG47" s="482">
        <v>0</v>
      </c>
      <c r="AH47" s="482">
        <v>0</v>
      </c>
      <c r="AI47" s="482">
        <v>0</v>
      </c>
      <c r="AJ47" s="482">
        <v>0</v>
      </c>
      <c r="AK47" s="482">
        <v>0</v>
      </c>
      <c r="AL47" s="482">
        <v>0</v>
      </c>
      <c r="AM47" s="480">
        <v>5000721160</v>
      </c>
      <c r="AN47" s="480">
        <v>1</v>
      </c>
      <c r="AO47" s="480">
        <v>590965</v>
      </c>
      <c r="AP47" s="480">
        <v>1</v>
      </c>
      <c r="AQ47" s="481">
        <v>45512</v>
      </c>
      <c r="AR47" s="483">
        <v>8198</v>
      </c>
      <c r="AS47" s="484">
        <v>7500000</v>
      </c>
      <c r="AT47" s="485">
        <v>45658</v>
      </c>
      <c r="AU47" s="485">
        <v>45677</v>
      </c>
      <c r="AV47" s="486" t="s">
        <v>500</v>
      </c>
      <c r="AW47" s="487">
        <v>0</v>
      </c>
      <c r="AX47" s="487"/>
      <c r="AY47" s="487">
        <v>0</v>
      </c>
      <c r="AZ47" s="487"/>
      <c r="BA47" s="487">
        <v>0</v>
      </c>
      <c r="BB47" s="487"/>
      <c r="BC47" s="487">
        <v>0</v>
      </c>
      <c r="BD47" s="487"/>
      <c r="BE47" s="487">
        <v>0</v>
      </c>
      <c r="BF47" s="488"/>
      <c r="BG47" s="488">
        <v>0</v>
      </c>
      <c r="BH47" s="487">
        <f>AS47/30*15</f>
        <v>3750000</v>
      </c>
      <c r="BI47" s="482"/>
      <c r="BJ47" s="489">
        <v>0</v>
      </c>
      <c r="BK47" s="489">
        <v>0</v>
      </c>
      <c r="BL47" s="490">
        <f>+BH47</f>
        <v>3750000</v>
      </c>
      <c r="BM47" s="489">
        <v>0</v>
      </c>
      <c r="BN47" s="489">
        <v>0</v>
      </c>
      <c r="BO47" s="491" t="s">
        <v>613</v>
      </c>
      <c r="BP47" s="349"/>
      <c r="BR47" s="492"/>
      <c r="BS47" s="492"/>
      <c r="BT47" s="492"/>
      <c r="BU47" s="492"/>
      <c r="BV47" s="492"/>
    </row>
    <row r="49" spans="1:74" s="316" customFormat="1" ht="12" x14ac:dyDescent="0.25">
      <c r="A49" s="315"/>
      <c r="I49" s="315"/>
      <c r="Q49" s="315"/>
      <c r="R49" s="315"/>
      <c r="S49" s="315"/>
      <c r="X49" s="315"/>
      <c r="AF49" s="315"/>
      <c r="AG49" s="317"/>
      <c r="AH49" s="317"/>
      <c r="AI49" s="317"/>
      <c r="AJ49" s="317"/>
      <c r="AK49" s="317"/>
      <c r="AL49" s="317"/>
      <c r="AM49" s="317"/>
      <c r="AR49" s="318"/>
      <c r="AS49" s="319"/>
      <c r="AT49" s="320"/>
      <c r="AU49" s="320"/>
      <c r="AV49" s="315"/>
      <c r="AW49" s="317">
        <f>+AW37+AW41+AW42+AW43+AW44+AW45+AW46+AW47</f>
        <v>56696990.000000007</v>
      </c>
      <c r="AX49" s="317"/>
      <c r="AY49" s="317">
        <f>+AY37+AY41+AY42+AY43+AY44+AY45+AY46+AY47</f>
        <v>112424396</v>
      </c>
      <c r="AZ49" s="317"/>
      <c r="BA49" s="317">
        <f>+BA37+BA41+BA42+BA43+BA44+BA45+BA46+BA47</f>
        <v>107885450</v>
      </c>
      <c r="BB49" s="317"/>
      <c r="BC49" s="317">
        <f>+BC37+BC41+BC42+BC43+BC44+BC45+BC46+BC47</f>
        <v>117662116.66666667</v>
      </c>
      <c r="BD49" s="317"/>
      <c r="BE49" s="317">
        <f>+BE37+BE41+BE42+BE43+BE44+BE45+BE46+BE47</f>
        <v>146775560.5</v>
      </c>
      <c r="BF49" s="317"/>
      <c r="BG49" s="317">
        <f>+BG37+BG41+BG42+BG43+BG44+BG45+BG46+BG47</f>
        <v>23610091</v>
      </c>
      <c r="BH49" s="317"/>
      <c r="BI49" s="317">
        <f>+AW49+AY49+BA49+BC49+BE49</f>
        <v>541444513.16666675</v>
      </c>
      <c r="BJ49" s="322"/>
      <c r="BK49" s="322"/>
      <c r="BL49" s="322"/>
      <c r="BM49" s="322"/>
      <c r="BN49" s="322"/>
      <c r="BO49" s="314"/>
      <c r="BP49" s="323"/>
      <c r="BR49" s="326"/>
      <c r="BS49" s="326"/>
      <c r="BT49" s="326"/>
      <c r="BU49" s="326"/>
      <c r="BV49" s="326"/>
    </row>
    <row r="50" spans="1:74" ht="13.15" customHeight="1" x14ac:dyDescent="0.25">
      <c r="BJ50" s="311"/>
      <c r="BK50" s="311"/>
      <c r="BL50" s="311"/>
      <c r="BM50" s="311"/>
      <c r="BN50" s="311"/>
      <c r="BO50" s="340" t="s">
        <v>614</v>
      </c>
      <c r="BP50" s="341">
        <v>573562104</v>
      </c>
      <c r="BR50" s="325" t="s">
        <v>615</v>
      </c>
      <c r="BS50" s="342">
        <v>573562104</v>
      </c>
    </row>
    <row r="51" spans="1:74" ht="13.15" customHeight="1" x14ac:dyDescent="0.25">
      <c r="AS51" s="311">
        <f>+AS45/2</f>
        <v>5569725</v>
      </c>
      <c r="BJ51" s="311"/>
      <c r="BK51" s="311"/>
      <c r="BL51" s="311"/>
      <c r="BM51" s="311"/>
      <c r="BN51" s="311"/>
      <c r="BO51" s="343" t="s">
        <v>616</v>
      </c>
      <c r="BP51" s="344">
        <f>BO37+28500000</f>
        <v>538139988</v>
      </c>
      <c r="BS51" s="345">
        <f>+BP58</f>
        <v>32871216</v>
      </c>
    </row>
    <row r="52" spans="1:74" ht="13.15" customHeight="1" x14ac:dyDescent="0.25">
      <c r="AQ52" s="316"/>
      <c r="AR52" s="316"/>
      <c r="AS52" s="316"/>
      <c r="AT52" s="316"/>
      <c r="AU52" s="316"/>
      <c r="AV52" s="316"/>
      <c r="BJ52" s="311"/>
      <c r="BK52" s="311"/>
      <c r="BL52" s="311"/>
      <c r="BM52" s="311"/>
      <c r="BN52" s="311"/>
      <c r="BO52" s="343"/>
      <c r="BP52" s="314"/>
      <c r="BS52" s="345">
        <f>+BS50+BS51</f>
        <v>606433320</v>
      </c>
    </row>
    <row r="53" spans="1:74" ht="13.15" customHeight="1" x14ac:dyDescent="0.25">
      <c r="AQ53" s="316"/>
      <c r="AR53" s="316"/>
      <c r="AS53" s="316"/>
      <c r="AT53" s="316"/>
      <c r="AU53" s="316"/>
      <c r="AV53" s="316"/>
      <c r="BJ53" s="311"/>
      <c r="BK53" s="311"/>
      <c r="BL53" s="311"/>
      <c r="BM53" s="311"/>
      <c r="BN53" s="311"/>
      <c r="BO53" s="343" t="s">
        <v>617</v>
      </c>
      <c r="BP53" s="346">
        <f>+BP50-BP51</f>
        <v>35422116</v>
      </c>
    </row>
    <row r="54" spans="1:74" ht="13.15" customHeight="1" x14ac:dyDescent="0.25">
      <c r="AQ54" s="316"/>
      <c r="AU54" s="316"/>
      <c r="AV54" s="316"/>
      <c r="BJ54" s="311"/>
      <c r="BK54" s="311"/>
      <c r="BL54" s="311"/>
      <c r="BM54" s="311"/>
      <c r="BN54" s="311"/>
      <c r="BO54" s="314" t="s">
        <v>618</v>
      </c>
      <c r="BP54" s="323">
        <f>BG2+BG3+BG4+BG5+BG6+BG7+BG8+BG9+BG10+BG11+BG12+BG13+BG14+BG15+BG16+BG17+BG18+BG19+BG20+BG21+BG22+BG23+BG24+BG25+BG26+BG27+BG28+BG29</f>
        <v>15555091</v>
      </c>
    </row>
    <row r="55" spans="1:74" ht="13.15" customHeight="1" x14ac:dyDescent="0.25">
      <c r="AQ55" s="316"/>
      <c r="AU55" s="316"/>
      <c r="AV55" s="316"/>
      <c r="BJ55" s="311"/>
      <c r="BK55" s="311"/>
      <c r="BL55" s="311"/>
      <c r="BM55" s="311"/>
      <c r="BN55" s="311"/>
      <c r="BO55" s="314" t="s">
        <v>619</v>
      </c>
      <c r="BP55" s="323">
        <v>0</v>
      </c>
    </row>
    <row r="56" spans="1:74" ht="13.15" customHeight="1" x14ac:dyDescent="0.25">
      <c r="AQ56" s="316"/>
      <c r="AU56" s="316"/>
      <c r="AV56" s="316"/>
      <c r="BJ56" s="311"/>
      <c r="BK56" s="311"/>
      <c r="BL56" s="311"/>
      <c r="BM56" s="311"/>
      <c r="BN56" s="311"/>
      <c r="BO56" s="314" t="s">
        <v>620</v>
      </c>
      <c r="BP56" s="323">
        <f>BG30</f>
        <v>3166666.666666667</v>
      </c>
      <c r="BR56" s="345">
        <f>+BP54+BP56</f>
        <v>18721757.666666668</v>
      </c>
      <c r="BT56" s="345">
        <f>+BP50-BP51</f>
        <v>35422116</v>
      </c>
    </row>
    <row r="57" spans="1:74" ht="13.15" customHeight="1" x14ac:dyDescent="0.25">
      <c r="AQ57" s="316"/>
      <c r="AU57" s="316"/>
      <c r="AV57" s="316"/>
      <c r="BJ57" s="311"/>
      <c r="BK57" s="311"/>
      <c r="BL57" s="311"/>
      <c r="BM57" s="311"/>
      <c r="BN57" s="311"/>
      <c r="BO57" s="343" t="s">
        <v>621</v>
      </c>
      <c r="BP57" s="314">
        <f>+BP53+BP54+BP55+BP56</f>
        <v>54143873.666666664</v>
      </c>
    </row>
    <row r="58" spans="1:74" ht="13.15" customHeight="1" x14ac:dyDescent="0.25">
      <c r="AQ58" s="316"/>
      <c r="AU58" s="316"/>
      <c r="AV58" s="316"/>
      <c r="BJ58" s="311"/>
      <c r="BK58" s="311"/>
      <c r="BL58" s="311"/>
      <c r="BM58" s="311"/>
      <c r="BN58" s="311"/>
      <c r="BO58" s="343" t="s">
        <v>622</v>
      </c>
      <c r="BP58" s="314">
        <v>32871216</v>
      </c>
      <c r="BR58" s="345">
        <f>+BP53+BP54+BP56</f>
        <v>54143873.666666664</v>
      </c>
    </row>
    <row r="59" spans="1:74" ht="13.15" customHeight="1" x14ac:dyDescent="0.25">
      <c r="AQ59" s="316"/>
      <c r="AU59" s="316"/>
      <c r="AV59" s="316"/>
      <c r="BJ59" s="311"/>
      <c r="BK59" s="311"/>
      <c r="BL59" s="311"/>
      <c r="BM59" s="311"/>
      <c r="BN59" s="311"/>
      <c r="BP59" s="314"/>
    </row>
    <row r="60" spans="1:74" s="343" customFormat="1" ht="13.15" customHeight="1" x14ac:dyDescent="0.25">
      <c r="AQ60" s="328"/>
      <c r="AU60" s="328"/>
      <c r="AV60" s="328"/>
      <c r="BO60" s="340" t="s">
        <v>623</v>
      </c>
      <c r="BP60" s="341">
        <f>+BP57+BP58</f>
        <v>87015089.666666657</v>
      </c>
      <c r="BR60" s="347"/>
      <c r="BS60" s="347"/>
      <c r="BT60" s="347"/>
      <c r="BU60" s="347"/>
      <c r="BV60" s="347"/>
    </row>
    <row r="61" spans="1:74" s="343" customFormat="1" ht="13.15" customHeight="1" x14ac:dyDescent="0.25">
      <c r="AQ61" s="328"/>
      <c r="AU61" s="328"/>
      <c r="AV61" s="328"/>
      <c r="BP61" s="314"/>
      <c r="BR61" s="347"/>
      <c r="BS61" s="347"/>
      <c r="BT61" s="347"/>
      <c r="BU61" s="347"/>
      <c r="BV61" s="347"/>
    </row>
    <row r="62" spans="1:74" s="343" customFormat="1" ht="13.15" customHeight="1" x14ac:dyDescent="0.25">
      <c r="AQ62" s="328"/>
      <c r="AU62" s="328"/>
      <c r="AV62" s="328"/>
      <c r="BE62" s="343">
        <v>5569725</v>
      </c>
      <c r="BO62" s="311" t="s">
        <v>624</v>
      </c>
      <c r="BP62" s="323">
        <f>(5665000)+(5665000/30*20)</f>
        <v>9441666.6666666679</v>
      </c>
      <c r="BR62" s="347"/>
      <c r="BS62" s="347"/>
      <c r="BT62" s="347"/>
      <c r="BU62" s="347"/>
      <c r="BV62" s="347"/>
    </row>
    <row r="63" spans="1:74" s="343" customFormat="1" ht="13.15" customHeight="1" x14ac:dyDescent="0.25">
      <c r="AQ63" s="328"/>
      <c r="AU63" s="328"/>
      <c r="AV63" s="328"/>
      <c r="BE63" s="311">
        <v>3750000</v>
      </c>
      <c r="BO63" s="311" t="s">
        <v>625</v>
      </c>
      <c r="BP63" s="323">
        <f>(9000000)+(9000000/30*20)</f>
        <v>15000000</v>
      </c>
      <c r="BQ63" s="493"/>
      <c r="BR63" s="347"/>
      <c r="BS63" s="347"/>
      <c r="BT63" s="347"/>
      <c r="BU63" s="347"/>
      <c r="BV63" s="347"/>
    </row>
    <row r="64" spans="1:74" ht="13.15" customHeight="1" x14ac:dyDescent="0.25">
      <c r="AQ64" s="316"/>
      <c r="AR64" s="316"/>
      <c r="AS64" s="316"/>
      <c r="AT64" s="316"/>
      <c r="AU64" s="316"/>
      <c r="AV64" s="316"/>
      <c r="BE64" s="343">
        <v>4892500</v>
      </c>
      <c r="BJ64" s="311"/>
      <c r="BK64" s="311"/>
      <c r="BL64" s="311"/>
      <c r="BM64" s="311"/>
      <c r="BN64" s="311"/>
      <c r="BO64" s="348" t="s">
        <v>626</v>
      </c>
      <c r="BP64" s="349">
        <f>+BE43+BE44</f>
        <v>1733333.3333333335</v>
      </c>
      <c r="BR64" s="345"/>
    </row>
    <row r="65" spans="43:70" ht="13.15" customHeight="1" x14ac:dyDescent="0.25">
      <c r="AQ65" s="316"/>
      <c r="AR65" s="316"/>
      <c r="AS65" s="316"/>
      <c r="AT65" s="316"/>
      <c r="AU65" s="316"/>
      <c r="AV65" s="316"/>
      <c r="BJ65" s="311"/>
      <c r="BK65" s="311"/>
      <c r="BL65" s="311"/>
      <c r="BM65" s="311"/>
      <c r="BN65" s="311"/>
      <c r="BO65" s="348" t="s">
        <v>627</v>
      </c>
      <c r="BP65" s="349">
        <f>+(BL41+BN42)/2</f>
        <v>8445642.25</v>
      </c>
      <c r="BQ65" s="314">
        <f>+BP62+BP63+BP64+BP65</f>
        <v>34620642.25</v>
      </c>
    </row>
    <row r="66" spans="43:70" ht="13.15" customHeight="1" x14ac:dyDescent="0.25">
      <c r="BJ66" s="311"/>
      <c r="BK66" s="311"/>
      <c r="BL66" s="311"/>
      <c r="BM66" s="311"/>
      <c r="BN66" s="311"/>
      <c r="BO66" s="343" t="s">
        <v>628</v>
      </c>
      <c r="BP66" s="314">
        <f>+BH45+BH46+BH47</f>
        <v>14212225</v>
      </c>
      <c r="BQ66" s="312"/>
      <c r="BR66" s="350"/>
    </row>
    <row r="67" spans="43:70" ht="13.15" customHeight="1" x14ac:dyDescent="0.25">
      <c r="BJ67" s="311"/>
      <c r="BK67" s="311"/>
      <c r="BL67" s="311"/>
      <c r="BM67" s="311"/>
      <c r="BN67" s="311"/>
    </row>
    <row r="68" spans="43:70" ht="13.15" customHeight="1" x14ac:dyDescent="0.25">
      <c r="BJ68" s="311"/>
      <c r="BK68" s="311"/>
      <c r="BL68" s="311"/>
      <c r="BM68" s="311"/>
      <c r="BN68" s="311"/>
      <c r="BQ68" s="351"/>
    </row>
    <row r="69" spans="43:70" ht="13.15" customHeight="1" x14ac:dyDescent="0.25">
      <c r="BJ69" s="311"/>
      <c r="BK69" s="311"/>
      <c r="BL69" s="311"/>
      <c r="BM69" s="311"/>
      <c r="BN69" s="311"/>
      <c r="BO69" s="352" t="s">
        <v>629</v>
      </c>
      <c r="BP69" s="353">
        <f>+BP60-BP62-BP63-BP64-BP65-BP66</f>
        <v>38182222.416666649</v>
      </c>
    </row>
    <row r="70" spans="43:70" ht="13.15" customHeight="1" x14ac:dyDescent="0.25">
      <c r="BQ70" s="312">
        <f>+BP66+BP69</f>
        <v>52394447.416666649</v>
      </c>
    </row>
    <row r="71" spans="43:70" ht="13.15" customHeight="1" x14ac:dyDescent="0.25"/>
    <row r="72" spans="43:70" ht="13.15" customHeight="1" x14ac:dyDescent="0.25">
      <c r="BQ72" s="351">
        <f>+BP69/(BP50+BP58)</f>
        <v>6.2961946775395933E-2</v>
      </c>
    </row>
    <row r="73" spans="43:70" ht="13.15" customHeight="1" x14ac:dyDescent="0.25"/>
    <row r="74" spans="43:70" ht="13.15" customHeight="1" x14ac:dyDescent="0.25">
      <c r="BR74" s="351">
        <f>+BQ70/(BP50+BP58)</f>
        <v>8.6397705549336651E-2</v>
      </c>
    </row>
    <row r="75" spans="43:70" ht="13.15" customHeight="1" x14ac:dyDescent="0.25"/>
    <row r="76" spans="43:70" ht="13.15" customHeight="1" x14ac:dyDescent="0.25">
      <c r="BP76" s="312">
        <f>+BP72-BP73-BP74-BP75</f>
        <v>0</v>
      </c>
      <c r="BR76" s="345"/>
    </row>
    <row r="79" spans="43:70" ht="29.45" customHeight="1" x14ac:dyDescent="0.25">
      <c r="BO79" s="354" t="s">
        <v>630</v>
      </c>
      <c r="BP79" s="355" t="s">
        <v>631</v>
      </c>
      <c r="BQ79" s="355" t="s">
        <v>402</v>
      </c>
    </row>
    <row r="80" spans="43:70" x14ac:dyDescent="0.25">
      <c r="BO80" s="354" t="s">
        <v>632</v>
      </c>
      <c r="BP80" s="356">
        <f>+BP50+BP58</f>
        <v>606433320</v>
      </c>
      <c r="BQ80" s="357">
        <v>1</v>
      </c>
    </row>
    <row r="81" spans="67:72" x14ac:dyDescent="0.25">
      <c r="BO81" s="354" t="s">
        <v>633</v>
      </c>
      <c r="BP81" s="358">
        <f>+AW49</f>
        <v>56696990.000000007</v>
      </c>
      <c r="BQ81" s="359">
        <f>+BP81/$BS$52</f>
        <v>9.3492537646183441E-2</v>
      </c>
    </row>
    <row r="82" spans="67:72" x14ac:dyDescent="0.25">
      <c r="BO82" s="354" t="s">
        <v>634</v>
      </c>
      <c r="BP82" s="358">
        <f>+AY49</f>
        <v>112424396</v>
      </c>
      <c r="BQ82" s="359">
        <f>BP82/$BS$52</f>
        <v>0.1853862449378606</v>
      </c>
    </row>
    <row r="83" spans="67:72" x14ac:dyDescent="0.25">
      <c r="BO83" s="354" t="s">
        <v>635</v>
      </c>
      <c r="BP83" s="358">
        <f>+BA49</f>
        <v>107885450</v>
      </c>
      <c r="BQ83" s="359">
        <f t="shared" ref="BQ83:BQ85" si="24">BP83/$BS$52</f>
        <v>0.17790158693786812</v>
      </c>
      <c r="BS83" s="359"/>
    </row>
    <row r="84" spans="67:72" x14ac:dyDescent="0.25">
      <c r="BO84" s="354" t="s">
        <v>636</v>
      </c>
      <c r="BP84" s="358">
        <f>+BC49</f>
        <v>117662116.66666667</v>
      </c>
      <c r="BQ84" s="359">
        <f t="shared" si="24"/>
        <v>0.19402317251741161</v>
      </c>
    </row>
    <row r="85" spans="67:72" ht="29.45" customHeight="1" x14ac:dyDescent="0.25">
      <c r="BO85" s="354" t="s">
        <v>637</v>
      </c>
      <c r="BP85" s="358">
        <f>+BE49</f>
        <v>146775560.5</v>
      </c>
      <c r="BQ85" s="359">
        <f t="shared" si="24"/>
        <v>0.24203083118849736</v>
      </c>
    </row>
    <row r="86" spans="67:72" ht="29.45" customHeight="1" x14ac:dyDescent="0.25">
      <c r="BO86" s="354"/>
      <c r="BP86" s="358">
        <f>+BP81+BP82+BP83+BP84+BP85</f>
        <v>541444513.16666675</v>
      </c>
      <c r="BQ86" s="359">
        <f>+BP86/BP80</f>
        <v>0.89283437322782122</v>
      </c>
    </row>
    <row r="87" spans="67:72" x14ac:dyDescent="0.25">
      <c r="BO87" s="354" t="s">
        <v>638</v>
      </c>
      <c r="BP87" s="358">
        <f>BH45+BH46+BH47</f>
        <v>14212225</v>
      </c>
      <c r="BQ87" s="359">
        <f t="shared" ref="BQ87" si="25">+BP87/$BS$52</f>
        <v>2.3435758773940718E-2</v>
      </c>
      <c r="BR87" s="345" t="e">
        <f>+#REF!+BP87</f>
        <v>#REF!</v>
      </c>
      <c r="BS87" s="360" t="e">
        <f>+#REF!+BQ87</f>
        <v>#REF!</v>
      </c>
    </row>
    <row r="88" spans="67:72" x14ac:dyDescent="0.25">
      <c r="BP88" s="361">
        <f>+BP86+BP87</f>
        <v>555656738.16666675</v>
      </c>
      <c r="BQ88" s="362">
        <f>+BP88/BP80</f>
        <v>0.91627013200176199</v>
      </c>
    </row>
    <row r="89" spans="67:72" x14ac:dyDescent="0.25">
      <c r="BO89" s="311" t="s">
        <v>639</v>
      </c>
      <c r="BP89" s="361">
        <f>+BP69</f>
        <v>38182222.416666649</v>
      </c>
      <c r="BQ89" s="362">
        <f>+BP89/BP80</f>
        <v>6.2961946775395933E-2</v>
      </c>
    </row>
    <row r="90" spans="67:72" x14ac:dyDescent="0.25">
      <c r="BQ90" s="359"/>
    </row>
    <row r="91" spans="67:72" x14ac:dyDescent="0.25">
      <c r="BP91" s="312"/>
      <c r="BQ91" s="359"/>
    </row>
    <row r="93" spans="67:72" ht="13.5" thickBot="1" x14ac:dyDescent="0.3"/>
    <row r="94" spans="67:72" ht="30.75" thickBot="1" x14ac:dyDescent="0.3">
      <c r="BO94" s="494" t="s">
        <v>640</v>
      </c>
      <c r="BP94" s="495" t="s">
        <v>641</v>
      </c>
      <c r="BR94" s="496" t="s">
        <v>642</v>
      </c>
      <c r="BS94" s="497" t="s">
        <v>643</v>
      </c>
      <c r="BT94" s="497" t="s">
        <v>644</v>
      </c>
    </row>
    <row r="95" spans="67:72" ht="75.75" thickBot="1" x14ac:dyDescent="0.3">
      <c r="BO95" s="498" t="s">
        <v>645</v>
      </c>
      <c r="BP95" s="499">
        <v>573562104</v>
      </c>
      <c r="BR95" s="500" t="s">
        <v>624</v>
      </c>
      <c r="BS95" s="501" t="s">
        <v>646</v>
      </c>
      <c r="BT95" s="502">
        <v>9441667</v>
      </c>
    </row>
    <row r="96" spans="67:72" ht="60.75" thickBot="1" x14ac:dyDescent="0.3">
      <c r="BO96" s="498" t="s">
        <v>647</v>
      </c>
      <c r="BP96" s="503">
        <v>542433318</v>
      </c>
      <c r="BR96" s="500" t="s">
        <v>648</v>
      </c>
      <c r="BS96" s="501" t="s">
        <v>646</v>
      </c>
      <c r="BT96" s="502">
        <v>15000000</v>
      </c>
    </row>
    <row r="97" spans="45:72" ht="45.75" thickBot="1" x14ac:dyDescent="0.3">
      <c r="BO97" s="504" t="s">
        <v>649</v>
      </c>
      <c r="BP97" s="503">
        <f>+BP95-BP96</f>
        <v>31128786</v>
      </c>
      <c r="BR97" s="500" t="s">
        <v>650</v>
      </c>
      <c r="BS97" s="501" t="s">
        <v>651</v>
      </c>
      <c r="BT97" s="502">
        <v>16891285</v>
      </c>
    </row>
    <row r="98" spans="45:72" ht="15.75" thickBot="1" x14ac:dyDescent="0.3">
      <c r="BO98" s="505" t="s">
        <v>652</v>
      </c>
      <c r="BP98" s="506">
        <f>+BG37</f>
        <v>23610091</v>
      </c>
      <c r="BR98" s="500"/>
      <c r="BS98" s="501"/>
      <c r="BT98" s="502"/>
    </row>
    <row r="99" spans="45:72" ht="60.75" thickBot="1" x14ac:dyDescent="0.3">
      <c r="BO99" s="498" t="s">
        <v>653</v>
      </c>
      <c r="BP99" s="499">
        <f>+BP97+BP98</f>
        <v>54738877</v>
      </c>
      <c r="BR99" s="500" t="s">
        <v>654</v>
      </c>
      <c r="BS99" s="501" t="s">
        <v>655</v>
      </c>
      <c r="BT99" s="502">
        <v>1733333</v>
      </c>
    </row>
    <row r="100" spans="45:72" ht="15.75" thickBot="1" x14ac:dyDescent="0.3">
      <c r="BO100" s="504" t="s">
        <v>656</v>
      </c>
      <c r="BP100" s="503">
        <v>32871216</v>
      </c>
      <c r="BR100" s="931" t="s">
        <v>657</v>
      </c>
      <c r="BS100" s="932"/>
      <c r="BT100" s="507">
        <f>SUM(BT95:BT99)</f>
        <v>43066285</v>
      </c>
    </row>
    <row r="101" spans="45:72" ht="15.75" thickBot="1" x14ac:dyDescent="0.3">
      <c r="BO101" s="496" t="s">
        <v>658</v>
      </c>
      <c r="BP101" s="507">
        <f>+BP99+BP100</f>
        <v>87610093</v>
      </c>
    </row>
    <row r="102" spans="45:72" ht="30.75" thickBot="1" x14ac:dyDescent="0.3">
      <c r="BO102" s="508" t="s">
        <v>659</v>
      </c>
      <c r="BP102" s="502">
        <v>43066285</v>
      </c>
    </row>
    <row r="103" spans="45:72" ht="15.75" thickBot="1" x14ac:dyDescent="0.3">
      <c r="BO103" s="496" t="s">
        <v>660</v>
      </c>
      <c r="BP103" s="507">
        <f>+BP101-BP102</f>
        <v>44543808</v>
      </c>
    </row>
    <row r="104" spans="45:72" ht="30.75" thickBot="1" x14ac:dyDescent="0.3">
      <c r="AS104" s="311" t="s">
        <v>395</v>
      </c>
      <c r="BO104" s="509" t="s">
        <v>661</v>
      </c>
      <c r="BP104" s="510">
        <v>14212225</v>
      </c>
    </row>
    <row r="105" spans="45:72" ht="12.6" customHeight="1" thickBot="1" x14ac:dyDescent="0.3">
      <c r="AS105" s="311">
        <v>1</v>
      </c>
      <c r="AT105" s="311" t="s">
        <v>137</v>
      </c>
      <c r="BO105" s="511" t="s">
        <v>662</v>
      </c>
      <c r="BP105" s="512">
        <f>+BP103-BP104</f>
        <v>30331583</v>
      </c>
    </row>
    <row r="106" spans="45:72" x14ac:dyDescent="0.25">
      <c r="AS106" s="311">
        <v>3</v>
      </c>
      <c r="AT106" s="311" t="s">
        <v>198</v>
      </c>
    </row>
    <row r="107" spans="45:72" x14ac:dyDescent="0.25">
      <c r="AS107" s="311">
        <v>4</v>
      </c>
      <c r="AT107" s="311" t="s">
        <v>220</v>
      </c>
    </row>
    <row r="108" spans="45:72" x14ac:dyDescent="0.25">
      <c r="AS108" s="311">
        <v>5</v>
      </c>
      <c r="AT108" s="311" t="s">
        <v>235</v>
      </c>
    </row>
  </sheetData>
  <autoFilter ref="A1:CC1" xr:uid="{ECEB87B8-230C-4DE4-A6BB-838003461B56}"/>
  <mergeCells count="1">
    <mergeCell ref="BR100:BS10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28515625" style="2" customWidth="1"/>
  </cols>
  <sheetData>
    <row r="1" spans="1:10" ht="25.5" x14ac:dyDescent="0.25">
      <c r="A1" s="9" t="s">
        <v>663</v>
      </c>
      <c r="B1" s="9" t="s">
        <v>14</v>
      </c>
      <c r="C1" s="9" t="s">
        <v>664</v>
      </c>
      <c r="D1" s="9" t="s">
        <v>665</v>
      </c>
      <c r="E1" s="9" t="s">
        <v>666</v>
      </c>
      <c r="F1" s="10" t="s">
        <v>667</v>
      </c>
      <c r="G1" s="10" t="s">
        <v>86</v>
      </c>
      <c r="H1" s="10" t="s">
        <v>668</v>
      </c>
      <c r="I1" s="10" t="s">
        <v>668</v>
      </c>
      <c r="J1" s="10" t="s">
        <v>339</v>
      </c>
    </row>
    <row r="2" spans="1:10" x14ac:dyDescent="0.25">
      <c r="A2" s="11"/>
      <c r="B2" s="11"/>
      <c r="C2" s="11"/>
      <c r="D2" s="11"/>
      <c r="E2" s="11"/>
      <c r="F2" s="12"/>
      <c r="G2" s="3" t="s">
        <v>669</v>
      </c>
      <c r="H2" s="8" t="s">
        <v>670</v>
      </c>
      <c r="I2" s="8" t="s">
        <v>671</v>
      </c>
      <c r="J2" s="8" t="s">
        <v>672</v>
      </c>
    </row>
    <row r="3" spans="1:10" x14ac:dyDescent="0.25">
      <c r="A3" s="8" t="s">
        <v>673</v>
      </c>
      <c r="B3" s="14" t="s">
        <v>674</v>
      </c>
      <c r="C3" s="13" t="s">
        <v>675</v>
      </c>
      <c r="D3" s="8" t="s">
        <v>676</v>
      </c>
      <c r="E3" s="8" t="s">
        <v>677</v>
      </c>
      <c r="F3" s="8" t="s">
        <v>678</v>
      </c>
      <c r="G3" s="8" t="s">
        <v>679</v>
      </c>
      <c r="H3" s="8" t="s">
        <v>680</v>
      </c>
      <c r="I3" s="8" t="s">
        <v>681</v>
      </c>
      <c r="J3" s="8" t="s">
        <v>348</v>
      </c>
    </row>
    <row r="4" spans="1:10" x14ac:dyDescent="0.25">
      <c r="A4" s="8" t="s">
        <v>134</v>
      </c>
      <c r="B4" s="14" t="s">
        <v>135</v>
      </c>
      <c r="C4" s="13" t="s">
        <v>682</v>
      </c>
      <c r="D4" s="8" t="s">
        <v>683</v>
      </c>
      <c r="E4" s="8" t="s">
        <v>684</v>
      </c>
      <c r="F4" s="8" t="s">
        <v>685</v>
      </c>
      <c r="G4" s="8" t="s">
        <v>686</v>
      </c>
      <c r="H4" s="8" t="s">
        <v>687</v>
      </c>
      <c r="I4" s="8" t="s">
        <v>688</v>
      </c>
      <c r="J4" s="8" t="s">
        <v>689</v>
      </c>
    </row>
    <row r="5" spans="1:10" x14ac:dyDescent="0.25">
      <c r="A5" s="8" t="s">
        <v>690</v>
      </c>
      <c r="B5" s="14" t="s">
        <v>691</v>
      </c>
      <c r="C5" s="13" t="s">
        <v>692</v>
      </c>
      <c r="D5" s="8" t="s">
        <v>693</v>
      </c>
      <c r="E5" s="8" t="s">
        <v>694</v>
      </c>
      <c r="F5" s="8" t="s">
        <v>493</v>
      </c>
      <c r="G5" s="8" t="s">
        <v>695</v>
      </c>
      <c r="H5" s="8" t="s">
        <v>268</v>
      </c>
      <c r="I5" s="8" t="s">
        <v>696</v>
      </c>
      <c r="J5" s="8" t="s">
        <v>344</v>
      </c>
    </row>
    <row r="6" spans="1:10" x14ac:dyDescent="0.25">
      <c r="A6" s="8" t="s">
        <v>697</v>
      </c>
      <c r="B6" s="14" t="s">
        <v>698</v>
      </c>
      <c r="C6" s="13" t="s">
        <v>699</v>
      </c>
      <c r="D6" s="8" t="s">
        <v>700</v>
      </c>
      <c r="E6" s="8" t="s">
        <v>701</v>
      </c>
      <c r="F6" s="8" t="s">
        <v>702</v>
      </c>
      <c r="G6" s="8" t="s">
        <v>703</v>
      </c>
      <c r="H6" s="8"/>
      <c r="I6" s="8" t="s">
        <v>704</v>
      </c>
      <c r="J6" s="8" t="s">
        <v>345</v>
      </c>
    </row>
    <row r="7" spans="1:10" x14ac:dyDescent="0.25">
      <c r="A7" s="8"/>
      <c r="B7" s="14" t="s">
        <v>705</v>
      </c>
      <c r="C7" s="13" t="s">
        <v>706</v>
      </c>
      <c r="D7" s="8" t="s">
        <v>707</v>
      </c>
      <c r="E7" s="8" t="s">
        <v>508</v>
      </c>
      <c r="F7" s="8" t="s">
        <v>708</v>
      </c>
      <c r="G7" s="8" t="s">
        <v>709</v>
      </c>
      <c r="H7" s="8"/>
      <c r="I7" s="8" t="s">
        <v>354</v>
      </c>
      <c r="J7" s="8" t="s">
        <v>346</v>
      </c>
    </row>
    <row r="8" spans="1:10" x14ac:dyDescent="0.25">
      <c r="A8" s="8"/>
      <c r="B8" s="14" t="s">
        <v>710</v>
      </c>
      <c r="C8" s="13" t="s">
        <v>711</v>
      </c>
      <c r="D8" s="8" t="s">
        <v>712</v>
      </c>
      <c r="E8" s="8" t="s">
        <v>713</v>
      </c>
      <c r="F8" s="8" t="s">
        <v>714</v>
      </c>
      <c r="G8" s="8" t="s">
        <v>715</v>
      </c>
      <c r="H8" s="8"/>
      <c r="I8" s="8"/>
      <c r="J8" s="8"/>
    </row>
    <row r="9" spans="1:10" x14ac:dyDescent="0.25">
      <c r="C9" s="13" t="s">
        <v>136</v>
      </c>
      <c r="D9" s="8" t="s">
        <v>716</v>
      </c>
      <c r="E9" s="8"/>
      <c r="F9" s="8"/>
      <c r="G9" s="8" t="s">
        <v>717</v>
      </c>
    </row>
    <row r="10" spans="1:10" x14ac:dyDescent="0.25">
      <c r="C10" s="13" t="s">
        <v>718</v>
      </c>
      <c r="D10" s="8" t="s">
        <v>719</v>
      </c>
      <c r="E10" s="8"/>
      <c r="F10" s="8"/>
      <c r="G10" s="8" t="s">
        <v>720</v>
      </c>
    </row>
    <row r="11" spans="1:10" x14ac:dyDescent="0.25">
      <c r="C11" s="13" t="s">
        <v>721</v>
      </c>
      <c r="D11" s="8" t="s">
        <v>722</v>
      </c>
      <c r="E11" s="8"/>
      <c r="F11" s="8"/>
      <c r="G11" s="8" t="s">
        <v>723</v>
      </c>
    </row>
    <row r="12" spans="1:10" x14ac:dyDescent="0.25">
      <c r="C12" s="13" t="s">
        <v>724</v>
      </c>
      <c r="D12" s="8" t="s">
        <v>725</v>
      </c>
      <c r="E12" s="8"/>
      <c r="F12" s="8"/>
      <c r="G12" s="8" t="s">
        <v>726</v>
      </c>
    </row>
    <row r="13" spans="1:10" x14ac:dyDescent="0.25">
      <c r="C13" s="13" t="s">
        <v>727</v>
      </c>
      <c r="D13" s="8" t="s">
        <v>728</v>
      </c>
      <c r="E13" s="8"/>
      <c r="F13" s="8"/>
      <c r="G13" s="8" t="s">
        <v>729</v>
      </c>
    </row>
    <row r="14" spans="1:10" x14ac:dyDescent="0.25">
      <c r="B14" s="1"/>
      <c r="C14" s="13" t="s">
        <v>730</v>
      </c>
      <c r="D14" s="8" t="s">
        <v>731</v>
      </c>
      <c r="E14" s="8"/>
      <c r="F14" s="8"/>
      <c r="G14" s="8" t="s">
        <v>732</v>
      </c>
    </row>
    <row r="15" spans="1:10" x14ac:dyDescent="0.25">
      <c r="B15" s="1"/>
      <c r="C15" s="13" t="s">
        <v>733</v>
      </c>
      <c r="D15" s="8" t="s">
        <v>133</v>
      </c>
      <c r="E15" s="8"/>
      <c r="F15" s="8"/>
      <c r="G15" s="8" t="s">
        <v>397</v>
      </c>
    </row>
    <row r="16" spans="1:10" x14ac:dyDescent="0.25">
      <c r="C16" s="13" t="s">
        <v>734</v>
      </c>
      <c r="D16" s="8"/>
      <c r="E16" s="1"/>
      <c r="G16" s="5"/>
    </row>
    <row r="17" spans="2:7" x14ac:dyDescent="0.25">
      <c r="C17" s="13" t="s">
        <v>735</v>
      </c>
      <c r="D17" s="8"/>
      <c r="E17" s="1"/>
      <c r="G17" s="5"/>
    </row>
    <row r="18" spans="2:7" x14ac:dyDescent="0.25">
      <c r="C18" s="13" t="s">
        <v>736</v>
      </c>
      <c r="D18" s="8"/>
      <c r="E18" s="1"/>
      <c r="G18" s="5"/>
    </row>
    <row r="19" spans="2:7" x14ac:dyDescent="0.25">
      <c r="C19" s="13" t="s">
        <v>737</v>
      </c>
      <c r="D19" s="8"/>
      <c r="E19" s="1"/>
      <c r="G19" s="5"/>
    </row>
    <row r="20" spans="2:7" x14ac:dyDescent="0.25">
      <c r="B20" s="1"/>
      <c r="C20" s="13" t="s">
        <v>738</v>
      </c>
      <c r="D20" s="8"/>
      <c r="E20" s="1"/>
      <c r="G20" s="5"/>
    </row>
    <row r="21" spans="2:7" x14ac:dyDescent="0.25">
      <c r="E21" s="1"/>
      <c r="G21" s="5"/>
    </row>
    <row r="22" spans="2:7" x14ac:dyDescent="0.25">
      <c r="E22" s="1"/>
      <c r="G22" s="5"/>
    </row>
    <row r="23" spans="2:7" x14ac:dyDescent="0.25">
      <c r="G23" s="5"/>
    </row>
    <row r="24" spans="2:7" x14ac:dyDescent="0.25">
      <c r="G24" s="6" t="s">
        <v>739</v>
      </c>
    </row>
    <row r="25" spans="2:7" x14ac:dyDescent="0.25">
      <c r="G25" s="4" t="s">
        <v>740</v>
      </c>
    </row>
    <row r="26" spans="2:7" x14ac:dyDescent="0.25">
      <c r="G26" s="4" t="s">
        <v>741</v>
      </c>
    </row>
    <row r="27" spans="2:7" x14ac:dyDescent="0.25">
      <c r="G27" s="4" t="s">
        <v>742</v>
      </c>
    </row>
    <row r="28" spans="2:7" x14ac:dyDescent="0.25">
      <c r="G28" s="4" t="s">
        <v>743</v>
      </c>
    </row>
    <row r="29" spans="2:7" x14ac:dyDescent="0.25">
      <c r="G29" s="4" t="s">
        <v>744</v>
      </c>
    </row>
    <row r="30" spans="2:7" x14ac:dyDescent="0.25">
      <c r="G30" s="4" t="s">
        <v>745</v>
      </c>
    </row>
    <row r="31" spans="2:7" x14ac:dyDescent="0.25">
      <c r="G31" s="4" t="s">
        <v>746</v>
      </c>
    </row>
    <row r="32" spans="2:7" x14ac:dyDescent="0.25">
      <c r="G32" s="4" t="s">
        <v>747</v>
      </c>
    </row>
    <row r="33" spans="7:7" x14ac:dyDescent="0.25">
      <c r="G33" s="4" t="s">
        <v>748</v>
      </c>
    </row>
    <row r="34" spans="7:7" x14ac:dyDescent="0.25">
      <c r="G34" s="4" t="s">
        <v>749</v>
      </c>
    </row>
    <row r="35" spans="7:7" x14ac:dyDescent="0.25">
      <c r="G35" s="4" t="s">
        <v>750</v>
      </c>
    </row>
    <row r="36" spans="7:7" x14ac:dyDescent="0.25">
      <c r="G36" s="4" t="s">
        <v>751</v>
      </c>
    </row>
    <row r="37" spans="7:7" x14ac:dyDescent="0.25">
      <c r="G37" s="4" t="s">
        <v>752</v>
      </c>
    </row>
    <row r="38" spans="7:7" x14ac:dyDescent="0.25">
      <c r="G38" s="4" t="s">
        <v>753</v>
      </c>
    </row>
    <row r="39" spans="7:7" x14ac:dyDescent="0.25">
      <c r="G39" s="4" t="s">
        <v>754</v>
      </c>
    </row>
    <row r="40" spans="7:7" x14ac:dyDescent="0.25">
      <c r="G40" s="4" t="s">
        <v>755</v>
      </c>
    </row>
    <row r="41" spans="7:7" x14ac:dyDescent="0.25">
      <c r="G41" s="4" t="s">
        <v>756</v>
      </c>
    </row>
    <row r="42" spans="7:7" x14ac:dyDescent="0.25">
      <c r="G42" s="4" t="s">
        <v>757</v>
      </c>
    </row>
    <row r="43" spans="7:7" x14ac:dyDescent="0.25">
      <c r="G43" s="4" t="s">
        <v>758</v>
      </c>
    </row>
    <row r="44" spans="7:7" x14ac:dyDescent="0.25">
      <c r="G44" s="4" t="s">
        <v>759</v>
      </c>
    </row>
    <row r="45" spans="7:7" x14ac:dyDescent="0.25">
      <c r="G45" s="4" t="s">
        <v>760</v>
      </c>
    </row>
    <row r="46" spans="7:7" x14ac:dyDescent="0.25">
      <c r="G46" s="4" t="s">
        <v>761</v>
      </c>
    </row>
    <row r="47" spans="7:7" x14ac:dyDescent="0.25">
      <c r="G47" s="4" t="s">
        <v>762</v>
      </c>
    </row>
    <row r="48" spans="7:7" x14ac:dyDescent="0.25">
      <c r="G48" s="4" t="s">
        <v>763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09513e6b-6f73-4b24-b485-ecfb1dade5a0"/>
    <ds:schemaRef ds:uri="bd95ef6b-5990-4b10-bd7a-7cb80e941752"/>
    <ds:schemaRef ds:uri="http://schemas.microsoft.com/sharepoint/v3"/>
  </ds:schemaRefs>
</ds:datastoreItem>
</file>

<file path=customXml/itemProps3.xml><?xml version="1.0" encoding="utf-8"?>
<ds:datastoreItem xmlns:ds="http://schemas.openxmlformats.org/officeDocument/2006/customXml" ds:itemID="{F387EEC6-5444-4DA2-9B0B-2BEABDDC08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Instructivo</vt:lpstr>
      <vt:lpstr>Meta.1</vt:lpstr>
      <vt:lpstr>Meta.3</vt:lpstr>
      <vt:lpstr>Meta.4</vt:lpstr>
      <vt:lpstr>Meta.5</vt:lpstr>
      <vt:lpstr>Indicadores PA</vt:lpstr>
      <vt:lpstr>Hoja1</vt:lpstr>
      <vt:lpstr>Territorialización PA</vt:lpstr>
      <vt:lpstr>Control de Cambios</vt:lpstr>
      <vt:lpstr>Proyecto</vt:lpstr>
      <vt:lpstr>8198.SCPI</vt:lpstr>
      <vt:lpstr>listas</vt:lpstr>
      <vt:lpstr>'Indicadores PA'!Área_de_impresión</vt:lpstr>
      <vt:lpstr>Meta.1!Área_de_impresión</vt:lpstr>
      <vt:lpstr>Meta.3!Área_de_impresión</vt:lpstr>
      <vt:lpstr>Meta.4!Área_de_impresión</vt:lpstr>
      <vt:lpstr>Meta.5!Área_de_impresión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dcterms:created xsi:type="dcterms:W3CDTF">2011-04-26T22:16:52Z</dcterms:created>
  <dcterms:modified xsi:type="dcterms:W3CDTF">2025-01-29T01:31:44Z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