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63" activeTab="0"/>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nm._FilterDatabase" localSheetId="7" hidden="1">'Indicadores PA'!$A$12:$AY$33</definedName>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2" authorId="2">
      <text>
        <r>
          <rPr>
            <b/>
            <sz val="9"/>
            <rFont val="Tahoma"/>
            <family val="2"/>
          </rPr>
          <t>Rocío López:</t>
        </r>
        <r>
          <rPr>
            <sz val="9"/>
            <rFont val="Tahoma"/>
            <family val="2"/>
          </rPr>
          <t xml:space="preserve">
La sumatoria por localidad no da 238</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9.xml><?xml version="1.0" encoding="utf-8"?>
<comments xmlns="http://schemas.openxmlformats.org/spreadsheetml/2006/main">
  <authors>
    <author>Roc?o L?pez</author>
  </authors>
  <commentList>
    <comment ref="AX32" authorId="0">
      <text>
        <r>
          <rPr>
            <b/>
            <sz val="9"/>
            <rFont val="Tahoma"/>
            <family val="2"/>
          </rPr>
          <t>Rocío López:</t>
        </r>
        <r>
          <rPr>
            <sz val="9"/>
            <rFont val="Tahoma"/>
            <family val="2"/>
          </rPr>
          <t xml:space="preserve">
</t>
        </r>
      </text>
    </comment>
  </commentList>
</comments>
</file>

<file path=xl/sharedStrings.xml><?xml version="1.0" encoding="utf-8"?>
<sst xmlns="http://schemas.openxmlformats.org/spreadsheetml/2006/main" count="1751" uniqueCount="604">
  <si>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</si>
  <si>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</si>
  <si>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</si>
  <si>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</si>
  <si>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</si>
  <si>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</si>
  <si>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</si>
  <si>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</si>
  <si>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</si>
  <si>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</si>
  <si>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</si>
  <si>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</si>
  <si>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</si>
  <si>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</si>
  <si>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</si>
  <si>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</si>
  <si>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</si>
  <si>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</si>
  <si>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</si>
  <si>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</si>
  <si>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</si>
  <si>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</si>
  <si>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</si>
  <si>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</si>
  <si>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</si>
  <si>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</si>
  <si>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</si>
  <si>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</si>
  <si>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</si>
  <si>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</si>
  <si>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</si>
  <si>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</si>
  <si>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</si>
  <si>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</si>
  <si>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</si>
  <si>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</si>
  <si>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</si>
  <si>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</si>
  <si>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</si>
  <si>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</si>
  <si>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</si>
  <si>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</si>
  <si>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</si>
  <si>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</si>
  <si>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</si>
  <si>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</si>
  <si>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</si>
  <si>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</si>
  <si>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</si>
  <si>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</si>
  <si>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</si>
  <si>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</si>
  <si>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</si>
  <si>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</si>
  <si>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</si>
  <si>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</si>
  <si>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</si>
  <si>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</si>
  <si>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</si>
  <si>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</si>
  <si>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</si>
  <si>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</si>
  <si>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</si>
  <si>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</si>
  <si>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</si>
  <si>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</si>
  <si>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</si>
  <si>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</si>
  <si>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</si>
  <si>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</si>
  <si>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</si>
  <si>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</si>
  <si>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</si>
  <si>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</si>
  <si>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</si>
  <si>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</si>
  <si>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</si>
  <si>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</si>
  <si>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</si>
  <si>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</si>
  <si>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</si>
  <si>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</si>
  <si>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</si>
  <si>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</si>
  <si>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</si>
  <si>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</si>
  <si>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</si>
  <si>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</si>
  <si>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</si>
  <si>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</si>
  <si>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</si>
  <si>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</si>
  <si>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</si>
  <si>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</si>
  <si>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</si>
  <si>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</si>
  <si>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</si>
  <si>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</si>
  <si>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</si>
  <si>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</si>
  <si>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</si>
  <si>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</si>
  <si>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</si>
  <si>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</si>
  <si>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</si>
  <si>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</si>
  <si>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</si>
  <si>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</si>
  <si>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</si>
  <si>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</si>
  <si>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</si>
  <si>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</si>
  <si>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</si>
  <si>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</si>
  <si>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</si>
  <si>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</si>
  <si>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</si>
  <si>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</si>
  <si>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</si>
  <si>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</si>
  <si>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</si>
  <si>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</si>
  <si>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</si>
  <si>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</si>
  <si>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</si>
  <si>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</si>
  <si>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</si>
  <si>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</si>
  <si>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</si>
  <si>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</si>
  <si>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</si>
  <si>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</si>
  <si>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</si>
  <si>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</si>
  <si>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</si>
  <si>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</si>
  <si>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</si>
  <si>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</si>
  <si>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</si>
  <si>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</si>
  <si>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</si>
  <si>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</si>
  <si>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</si>
  <si>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</si>
  <si>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</si>
  <si>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</si>
  <si>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</si>
  <si>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</si>
  <si>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</si>
  <si>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</si>
  <si>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</si>
  <si>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</si>
  <si>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</si>
  <si>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</si>
  <si>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</si>
  <si>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</si>
  <si>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</si>
  <si>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</si>
  <si>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</si>
  <si>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</si>
  <si>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</si>
  <si>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</si>
  <si>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</si>
  <si>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</si>
  <si>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</si>
  <si>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</si>
  <si>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</si>
  <si>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</si>
  <si>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</si>
  <si>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</si>
  <si>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</si>
  <si>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</si>
  <si>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</si>
  <si>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</si>
  <si>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</si>
  <si>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</si>
  <si>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</si>
  <si>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</si>
  <si>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</si>
  <si>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</si>
  <si>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</si>
  <si>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</si>
  <si>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</si>
  <si>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</si>
  <si>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</si>
  <si>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</si>
  <si>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</si>
  <si>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</si>
  <si>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</si>
  <si>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</si>
  <si>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</si>
  <si>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</si>
  <si>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</si>
  <si>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</si>
  <si>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</si>
  <si>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</si>
  <si>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</si>
  <si>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</si>
  <si>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</si>
  <si>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</si>
  <si>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</si>
  <si>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</si>
  <si>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</si>
  <si>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</si>
  <si>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</si>
  <si>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</si>
  <si>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</si>
  <si>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</si>
  <si>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</si>
  <si>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</si>
  <si>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</si>
  <si>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</si>
  <si>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</si>
  <si>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</si>
  <si>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</si>
  <si>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</si>
  <si>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</si>
  <si>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</si>
  <si>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</si>
  <si>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</si>
  <si>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</si>
  <si>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</si>
  <si>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</si>
  <si>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</si>
  <si>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</si>
  <si>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</si>
  <si>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</si>
  <si>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</si>
  <si>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</si>
  <si>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</si>
  <si>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</si>
  <si>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</si>
  <si>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</si>
  <si>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</si>
  <si>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</si>
  <si>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</si>
  <si>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</si>
  <si>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</si>
  <si>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</si>
  <si>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</si>
  <si>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</si>
  <si>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</si>
  <si>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</si>
  <si>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</si>
  <si>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</si>
  <si>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</si>
  <si>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</si>
  <si>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</si>
  <si>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</si>
  <si>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</si>
  <si>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</si>
  <si>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</si>
  <si>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</si>
  <si>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</si>
  <si>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</si>
  <si>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</si>
  <si>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</si>
  <si>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</si>
  <si>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</si>
  <si>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</si>
  <si>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</si>
  <si>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</si>
  <si>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</si>
  <si>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</si>
  <si>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</si>
  <si>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</si>
  <si>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</si>
  <si>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</si>
  <si>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</si>
  <si>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</si>
  <si>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</si>
  <si>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</si>
  <si>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</si>
  <si>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</si>
  <si>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</si>
  <si>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</si>
  <si>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</si>
  <si>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</si>
  <si>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</si>
  <si>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</si>
  <si>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</si>
  <si>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</si>
  <si>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</si>
  <si>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</si>
  <si>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</si>
  <si>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</si>
  <si>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</si>
  <si>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</si>
  <si>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</si>
  <si>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</si>
  <si>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</si>
  <si>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</si>
  <si>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</si>
  <si>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</si>
  <si>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</si>
  <si>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</si>
  <si>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</si>
  <si>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</si>
  <si>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</si>
  <si>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</si>
  <si>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</si>
  <si>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</si>
  <si>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</si>
  <si>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</si>
  <si>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</si>
  <si>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</si>
  <si>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</si>
  <si>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</si>
  <si>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</si>
  <si>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</si>
  <si>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</si>
  <si>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</si>
  <si>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</si>
  <si>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</si>
  <si>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</si>
  <si>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</si>
  <si>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</si>
  <si>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</si>
  <si>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</si>
  <si>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</si>
  <si>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</si>
  <si>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</si>
  <si>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</si>
  <si>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</si>
  <si>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</si>
  <si>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</si>
  <si>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</si>
  <si>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</si>
  <si>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</si>
  <si>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</si>
  <si>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</si>
  <si>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</si>
  <si>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</si>
  <si>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</si>
  <si>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</si>
  <si>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</si>
  <si>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</si>
  <si>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</si>
  <si>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</si>
  <si>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</si>
  <si>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</si>
  <si>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</si>
  <si>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</si>
  <si>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</si>
  <si>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</si>
  <si>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</si>
  <si>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</si>
  <si>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</si>
  <si>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</si>
  <si>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</si>
  <si>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</si>
  <si>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</si>
  <si>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</si>
  <si>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</si>
  <si>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</si>
  <si>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</si>
  <si>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</si>
  <si>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</si>
  <si>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</si>
  <si>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</si>
  <si>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</si>
  <si>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</si>
  <si>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</si>
  <si>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</si>
  <si>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</si>
  <si>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</si>
  <si>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</si>
  <si>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</si>
  <si>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</si>
  <si>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</si>
  <si>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</si>
  <si>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</si>
  <si>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</si>
  <si>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</si>
  <si>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</si>
  <si>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</si>
  <si>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</si>
  <si>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</si>
  <si>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</si>
  <si>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</si>
  <si>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</si>
  <si>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</si>
  <si>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</si>
  <si>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</si>
  <si>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</si>
  <si>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</si>
  <si>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</si>
  <si>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</si>
  <si>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</si>
  <si>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</si>
  <si>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</si>
  <si>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</si>
  <si>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</si>
  <si>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</si>
  <si>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</si>
  <si>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</si>
  <si>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</si>
  <si>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</si>
  <si>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</si>
  <si>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</si>
  <si>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</si>
  <si>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</si>
  <si>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</si>
  <si>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</si>
  <si>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</si>
  <si>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</si>
  <si>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</si>
  <si>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</si>
  <si>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</si>
  <si>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</si>
  <si>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</si>
  <si>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</si>
  <si>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</si>
  <si>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</si>
  <si>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</si>
  <si>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</si>
  <si>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</si>
  <si>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</si>
  <si>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</si>
  <si>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</si>
  <si>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</si>
  <si>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</si>
  <si>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</si>
  <si>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</si>
  <si>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</si>
  <si>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</si>
  <si>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</si>
  <si>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</si>
  <si>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</si>
  <si>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</si>
  <si>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</si>
  <si>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</si>
  <si>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</si>
  <si>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</si>
  <si>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</si>
  <si>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</si>
  <si>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</si>
  <si>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</si>
  <si>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</si>
  <si>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</si>
  <si>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</si>
  <si>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</si>
  <si>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</si>
  <si>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</si>
  <si>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</si>
  <si>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</si>
  <si>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</si>
  <si>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</si>
  <si>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</si>
  <si>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</si>
  <si>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</si>
  <si>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</si>
  <si>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</si>
  <si>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</si>
  <si>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</si>
  <si>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</si>
  <si>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</si>
  <si>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</si>
  <si>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</si>
  <si>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</si>
  <si>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</si>
  <si>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</si>
  <si>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</si>
  <si>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</si>
  <si>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</si>
  <si>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</si>
  <si>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</si>
  <si>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</si>
  <si>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</si>
  <si>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</si>
  <si>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</si>
  <si>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</si>
  <si>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</si>
  <si>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</si>
  <si>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</si>
  <si>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</si>
  <si>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</si>
  <si>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</si>
  <si>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</si>
  <si>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</si>
  <si>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</si>
  <si>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</si>
  <si>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</si>
  <si>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</si>
  <si>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</si>
  <si>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</si>
  <si>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</si>
  <si>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</si>
  <si>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</si>
  <si>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</si>
  <si>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</si>
  <si>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</si>
  <si>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</si>
  <si>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</si>
  <si>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</si>
  <si>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</si>
  <si>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</si>
  <si>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</si>
  <si>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</si>
  <si>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</si>
  <si>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</si>
  <si>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</si>
  <si>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</si>
  <si>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</si>
  <si>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</si>
  <si>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</si>
  <si>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</si>
  <si>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</si>
  <si>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</si>
  <si>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</si>
  <si>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</si>
  <si>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</si>
  <si>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</si>
  <si>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</si>
  <si>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</si>
  <si>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</si>
  <si>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</si>
  <si>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</si>
  <si>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</si>
  <si>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</si>
  <si>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</si>
  <si>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</si>
  <si>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</si>
  <si>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</si>
  <si>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</si>
  <si>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</si>
  <si>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</si>
  <si>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</si>
  <si>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</si>
  <si>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</si>
  <si>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</si>
  <si>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 xml:space="preserve">Se cuenta con todo el equipo de ruta integral contratado </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</si>
  <si>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</si>
  <si>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</si>
  <si>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</si>
  <si>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</si>
  <si>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Se han realizados dos  Charlas de Difusión de Derechos del año 2023, a cargo de la profesional Fernanda Vargas. En este espacio se abordó una aproximación teórica a los principales diagnósticos psicológicos, psiquiátricos, del desarrollo o de discapacidad que se pueden identificar durante los procesos de atención, para que puedan reconocer las implicaciones y/o limitaciones de los diagnósticos con relación a la atención. La siguiente charla fue enfocada en el litigio para delito de VIF.</t>
  </si>
  <si>
    <t>Se cuenta con el plan de acción del Subcomité de Agenda Normativa que fue aprobado por el Comité de Jusiticia de Género de conformidad con el artículo 29 y 30 de la Resolución 0314 del 2022.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Se continúa participando en las sesiones de  la Comisión Asesora Distrital de Política Criminal y Tratamiento Carcelario.
Se formuló un documento de incidencia frente al proyecto de acuerdo que busca establecer un protocolo de atención en materia de violencia política en el distrito capital.</t>
  </si>
  <si>
    <t xml:space="preserve">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
Agosto: Se avanza en las articulaciones para la quinta URI en el  complejo judicial de Bosa – Campo Verde. En estos ejercicios participaron la Fiscalía General de la Nación, la Secretaría de la Mujer y Casa de Justicia. </t>
  </si>
  <si>
    <t>Nombre: Sandra Liliana Calderón // María del Pilar Duarte</t>
  </si>
  <si>
    <t>Cargo: Contratista Instrumentos de Planeación // Contratista Seguimiento financiero</t>
  </si>
  <si>
    <t>Realizar a 39.000 mujeres, orientaciones y asesorías socio jurídicas través de Casas de Justicia y escenarios de fiscalías (CAPIV, CAVIF y CAIVAS) y Sede</t>
  </si>
  <si>
    <t>Ejercer a 3900 casos nuevos asignados por Comité de Enlaces representacíón jurídica.</t>
  </si>
  <si>
    <t xml:space="preserve">Febrero: Se avanza en la gestión  para que la SDMujer entre en operación en una quinta URI, ubicada en el Centro Integral de Justicia de Campo Verde, en la localidad de Bosa. 
Agosto: Se avanza en las articulaciones para la quinta URI en el  complejo judicial de Bosa – Campo Verde. En estos ejercicios participaron la Fiscalía General de la Nación, la Secretaría de la Mujer y Casa de Justicia. 
Septiembre se logró cumplir con estrategia de atención llegando a las 5 URI programadas. </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</si>
  <si>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</si>
  <si>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del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Dependiendo el grado de riesgo y barreras identificadas en los casos se articula con el enlace Sofia y el sistema de alertas tempranas de la entidad, como la posibilidad de que la ciudadana ingrese a casa refugio partiendo del riesgo. </t>
  </si>
  <si>
    <t>Se construyó un instrumento de verificación que permite consolidar la información clave de las atenciones sociojurídica y psicosociales brindadas, sistematizando allí lo concerniente a la congruencia de los registros con los análisis de los casos y la adecuación y oportunidad de las acciones realizadas por las profesionales en relación con lo que se registra en SIMISIONAL.
Sobre cada una de estas estrategias se han identificado hallazgos, fortalezas, acciones de mejora y alertas, las cuales se han socializado con las coordinadoras y equipos.</t>
  </si>
  <si>
    <t>Se han realizado dos Comité Directivos de Justicia de Género.
Se participó en las sesiones mensuales del Consejo Distrital de Estupefacientes.
Se participó en sesiones de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</si>
  <si>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Realizar a 39000 mujeres, orientaciones y asesorías socio jurídicas través de Casas de Justicia y escenarios de fiscalías (CAPIV, CAVIF y CAIVAS) y Sede</t>
  </si>
  <si>
    <t>Iniciar la representación judicial y/o administrativa de 3900 casos nuevos</t>
  </si>
  <si>
    <t xml:space="preserve">Se cuenta con el equipo de abogadas de 3 niveles de atención en las casas de justicia con ruta integral, lo que ha permitido en el avance de las asignaciones directas de casos para representación, principalmente en trámites administrativos ante las Comisarías de Familia. </t>
  </si>
  <si>
    <t>Se cuenta con la operación de la estrategia de atención en las 5 URI</t>
  </si>
  <si>
    <t xml:space="preserve">Se continua en la revisión de fuentes de información relacionadas con buenas prácticas en materia de feminicidios y se estableció un primer borrador de la estructura con la que contará el documento. </t>
  </si>
  <si>
    <t>En el primer trimestre, se elaboró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elaboró documento desde el equipo de monitoreo, el cual brinda una visión general de los hallazgos, fortalezas y acciones de mejora identificadas para la atención de mujeres víctimas de violencias, a partir del registro de información de las seis estrategias específicas: Casas de Justicia sin Ruta Integral, Casas de Justicia con Ruta Integral, Unidades de Reacción Inmediata, CAIVAS y CAPIV, hospitales y Casas de Igualdad de Oportunidades.</t>
  </si>
  <si>
    <t xml:space="preserve">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t>
  </si>
  <si>
    <t>En lo corrido del año se cuenta con 26 nuevos procesos de familia</t>
  </si>
  <si>
    <t>REPORTE TRIMESTRAL</t>
  </si>
  <si>
    <t>Se realizó la apertura formal del punto de atención de Bosa Campo Verde, logrando dar cumplimiento a la meta plan de desarrollo, teniendo cinco URI en el Distrito(Puente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t>
  </si>
  <si>
    <t>nov</t>
  </si>
  <si>
    <t xml:space="preserve">Iniciativas en las que se viene trabajando:
Violencia Obstétrica: Objetivo: Orientar a las abogadas de la estrategia de justicia de género sobre cómo atender casos de mujeres víctimas de vilencia obstétrica, mediante la expedición de resolución interna. 
Avance: Durante este período se presentó el documento sobre la guía para la atención de caso de violencia obstétrica. El documenta se encuentra en revisión por parte de la Subsecretaria.
Violencia política: El objetivo es incidir en el proceso distrital que busca sancionar la violencia política contra las mujeres: En este período en conjunto con la Dirección de Territorialización de Derechos y Participación se formuló un documento de incidencia frente al proyecto de acuerdo que busca establecer un protocolo de atención en materia de violencia política en el distrito capital. En agosto se cumplió con el objetivo establecido. </t>
  </si>
  <si>
    <t xml:space="preserve">
Acoso sexual contra mujeres: el objetivo es realizar seguimiento a la reglamentación de articulado que reforma el Código de Policía Distrital que se adelanta en el Concejo de Bogotá. Avance noviembtre: Durante este período se presentó el artículo sobre acoso sexual en espacios públicos ante la revista de la Comisión Asesora Distrital de Política Criminal.
Acumulado: Se conformó un equipo de trabajo conformado la SFCO y por colaboradoras de las direcciones de DEVAJ y Gestión del Conocimiento. Se han realizado reuniones con la Secretaría de Salud, Observatorios de violencia obstétrica y organizaciones civiles para profundizar en los temas; se realizó una revisión del documento sobre el  proyecto de investigación liderado por la Secretaría relacionado con el proyecto de acuerdo contra el acoso sexual en espacios públicos. Este documento fue aprobado. De otra parte, en conjunto con la Secretaría Jurídica de la Alcaldía de Bogotá, se realizó foro sobre derechos sexuales y reproductivos en el marco de los resultados de las investigaciones de la Comisión Asesora Distrital de Política Criminal y Tratamiento Carcelario. Se presentó el artículo sobre acoso sexual en espacios públicos ante la revista de la Comisión Asesora Distrital de Política Criminal.
</t>
  </si>
  <si>
    <t>Durante este período se ajustó el documento sobre la guía para la atención de caso de violencia obstétrica. El documenta se encuentra en revisión por parte de la Oficina Asesora Jurídica.  se presentó el artículo sobre acoso sexual en espacios públicos ante la revista de la Comisión Asesora Distrital de Política Criminal.</t>
  </si>
  <si>
    <t>Se mantuvo la atención jurídica en 7 casas de justicia con Ruta Integral,  en relación con las atenciones jurídicas éstas se realizaron desde un enfoque de derechos, de género y diferencial, en la mayoría de los casos se realizó a demás el acompañamiento a los operadores de justicia como las Comisarías de Familia y Receptores de denuncia de la FGN y en otros al Instituto de Medicina Legal y Ciencias Forenses, lo que contribuyó a minorar los obstáculos al acceso a la justicia a demás del trabajo interdisciplinario de las profesionales con las que se cuenta en cada Casa.</t>
  </si>
  <si>
    <t>Se cuenta con el equipo de abogadas de 3 niveles de atención en las casas de justicia con ruta integral, lo que ha permitido en el avance de las asignaciones directas de casos para representación, principalmente en trámites administrativos ante las Comisarías de Familia. 
El 2 de noviembre, se realizó seguimiento al convenio con la Secretaría de Seguridad y Convivencia donde partició la Subsecretaría de acceso a la justicia</t>
  </si>
  <si>
    <t>En noviembre, desde el proceso de dinamización se realizaron 21 articulaciónes en los territorios con el fin de identificar los actores, organizaciones y/o entidades de incidencia local, logrando el reconocimiento de la ruta integral en los distintos barrios de las localidades de Ciudad Bolívar, Kennedy, Fontibón, Bosa, Barrios Unidos, Suba y San Cristóbal .
En este periodo se realizaron 54 procesos de sensibilización y divulgación distribuidos en las distintas localidades, y conllevaron al reconocimiento de los servicios de la SDMUJER y al igual que de los derechos humanos de las mujeres con aplicación de los distintos enfoques.
En lo corrido del año, se han realizado 236 gestiones de articulación y 590 procesos de sensibilización y divulgación en las distintas localidades.
El retraso de la meta programada en enero correspondió a temas de contratación, en ese mes se avanzó en los trámites precontractuales. A febrero ya las 7 casas contaban con las profesionales dinamizadoras.</t>
  </si>
  <si>
    <t xml:space="preserve">Durante el mes de noviembre, la Estrategia URI participó en la mesa técnica URI. El día 10 de noviembre de 2023 con la participación de la coordinación de la URI Puente Aranda, Personería Delegada para asuntos penales I -II, Asuntos de Familia, Policía Nacional (Patrulla Purpura), Secretaria de Seguridad, Secretaría Distrital de Integración Social y la Secretaria Distrital de la Mujer, se llevó a cabo reunión, con el propósito de continuar en la construcción de la ruta de atención de violencias contra las mujeres por razones de género en las Unidades de Reacción inmediata. Avanzando en la articulación con las SDIS específicamente con las Comisarias de Familia, quedando pendiente protocolo de atención en CF y Directiva 001 de la Policía, para finalizar el documento que contiene la ruta de atención a las mujeres víctimas de violencia basada en género.
Se continua con la articulación con la fiscalía en la representación jurídica de los casos y fortalecimiento de la perspectiva de género en el conocimiento de los casos (en noviembre se logró una (01) medida de aseguramiento)
</t>
  </si>
  <si>
    <t>En el mes se analizaron 63 casos para validar cumplimiento de criterios para asignar abogada de representación, se realizaron 13 devoluciones por no cumplimiento de criterios.
De los casos analizados, 16 fueron en sesión del Comité, 7 por asignación directa de ruta integral, 5 por asignación directa de URI y 22 por asignación directa de secretaría técnica del comité.
En lo corrido del año, se tienen 1457 casos escalonados, 137 de ellos no se asignaron para representación por no cumplir criterios o por falta de disponiblidad de profesional para asistir a la audiencia programada.</t>
  </si>
  <si>
    <t>Durante el mes de noviembre, la Estrategia URI participó en la mesa técnica URI. El día 10 de noviembre de 2023 con la participación de la coordinación de la URI Puente Aranda, Personería Delegada para asuntos penales I -II, Asuntos de Familia, Policía Nacional (Patrulla Purpura), Secretaria de Seguridad, Secretaría Distrital de Integración Social y la Secretaria Distrital de la Mujer, se llevó a cabo reunión, con el propósito de continuar en la construcción de la ruta de atención de violencias contra las mujeres por razones de género en las Unidades de Reacción inmediata. Avanzando en la articulación con las SDIS específicamente con las Comisarias de Familia, quedando pendiente protocolo de atención en CF y Directiva 001 de la Policía, para finalizar el documento que contiene la ruta de atención a las mujeres víctimas de violencia basada en género.
Se continua con la articulación con la fiscalía en la representación jurídica de los casos y fortalecimiento de la perspectiva de género en el conocimiento de los casos (en noviembre se logró una (01) medida de aseguramiento)</t>
  </si>
  <si>
    <t>Se realizó la apertura formal del punto de atención de Bosa Campo Verde, logrando dar cumplimiento a la meta plan de desarrollo, teniendo cinco URI en el Distrito (Puente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 (De enero a noviembre 26 medidas efectivas).</t>
  </si>
  <si>
    <t>En noviembre las mujers atendidas por primera vez en estos espacios  fueron 936,  y por cada espacio institucional es: Caivas atendió a 29 mujeres, Capiv a 93,  Bosa 44, Chapinero 17, Engativá 28, Los Mártires 15, Suba 33, Usaquen 32, Usme 74 y Puente Aranda 23; En casas son ruta: Ciudad Bolívar 171, Suba Ciudad Jardín 59, Barrios Unidos 29, Bosa Campo Verde 88, Kennedy 68, San Cristóbal 86,  Fontibon con 46. y en la Sede 1.</t>
  </si>
  <si>
    <t>En lo corrido del año 10474 mujeres acudieron por primera vez a los espacios de la SDMujer en las Casas de Justicia, CAF y sede  para recibir atención jurídica. (una persona puede ir a más de un espacio en diferentes meses, pero se contabiliza como "nueva" solo en el primer mes que acuede).
El detalle por punto de atenciones a mujeres por primera vez es: Caivas 267, Capiv 1028, Bosa 513, Chapinero 268, Engativá 279, Los Mártires 183, Suba 315, Usaquen 319, Usme 772, Puente Aranda 149, Ciudad Bolívar 1850, Suba Ciudad Jardín 569, Barrios Unidos 496, Bosa Campo Verde 989, Kennedy 671 , San Cristóbal 1241,  Fontibon con 494 (189 antes de RI y 305 desde que implementa la ruta integral) y finalmente Tunjuelito con 14 antenciones en mayo. En la sede administrativa se reportan 57 mujeres.</t>
  </si>
  <si>
    <t>Las asignaciones directas reportadas en octubre fueron 12: URI con 5 asignaciones de manera directa y Ruta Integral con 7</t>
  </si>
  <si>
    <t>El acumulado de asignaciones directas es 458, URI con 165 asignaciones de manera directa y Ruta Integral con 293.</t>
  </si>
  <si>
    <t xml:space="preserve">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</si>
  <si>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En lo corrido del año, se han realizado 236 gestiones de articulación.</t>
  </si>
  <si>
    <t>En noviembre se registraron 695 seguimientos (228 activaciones a servicios sociales para 158 mujeres, 78 seguimientos fallidos y 389 seguimientos efectivos), evidenciando la labor constante y pertinente de los equipos en la atención integral, real y efectiva a la ciudadanía.</t>
  </si>
  <si>
    <t>En lo corrido del año se han registrato 7468 seguimientos, en el marco de la dinamización de servicios en ruta integral.</t>
  </si>
  <si>
    <t>La atención en el Centro de Atención de la Fiscalía-CAF, se prestó con 4 abogadas, distribuidas de la siguiente manera: 3 profesionales en el Capiv, y 1 en el Caivas. Durante este periodo se logró la articulación jurídica y psicosocial en la prestación de los servicios, logrando el acceso oportuno a la oferta institucional de la Secretaría de la Mujer, además, permitiendo la atención presencial e interdisciplinar todos los días de la semana complementada con la atención remota. Para asuntos de violencia intrafamiliar y delitos asociados a VBG se cuenta con 3 abogadas que se turnan durante la semana, y para asuntos en violencia sexual se cuenta con 1 abogada experta en el tema que brinda atención de martes a jueves.  Se ha logrado mantener el cubrimiento de toda la demanda en el punto de atención de todos los casos derivados de los equipos de la entidad, entre ellos, la DEVAJ, LPD, Estrategia de Integración 123, Agencia MUJ123, Mesa casos LGBTI, Fiscalía y de Juzgados Penales, Personería Distrital, y Dirección de Sanidad del Ejército. En promedio mensual se reciben 118 remisiones.
En este mes 122 mujeres se acercaron por primera vez a estos puntos para recibir orientacion y asesoría juridica: Caivas se atendió a 29 mujeres y en Capiv a 93. Adicionalmente, 45 mujeres recibieron acompañamiento por el Equipo Transversal Psicosocial en el CAPIV.
En lo corrido del año 267 mujeres recibieron atención por primera vez en Caivas. En cuanto a Capiv se atendieron, 1028 mujeres que acudieron por primera vez.  Adicionalmente, 420  mujeres recibieron acompañamiento por el Equipo Transversal Psicosocial en el CAPIV, evidenciando también la importancia de la presencia del Equipo Psicosocial como complemento al trabajo jurídico desarrollado.
Nota: Las personas que asistieron en meses diferentes se contabilizan una sola vez.</t>
  </si>
  <si>
    <t>Durante el mes de Noviembre 2023, se realizó espacio de aclaración de dudas a la Secretaria de Seguridad, frente al procedimiento interadministrativo que se lleva a cabo en la Ruta de la SDM y se levanto la información sobre las necesidades especificas frente al funcionamiento general de las Casas de Justicia con ruta integral, con las recomendaciones para la vigencia 2024. De la misma forma se continuo con el acompañamiento a las nuevas profesionales que ingresaron al Equipo en cada uno de sus puntos de atención, revisando alcances y limitaciones de los procesos, haciendo los ajustes respectivos.
En noviembre se brindaron 237 acompañamientos psicosociales, así: Bosa Campo Verde: 39, Ciudad Jardín: 19, Barrios Unidos 21, Ciudad Bolivar 46, Kennedy 36, San Cristóbal 42 y Fontibon 34.
Se registraron 387 seguimientos a 351 mujeres. 
En lo corrido del año 2260 personas recibieron acompañamiento psicosocial, así: Bosa Campo Verde 324, Ciudad Jardín 218, Barrios Unidos 217, Ciudad Bolivar 448, Kennedy 469,  San Cristobal 370, Tunjuelito con 22 y Fontibón 192. 
El retraso de la meta programada al inicio de año correspondió a temas de contratación, dado que en enero no se contó con todo el equipo psicosocial y se avanzó en los trámites precontractuales. En marzo ya las 7 casas tienen profesional psicosocial.</t>
  </si>
  <si>
    <t>Con el equipo de dinamizadoras incentivando la activación de rutas y seguimientos a las mujeres que acuden a los servicios de la Casa de Justicia, se lograron realizar 695 seguimientos (228 activaciones a servicios sociales para 158 mujeres, 78 seguimientos fallidos y 389 seguimientos efectivos), evidenciando la labor constante y pertinente de los equipos en la atención integral, real y efectiva a la ciudadanía.
En lo corrido del año se han realizado 1722 activaciones de ruta para servicios sociales. (Se puede activar rutas sociales a una mujer en meses diferentes, por lo que se contabilizan solo una vez a la mujer)
El retraso de la meta programada en enero correspondió a temas de contratación, en ese mes se avanzó en los trámites precontractuales. A febrero ya las 7 casas contaban con las profesionales dinamizadoras.</t>
  </si>
  <si>
    <t>En noviembre en el marco de la estrategia URI 238 mujeres recibieron atención psicosociales y 237 mujeres, en el modelo de ruta integral, para un total de 475 mujeres.</t>
  </si>
  <si>
    <t>En lo corrido del año se han brindado 5186 acompañamiento psicosocial entre las estrategias URI y Ruta Integral</t>
  </si>
  <si>
    <t>En el mes de noviembre de 2023 se brindó atención psico jurídica en las Casas de Justicia de Usme, Usaquén, Los Mártires, Bosa Centro, Engativá, Chapinero, Puente Aranda y Suba La Campiña. 
Se   cuenta con dos profesionales en Casa de Justicia de la localidad de Usme en razón al número importante de solicitudes del servicio. Ha aumentado considerablemente la demanda de la atención psico jurídica en la localidad de Usaquén, se presentó un leve incremento en la demanda de atencion brindada en Suba La Campiña, originada en solicitudes por parte de las líneas de emergencia y se viene posicionando la prestación del servicio en la Casa de Justicia de Puente Aranda.
En este mes 266 mujeres acudieron por primera vez a los servicios en las diferentes casas de justicia así: Bosa 44, Chapinero 17, Engativá 28, Los Mártires 15, Suba 33, Usaquen 32, Usme 74 y Puente Aranda 23.  
En lo corrido del año se han atendido 2987 mujeres por primera vez. en  estos puntos: Bosa 513, Chapinero 268, Engativá 279, Los Mártires 183, Suba 315, Usaquen 319, Usme 772 y Puente Aranda 149; y Fontibón 189 de enero a mayo. 
El retraso de la meta programada en enero correspondió a temas de contratación, dado que en enero se avanzó en los trámites precontractuales para las profesionales en los puntos de Casas de justicia sin ruta integral. A la fecha ya se cuenta con todo el equipo jurídico.</t>
  </si>
  <si>
    <t>En noviembre 243 personas recibieron atención juridicas, en los siguientes puntos: URI Puente Aranda: 56, URI Ciudad Bolívar: 86, Engativa: 46, Kennedy: 53 y en Campo Verde 2. Se registraron seguimientos  463 personas.
En lo corrido del año el acumulado de personas con atención jurídica por URI es de 2960: URI Puente Aranda: 737, URI Ciudad Bolívar con 1087, Engativa: 578, Kennedy: 563 y Campo Verde 6. Nota: 11 mujeres recibieron atención en dos URI, por lo tanto se contabilizan solo una vez en el acumulado.</t>
  </si>
  <si>
    <t>Se inició la representación de 21 procesos penales</t>
  </si>
  <si>
    <t>En lo corrido del año se cuenta con 364 nuevos procesos penales</t>
  </si>
  <si>
    <t>Se inició la representación de 56 procesos administrativos.</t>
  </si>
  <si>
    <t>En lo corrido del año se cuenta con 857 nuevos procesos administrativos</t>
  </si>
  <si>
    <t>No se asignaron procesos de familia para representación en este mes</t>
  </si>
  <si>
    <t>En noviembre se registran 395 seguimientos para 226 casos asignados para representación de ruta integral. Se dio cierre de 14 casos en el periodo.
Al inicio del año, el retraso en la meta programada correspondió a temas de contratación, dado que en las casas con ruta integral los nuevos contratos de las profesionales abogadas de 3 niveles iniciaron entre febrero y mayo.</t>
  </si>
  <si>
    <t>En octubre 1306 personas recibieron atencion juridicas en los niveles de orientación y asesoría, en los diferentes espacios. (CAF; Casas de Justicia; URI y Sede Administrativa).Una persona puede recibir atención en diferentes meses y/o espacios, por lo tanto se contabiliza solo una vez en el total.</t>
  </si>
  <si>
    <t>En lo corrido del año 14159 personas han recibido atenciones jurídicas en los niveles de orientación y asesoría, en los diferentes espacios (CAF; Casas de Justicia; URI y Sede Administrativa). Una persona puede tener más de una atención en otro espacio o mes, por lo tanto se contabiliza solo una vez.</t>
  </si>
  <si>
    <t>Se mantiene la prestación del servicio de atención jurídica en los espacios institucionales como son Centros de Atención de Fiscalia -CAF- para Caivas y Cavip; y de acuerdo con convenio con Secretaría Distrital de Seguridad, Convivencia y Justicia, se tiene presencia en 8 Casas de Justicia sin ruta integral y 7 Casas con modelo de Ruta Integral.
En noviembre las mujeres atendidas por primera vez en estos espacios  fueron 936, la información de mujeres que recibieron atención por cada espacio institucional es: Caivas atendió a 29 mujeres, Capiv a 93,  Bosa 44, Chapinero 17, Engativá 28, Los Mártires 15, Suba 33, Usaquen 32, Usme 74, Puente Aranda 23, Ciudad Bolívar 171, Suba Ciudad Jardín 59, Barrios Unidos 29, Bosa Campo Verde 88, Kennedy 68, San Cristóbal 86 y Fontibon con 46,   y en la Sede 1.</t>
  </si>
  <si>
    <r>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y hacer más incidencia en los casos procurando en todo sentido que los derechos de las ciudadanas sean salvaguardados, se reconozca en los estrados administrativos y judiciales los derechos de las mujeres. Dependiendo el grado de riesgo y barreras identificadas en los casos se articula con la agencia MUJ, el enlace Sofia, el sistema de alertas tempranas de la entidad y se escalona el caso en el area penal o de MP si es necesario en aras de procurar una salvaguarda de la ciudadanas. 
Este mes se inició la representación de 77 procesos, 21 procesos penales, 56 administrativos. En el marco del litigio,</t>
    </r>
    <r>
      <rPr>
        <sz val="11"/>
        <color indexed="10"/>
        <rFont val="Times New Roman"/>
        <family val="1"/>
      </rPr>
      <t xml:space="preserve"> </t>
    </r>
    <r>
      <rPr>
        <sz val="11"/>
        <rFont val="Times New Roman"/>
        <family val="1"/>
      </rPr>
      <t>en el mes se reporta 336 audiencias para 279 procesos y 306 cierres de casos.
En el acumulado del año se inició la representación de 1247 procesos, así: 364 procesos penales, 857 administrativos y 26 de familia.
,,,</t>
    </r>
  </si>
  <si>
    <t>Están conformados los equipos completos en las 7 casas con ruta integral y se  mantiene la atención en 7 casas de justicia con Ruta Integral.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él goce de sus derechos.
En noviembre, desde lo psicosocial se brindaron acompañamientos y seguimiento al plan de trabajo con cada mujer y de otra parte, de otra parte, se continuó con las acciones de sensibilización de los derechos humanos de las mujeres con aplicación de los distintos enfoques de la PPMYEG y con la divulgación para el  reconocimiento de los servicios de la SDMUJER en estas casas de justicia con el modelo de ruta integral.</t>
  </si>
  <si>
    <t>Se mantuvo la atención jurídica en 7 casas de justicia con Ruta Integral.
En la Estrategia de Casas de Justicia con Ruta Integral, se fortaleció con la consolidación del Equipo interdisciplinar (Psicóloga, Abogada y Dinamizadora), haciendo la reorganización de las profesionales para favorecer las dinámicas de funcionamiento, apoyadas en la generación de espacios de fortalecimiento conceptual, de cuidado y de equipo, pertinentes a las necesidades de cada Casa de Justicia con Ruta Integral, aportando a la dinamización de las estrategias de trabajo, fortalecimiento de recursos de atención psicosocial y apoyo permanente desde la línea técnica.
Se realizó la inauguración de la Casa de Justicia con ruta integral de Fontibón y se dejó de prestar el servicio en Tunjuelito, de acuerdo con lo acordado en el marco del Convenio con la Secretaría Distrital de Seguridad, Convivencia y Justicia.
Se continua con las acciones de sensibilización de los derechos humanos de las mujeres con aplicación de los distintos enfoques de la PPMYEG y con la divulgación para el  reconocimiento de los servicios de la SDMUJER en estas casas de justicia con el modelo de ruta integral.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el goce de sus derechos.</t>
  </si>
  <si>
    <t>En noviembre se escalonaron 9 casos, todos fueron asignados.
En lo corrido del año se cuenta con 332 escalonamientos de los cuales 12 no cumplieron con criterios para acceder a la representación.</t>
  </si>
  <si>
    <t>Reservas global</t>
  </si>
  <si>
    <t>Vigencia global</t>
  </si>
  <si>
    <t>Este mes se inició la representación de 77 procesos, 21 procesos penales, 56 administrativo. En el marco del litigio, en el mes se reporta 336 audiencias para 279 procesos y 306 cierres de casos.</t>
  </si>
  <si>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Se realizó articulación con diferentes expertos del Derecho en aras en el marco de los espacios de Difusión de Derechos, y se han fortalecido capacitaciones con CR, EQUIPO TRANSVERSAL PSICOSOCIAL y SECRETARIA TECNICA DE COMITE DE ENLACES en aras de garantizar mejores atenciones y representaciones a las mujeres que acceden a los servicios.
En el acumulado del año se inició la representación de 1247 procesos, así: 364 procesos penales, 857 administrativos y 26 de familia.</t>
  </si>
  <si>
    <t>Se mantiene la prestación del servicio de atención jurídica en los espacios institucionales como son en los Centros de Atención de Fiscalía -CAF- para Caivas y Cavip; y de acuerdo con convenio con Secretaría Distrital de Seguridad, Convivencia y Justicia, se tiene presencia en 8 Casas de Justicia sin ruta integral y 7 Casas con el equipo interdisiplinario (abogada para 3 niveles de atención, psicóloga y dinamizadora). Se continúa brindando el servicio de manera presencial y virtual en algunos casos.
En lo corrido del año 10474 mujeres acudieron por primera vez a los espacios de la SDMujer en las Casas de Justicia, CAF y sede  para recibir atención jurídica. (una persona puede ir a más de un espacio en diferentes meses, pero se contabiliza como "nueva" solo en el primer mes que acuede).
El detalle por punto de atenciones a mujeres por primera vez es: Caivas 267, Capiv 1028, Bosa 513, Chapinero 268, Engativá 279, Los Mártires 183, Suba 315, Usaquen 319, Usme 772 y Puente Aranda 149, Ciudad Bolívar 1850, Suba Ciudad Jardín 569, Barrios Unidos 496, Bosa Campo Verde 989, Kennedy 671 , San Cristóbal 1241,  Fontibon con 494 (189 antes de RI y 305 desde que implementa la ruta integral) y finalmente Tunjuelito con 14 antenciones en mayo. En la sede administrativa se reportan 57 mujeres.</t>
  </si>
  <si>
    <t xml:space="preserve">Se continúa la atención en las casas de justicia con ruta integral, dando respuesta a las remisiones de estrategias o espacios internos de la entidad, en su mayoría por la LPD.
En este mes 547 mujeres acudieron por primera vez a los servicios, distribuidas por Casa de justicia así: Ciudad Bolívar 171, Suba Ciudad Jardín 59, Barrios Unidos 29, Bosa Campo Verde 88, Kennedy 68, San Cristóbal 86 y Fontibon con 46. 
En lo corrido del año, 6135 mujeres recibieron por primera vez atención en esos puntos así: Ciudad Bolívar 1850, Suba Ciudad Jardín 569, Barrios Unidos 496, Bosa Campo Verde 989, Kennedy 671 , San Cristóbal 1241,  Fontibon con 305 y finalmente Tunjuelito con 14 en mayo.
</t>
  </si>
  <si>
    <t>En noviembre se realizó espacio de seguimiento con todo el Equipo Psicojurídico, para hacer la revisión de los lineamientos técnicos frente a la atención de casos, resolviendo dudas y ajustando información sobre los procesos que se llevan a cabo en el ejercicio del servicio, de la misma manera se hizo la revisión de horarios y programaciones junto con las profesionales para ajustar algunos aspectos que favorezcan la mejor prestación y cobertura del servicio. Así mismo, se realizó espacio de retroalimentación con el Equipo de Monitoreo y seguimiento frente a las novedades, oportunidades de mejora y hallazgos encontradas, socializando con las profesionales las estrategias de fortalecimiento para el siguiente periodo.
En la Estrategia URI durante el mes, 238 personas recibieron acompañamiento psicosocial, URI Puente Aranda:58, URI Ciudad Bolívar: 79 Engativa: 44, Kennedy: 53 y Bosa Campo Verde 4. Se registraron seguimientos a 538 personas.
En lo corrido del año 2926 personas han tenido acompañamiento psicoscial así: URI es Puente Aranda: 779, Ciudad Bolívar: 1053, Engativá:529, Kennedy: 557 y Bosa Campo Verde 11.</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</si>
</sst>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9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11"/>
      <color indexed="10"/>
      <name val="Times New Roman"/>
      <family val="1"/>
    </font>
    <font>
      <sz val="9"/>
      <name val="Tahoma"/>
      <family val="2"/>
    </font>
    <font>
      <b/>
      <sz val="9"/>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0"/>
      <color indexed="8"/>
      <name val="Times New Roman"/>
      <family val="1"/>
    </font>
    <font>
      <b/>
      <sz val="11"/>
      <color indexed="55"/>
      <name val="Times New Roman"/>
      <family val="1"/>
    </font>
    <font>
      <sz val="8"/>
      <color indexed="8"/>
      <name val="Calibri"/>
      <family val="2"/>
    </font>
    <font>
      <b/>
      <sz val="8"/>
      <color indexed="8"/>
      <name val="Calibri"/>
      <family val="2"/>
    </font>
    <font>
      <b/>
      <sz val="12"/>
      <color indexed="8"/>
      <name val="Times New Roman"/>
      <family val="1"/>
    </font>
    <font>
      <b/>
      <sz val="11"/>
      <name val="Calibri"/>
      <family val="2"/>
    </font>
    <font>
      <b/>
      <sz val="1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sz val="8"/>
      <color theme="1"/>
      <name val="Calibri"/>
      <family val="2"/>
    </font>
    <font>
      <b/>
      <sz val="8"/>
      <color theme="1"/>
      <name val="Calibri"/>
      <family val="2"/>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s>
  <borders count="89">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color indexed="63"/>
      </top>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9" fontId="57"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8" fillId="21" borderId="0" applyNumberFormat="0" applyBorder="0" applyAlignment="0" applyProtection="0"/>
    <xf numFmtId="0" fontId="59" fillId="22" borderId="4" applyNumberFormat="0" applyAlignment="0" applyProtection="0"/>
    <xf numFmtId="0" fontId="60" fillId="23" borderId="5" applyNumberFormat="0" applyAlignment="0" applyProtection="0"/>
    <xf numFmtId="0" fontId="61" fillId="0" borderId="6" applyNumberFormat="0" applyFill="0" applyAlignment="0" applyProtection="0"/>
    <xf numFmtId="0" fontId="62" fillId="0" borderId="7" applyNumberFormat="0" applyFill="0" applyAlignment="0" applyProtection="0"/>
    <xf numFmtId="0" fontId="63" fillId="24" borderId="0" applyNumberFormat="0" applyProtection="0">
      <alignment horizontal="left" wrapText="1" indent="4"/>
    </xf>
    <xf numFmtId="0" fontId="64" fillId="24" borderId="0" applyNumberFormat="0" applyProtection="0">
      <alignment horizontal="left" wrapText="1" indent="4"/>
    </xf>
    <xf numFmtId="0" fontId="65"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60" fillId="30" borderId="0" applyNumberFormat="0" applyBorder="0" applyAlignment="0" applyProtection="0"/>
    <xf numFmtId="0" fontId="66" fillId="31" borderId="4" applyNumberFormat="0" applyAlignment="0" applyProtection="0"/>
    <xf numFmtId="16" fontId="34" fillId="0" borderId="0" applyFont="0" applyFill="0" applyBorder="0" applyAlignment="0">
      <protection/>
    </xf>
    <xf numFmtId="0" fontId="67" fillId="32" borderId="0" applyNumberFormat="0" applyBorder="0" applyProtection="0">
      <alignment horizontal="center" vertical="center"/>
    </xf>
    <xf numFmtId="0" fontId="68" fillId="0" borderId="0" applyNumberFormat="0" applyFill="0" applyBorder="0" applyAlignment="0" applyProtection="0"/>
    <xf numFmtId="0" fontId="69" fillId="0" borderId="0" applyNumberFormat="0" applyFill="0" applyBorder="0" applyAlignment="0" applyProtection="0"/>
    <xf numFmtId="0" fontId="70"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3" fillId="22" borderId="9" applyNumberFormat="0" applyAlignment="0" applyProtection="0"/>
    <xf numFmtId="0" fontId="74" fillId="0" borderId="0" applyNumberFormat="0" applyFill="0" applyBorder="0" applyAlignment="0" applyProtection="0"/>
    <xf numFmtId="0" fontId="64" fillId="0" borderId="0" applyFill="0" applyBorder="0">
      <alignment wrapText="1"/>
      <protection/>
    </xf>
    <xf numFmtId="0" fontId="56"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65" fillId="0" borderId="11" applyNumberFormat="0" applyFill="0" applyAlignment="0" applyProtection="0"/>
    <xf numFmtId="0" fontId="78" fillId="24" borderId="0" applyNumberFormat="0" applyBorder="0" applyProtection="0">
      <alignment horizontal="left" indent="1"/>
    </xf>
    <xf numFmtId="0" fontId="79" fillId="0" borderId="12" applyNumberFormat="0" applyFill="0" applyAlignment="0" applyProtection="0"/>
  </cellStyleXfs>
  <cellXfs count="729">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9"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0" fillId="38" borderId="28" xfId="0" applyFont="1" applyFill="1" applyBorder="1" applyAlignment="1">
      <alignment vertical="center"/>
    </xf>
    <xf numFmtId="0" fontId="80" fillId="38" borderId="0" xfId="0" applyFont="1" applyFill="1" applyBorder="1" applyAlignment="1">
      <alignment vertical="center"/>
    </xf>
    <xf numFmtId="0" fontId="80"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81"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9"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9"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0" fillId="0" borderId="0" xfId="0" applyFont="1" applyAlignment="1">
      <alignment vertical="center"/>
    </xf>
    <xf numFmtId="0" fontId="82" fillId="11" borderId="41" xfId="0" applyFont="1" applyFill="1" applyBorder="1" applyAlignment="1">
      <alignment vertical="center"/>
    </xf>
    <xf numFmtId="0" fontId="82" fillId="11" borderId="0" xfId="0" applyFont="1" applyFill="1" applyBorder="1" applyAlignment="1">
      <alignment vertical="center"/>
    </xf>
    <xf numFmtId="0" fontId="82" fillId="11" borderId="15" xfId="0" applyFont="1" applyFill="1" applyBorder="1" applyAlignment="1">
      <alignment vertical="center"/>
    </xf>
    <xf numFmtId="0" fontId="82" fillId="11" borderId="13" xfId="0" applyFont="1" applyFill="1" applyBorder="1" applyAlignment="1">
      <alignment horizontal="center" vertical="center" wrapText="1"/>
    </xf>
    <xf numFmtId="0" fontId="80" fillId="0" borderId="13" xfId="0" applyFont="1" applyBorder="1" applyAlignment="1">
      <alignment horizontal="center" vertical="center"/>
    </xf>
    <xf numFmtId="0" fontId="80" fillId="0" borderId="13" xfId="0" applyFont="1" applyBorder="1" applyAlignment="1">
      <alignment horizontal="center" vertical="center" wrapText="1"/>
    </xf>
    <xf numFmtId="183" fontId="80" fillId="0" borderId="13" xfId="59" applyFont="1" applyBorder="1" applyAlignment="1">
      <alignment horizontal="center" vertical="center" wrapText="1"/>
    </xf>
    <xf numFmtId="0" fontId="80" fillId="0" borderId="13" xfId="0" applyFont="1" applyBorder="1" applyAlignment="1">
      <alignment vertical="center"/>
    </xf>
    <xf numFmtId="9" fontId="80" fillId="0" borderId="13" xfId="79" applyFont="1" applyBorder="1" applyAlignment="1">
      <alignment vertical="center"/>
    </xf>
    <xf numFmtId="0" fontId="11" fillId="11" borderId="22" xfId="0" applyFont="1" applyFill="1" applyBorder="1" applyAlignment="1">
      <alignment horizontal="center" vertical="center" wrapText="1"/>
    </xf>
    <xf numFmtId="0" fontId="83" fillId="11" borderId="13" xfId="0" applyFont="1" applyFill="1" applyBorder="1" applyAlignment="1">
      <alignment horizontal="center" vertical="center"/>
    </xf>
    <xf numFmtId="0" fontId="80"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0" fillId="0" borderId="13" xfId="0" applyFont="1" applyBorder="1" applyAlignment="1">
      <alignment horizontal="left" vertical="center"/>
    </xf>
    <xf numFmtId="0" fontId="80" fillId="0" borderId="14" xfId="0" applyFont="1" applyFill="1" applyBorder="1" applyAlignment="1">
      <alignment horizontal="left" vertical="center"/>
    </xf>
    <xf numFmtId="0" fontId="80" fillId="0" borderId="13" xfId="0" applyFont="1" applyFill="1" applyBorder="1" applyAlignment="1">
      <alignment horizontal="left" vertical="center"/>
    </xf>
    <xf numFmtId="41" fontId="80" fillId="0" borderId="13" xfId="60" applyFont="1" applyFill="1" applyBorder="1" applyAlignment="1">
      <alignment vertical="center"/>
    </xf>
    <xf numFmtId="0" fontId="84" fillId="0" borderId="0" xfId="0" applyFont="1" applyAlignment="1">
      <alignment vertical="center"/>
    </xf>
    <xf numFmtId="0" fontId="16" fillId="0" borderId="13" xfId="0" applyFont="1" applyBorder="1" applyAlignment="1">
      <alignment horizontal="center" vertical="center" wrapText="1"/>
    </xf>
    <xf numFmtId="0" fontId="82" fillId="0" borderId="0" xfId="0" applyFont="1" applyAlignment="1">
      <alignment horizontal="left" vertical="center"/>
    </xf>
    <xf numFmtId="0" fontId="82" fillId="11" borderId="13" xfId="0" applyFont="1" applyFill="1" applyBorder="1" applyAlignment="1">
      <alignment vertical="center"/>
    </xf>
    <xf numFmtId="41" fontId="80" fillId="0" borderId="14" xfId="60" applyFont="1" applyFill="1" applyBorder="1" applyAlignment="1">
      <alignment vertical="center"/>
    </xf>
    <xf numFmtId="49" fontId="80" fillId="0" borderId="14" xfId="60" applyNumberFormat="1" applyFont="1" applyFill="1" applyBorder="1" applyAlignment="1">
      <alignment vertical="center"/>
    </xf>
    <xf numFmtId="49" fontId="80" fillId="0" borderId="13" xfId="60" applyNumberFormat="1" applyFont="1" applyFill="1" applyBorder="1" applyAlignment="1">
      <alignment vertical="center"/>
    </xf>
    <xf numFmtId="0" fontId="80" fillId="0" borderId="0" xfId="0" applyFont="1" applyAlignment="1">
      <alignment horizontal="left" vertical="center"/>
    </xf>
    <xf numFmtId="0" fontId="80" fillId="0" borderId="0" xfId="0" applyFont="1" applyFill="1" applyAlignment="1">
      <alignment horizontal="left" vertical="center"/>
    </xf>
    <xf numFmtId="0" fontId="82" fillId="17" borderId="13" xfId="0" applyFont="1" applyFill="1" applyBorder="1" applyAlignment="1">
      <alignment horizontal="center" vertical="center"/>
    </xf>
    <xf numFmtId="0" fontId="80" fillId="0" borderId="1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3" xfId="0" applyFont="1" applyFill="1" applyBorder="1" applyAlignment="1">
      <alignment vertical="center" wrapText="1"/>
    </xf>
    <xf numFmtId="0" fontId="82" fillId="0" borderId="13" xfId="0" applyFont="1" applyFill="1" applyBorder="1" applyAlignment="1">
      <alignment vertical="center" wrapText="1"/>
    </xf>
    <xf numFmtId="0" fontId="80"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0"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3"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85"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5"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6"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47"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48"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82" fillId="11" borderId="13" xfId="79" applyFont="1" applyFill="1" applyBorder="1" applyAlignment="1">
      <alignment horizontal="center" vertical="center" wrapText="1"/>
    </xf>
    <xf numFmtId="9" fontId="80" fillId="0" borderId="0" xfId="79" applyFont="1" applyAlignment="1">
      <alignment vertical="center"/>
    </xf>
    <xf numFmtId="0" fontId="82" fillId="17" borderId="13" xfId="0" applyFont="1" applyFill="1" applyBorder="1" applyAlignment="1">
      <alignment horizontal="left" vertical="center"/>
    </xf>
    <xf numFmtId="0" fontId="82" fillId="0" borderId="13" xfId="0" applyFont="1" applyFill="1" applyBorder="1" applyAlignment="1">
      <alignment horizontal="left" vertical="center"/>
    </xf>
    <xf numFmtId="0" fontId="82"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82" fillId="0" borderId="13" xfId="0" applyFont="1" applyFill="1" applyBorder="1" applyAlignment="1">
      <alignment horizontal="center" vertical="center" wrapText="1"/>
    </xf>
    <xf numFmtId="0" fontId="11" fillId="38" borderId="49" xfId="72" applyFont="1" applyFill="1" applyBorder="1" applyAlignment="1" applyProtection="1">
      <alignment vertical="center" wrapText="1"/>
      <protection/>
    </xf>
    <xf numFmtId="0" fontId="11" fillId="38" borderId="50"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80" fillId="0" borderId="13" xfId="0" applyFont="1" applyBorder="1" applyAlignment="1">
      <alignment vertical="center" wrapText="1"/>
    </xf>
    <xf numFmtId="0" fontId="80" fillId="0" borderId="51" xfId="0" applyFont="1" applyBorder="1" applyAlignment="1">
      <alignment horizontal="left" vertical="center" wrapText="1"/>
    </xf>
    <xf numFmtId="0" fontId="4" fillId="0" borderId="16" xfId="0" applyFont="1" applyBorder="1" applyAlignment="1">
      <alignment horizontal="left" vertical="center" wrapText="1"/>
    </xf>
    <xf numFmtId="0" fontId="80" fillId="0" borderId="16" xfId="0" applyFont="1" applyBorder="1" applyAlignment="1">
      <alignment horizontal="center" vertical="center" wrapText="1"/>
    </xf>
    <xf numFmtId="0" fontId="4" fillId="0" borderId="13" xfId="0" applyFont="1" applyBorder="1" applyAlignment="1">
      <alignment vertical="center" wrapText="1"/>
    </xf>
    <xf numFmtId="0" fontId="80" fillId="0" borderId="13" xfId="0" applyFont="1" applyFill="1" applyBorder="1" applyAlignment="1">
      <alignment horizontal="center" vertical="center" wrapText="1"/>
    </xf>
    <xf numFmtId="0" fontId="80" fillId="0" borderId="0" xfId="0" applyFont="1" applyAlignment="1">
      <alignment vertical="center" wrapText="1"/>
    </xf>
    <xf numFmtId="0" fontId="86" fillId="0" borderId="13" xfId="0" applyFont="1" applyBorder="1" applyAlignment="1">
      <alignment horizontal="center" vertical="center" wrapText="1"/>
    </xf>
    <xf numFmtId="0" fontId="86"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80" fillId="0" borderId="13" xfId="0" applyNumberFormat="1" applyFont="1" applyBorder="1" applyAlignment="1">
      <alignment horizontal="center" vertical="center" wrapText="1"/>
    </xf>
    <xf numFmtId="9" fontId="80" fillId="0" borderId="13" xfId="0" applyNumberFormat="1" applyFont="1" applyBorder="1" applyAlignment="1">
      <alignment vertical="center"/>
    </xf>
    <xf numFmtId="0" fontId="86" fillId="0" borderId="13" xfId="0" applyFont="1" applyBorder="1" applyAlignment="1">
      <alignment horizontal="left" vertical="center" wrapText="1"/>
    </xf>
    <xf numFmtId="0" fontId="86" fillId="0" borderId="13" xfId="0" applyFont="1" applyBorder="1" applyAlignment="1">
      <alignment horizontal="left" wrapText="1"/>
    </xf>
    <xf numFmtId="0" fontId="86" fillId="0" borderId="16" xfId="0" applyFont="1" applyBorder="1" applyAlignment="1">
      <alignment horizontal="left" vertical="center" wrapText="1"/>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195" fontId="0" fillId="0" borderId="52" xfId="58" applyNumberFormat="1" applyFont="1" applyBorder="1" applyAlignment="1">
      <alignment vertical="center"/>
    </xf>
    <xf numFmtId="195" fontId="0" fillId="0" borderId="53" xfId="58" applyNumberFormat="1" applyFont="1" applyBorder="1" applyAlignment="1">
      <alignment vertical="center"/>
    </xf>
    <xf numFmtId="9" fontId="0" fillId="0" borderId="54"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82"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80" fillId="0" borderId="13" xfId="0" applyFont="1" applyFill="1" applyBorder="1" applyAlignment="1">
      <alignment horizontal="center" vertical="center"/>
    </xf>
    <xf numFmtId="9" fontId="80"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195" fontId="0" fillId="0" borderId="55"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80" fillId="0" borderId="0" xfId="0" applyFont="1" applyBorder="1" applyAlignment="1">
      <alignment vertical="center"/>
    </xf>
    <xf numFmtId="0" fontId="87"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80" fillId="0" borderId="0" xfId="0" applyFont="1" applyFill="1" applyBorder="1" applyAlignment="1">
      <alignment horizontal="center" vertical="center"/>
    </xf>
    <xf numFmtId="0" fontId="80" fillId="0" borderId="0" xfId="0" applyFont="1" applyFill="1" applyBorder="1" applyAlignment="1">
      <alignment vertical="center"/>
    </xf>
    <xf numFmtId="198" fontId="80" fillId="0" borderId="0" xfId="63" applyNumberFormat="1" applyFont="1" applyBorder="1" applyAlignment="1">
      <alignment vertical="center"/>
    </xf>
    <xf numFmtId="195" fontId="80" fillId="0" borderId="55" xfId="58" applyNumberFormat="1" applyFont="1" applyBorder="1" applyAlignment="1">
      <alignment vertical="center"/>
    </xf>
    <xf numFmtId="195" fontId="80" fillId="0" borderId="53" xfId="58" applyNumberFormat="1" applyFont="1" applyBorder="1" applyAlignment="1">
      <alignment vertical="center"/>
    </xf>
    <xf numFmtId="9" fontId="80" fillId="0" borderId="54" xfId="79" applyFont="1" applyBorder="1" applyAlignment="1">
      <alignment vertical="center"/>
    </xf>
    <xf numFmtId="195" fontId="80" fillId="0" borderId="20" xfId="58" applyNumberFormat="1" applyFont="1" applyBorder="1" applyAlignment="1">
      <alignment vertical="center"/>
    </xf>
    <xf numFmtId="195" fontId="80" fillId="0" borderId="13" xfId="58" applyNumberFormat="1" applyFont="1" applyBorder="1" applyAlignment="1">
      <alignment vertical="center"/>
    </xf>
    <xf numFmtId="9" fontId="80" fillId="0" borderId="21" xfId="79" applyFont="1" applyBorder="1" applyAlignment="1">
      <alignment vertical="center"/>
    </xf>
    <xf numFmtId="195" fontId="80" fillId="0" borderId="45" xfId="58" applyNumberFormat="1" applyFont="1" applyBorder="1" applyAlignment="1">
      <alignment vertical="center"/>
    </xf>
    <xf numFmtId="195" fontId="80" fillId="0" borderId="38" xfId="58" applyNumberFormat="1" applyFont="1" applyBorder="1" applyAlignment="1">
      <alignment vertical="center"/>
    </xf>
    <xf numFmtId="9" fontId="80" fillId="0" borderId="47" xfId="79" applyFont="1" applyBorder="1" applyAlignment="1">
      <alignment vertical="center"/>
    </xf>
    <xf numFmtId="182" fontId="80" fillId="0" borderId="0" xfId="64" applyFont="1" applyAlignment="1">
      <alignment vertical="center"/>
    </xf>
    <xf numFmtId="9" fontId="82" fillId="0" borderId="0" xfId="79" applyFont="1" applyBorder="1" applyAlignment="1">
      <alignment horizontal="center" vertical="center"/>
    </xf>
    <xf numFmtId="0" fontId="80" fillId="0" borderId="0" xfId="0" applyFont="1" applyFill="1" applyAlignment="1">
      <alignment vertical="center"/>
    </xf>
    <xf numFmtId="182" fontId="82" fillId="0" borderId="0" xfId="64" applyFont="1" applyAlignment="1">
      <alignment vertical="center"/>
    </xf>
    <xf numFmtId="0" fontId="82"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80" fillId="0" borderId="13" xfId="0" applyFont="1" applyFill="1" applyBorder="1" applyAlignment="1">
      <alignment vertical="center"/>
    </xf>
    <xf numFmtId="9" fontId="80" fillId="0" borderId="13" xfId="0" applyNumberFormat="1" applyFont="1" applyFill="1" applyBorder="1" applyAlignment="1">
      <alignment vertical="center"/>
    </xf>
    <xf numFmtId="0" fontId="8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80"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54" xfId="58" applyNumberFormat="1" applyFont="1" applyBorder="1" applyAlignment="1">
      <alignment vertical="center"/>
    </xf>
    <xf numFmtId="195" fontId="80" fillId="0" borderId="54" xfId="58" applyNumberFormat="1" applyFont="1" applyBorder="1" applyAlignment="1">
      <alignment vertical="center"/>
    </xf>
    <xf numFmtId="195" fontId="80"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3" xfId="58" applyNumberFormat="1" applyFont="1" applyFill="1" applyBorder="1" applyAlignment="1">
      <alignment vertical="center"/>
    </xf>
    <xf numFmtId="195" fontId="80" fillId="0" borderId="53" xfId="58" applyNumberFormat="1" applyFont="1" applyFill="1" applyBorder="1" applyAlignment="1">
      <alignment vertical="center"/>
    </xf>
    <xf numFmtId="195" fontId="80" fillId="0" borderId="13" xfId="58" applyNumberFormat="1" applyFont="1" applyFill="1" applyBorder="1" applyAlignment="1">
      <alignment vertical="center"/>
    </xf>
    <xf numFmtId="195" fontId="80" fillId="0" borderId="38" xfId="58" applyNumberFormat="1" applyFont="1" applyFill="1" applyBorder="1" applyAlignment="1">
      <alignment vertical="center"/>
    </xf>
    <xf numFmtId="198" fontId="0" fillId="0" borderId="0" xfId="63" applyNumberFormat="1" applyFont="1" applyFill="1" applyBorder="1" applyAlignment="1">
      <alignment vertical="center"/>
    </xf>
    <xf numFmtId="9" fontId="0" fillId="0" borderId="40" xfId="79" applyFont="1" applyFill="1" applyBorder="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9" fontId="10" fillId="0" borderId="0" xfId="72" applyNumberFormat="1" applyFont="1" applyFill="1" applyBorder="1" applyAlignment="1" applyProtection="1">
      <alignment vertical="center" wrapText="1"/>
      <protection/>
    </xf>
    <xf numFmtId="0" fontId="10" fillId="0" borderId="13" xfId="0" applyFont="1" applyFill="1" applyBorder="1" applyAlignment="1">
      <alignment vertical="center" wrapText="1"/>
    </xf>
    <xf numFmtId="9" fontId="10" fillId="0" borderId="13" xfId="79" applyFont="1" applyFill="1" applyBorder="1" applyAlignment="1">
      <alignment vertical="center"/>
    </xf>
    <xf numFmtId="195" fontId="0" fillId="0" borderId="20" xfId="58" applyNumberFormat="1" applyFont="1" applyFill="1" applyBorder="1" applyAlignment="1">
      <alignment vertical="center"/>
    </xf>
    <xf numFmtId="195" fontId="34" fillId="0" borderId="20" xfId="58" applyNumberFormat="1" applyFont="1" applyFill="1" applyBorder="1" applyAlignment="1">
      <alignment vertical="center"/>
    </xf>
    <xf numFmtId="195" fontId="34" fillId="0" borderId="13" xfId="58" applyNumberFormat="1"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6" fillId="0" borderId="13" xfId="0" applyFont="1" applyBorder="1" applyAlignment="1">
      <alignment horizontal="center"/>
    </xf>
    <xf numFmtId="0" fontId="80" fillId="0" borderId="13" xfId="0" applyFont="1" applyBorder="1" applyAlignment="1">
      <alignment horizontal="center"/>
    </xf>
    <xf numFmtId="1" fontId="80" fillId="0" borderId="13" xfId="0" applyNumberFormat="1" applyFont="1" applyBorder="1" applyAlignment="1">
      <alignment vertical="center"/>
    </xf>
    <xf numFmtId="1" fontId="80" fillId="0" borderId="13" xfId="0" applyNumberFormat="1" applyFont="1" applyFill="1" applyBorder="1" applyAlignment="1">
      <alignment vertical="center"/>
    </xf>
    <xf numFmtId="0" fontId="11" fillId="5" borderId="56" xfId="72" applyFont="1" applyFill="1" applyBorder="1" applyAlignment="1">
      <alignment horizontal="center" vertical="center" wrapText="1"/>
      <protection/>
    </xf>
    <xf numFmtId="0" fontId="11" fillId="5" borderId="57" xfId="72" applyFont="1" applyFill="1" applyBorder="1" applyAlignment="1">
      <alignment horizontal="center" vertical="center" wrapText="1"/>
      <protection/>
    </xf>
    <xf numFmtId="0" fontId="11" fillId="5" borderId="58"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198" fontId="0" fillId="0" borderId="0" xfId="0" applyNumberFormat="1" applyFont="1" applyAlignment="1">
      <alignment vertical="center"/>
    </xf>
    <xf numFmtId="195" fontId="88" fillId="0" borderId="0" xfId="0" applyNumberFormat="1" applyFont="1" applyAlignment="1">
      <alignment horizontal="left" vertical="center"/>
    </xf>
    <xf numFmtId="198" fontId="88" fillId="0" borderId="0" xfId="63" applyNumberFormat="1" applyFont="1" applyBorder="1" applyAlignment="1">
      <alignment horizontal="left" vertical="center"/>
    </xf>
    <xf numFmtId="198" fontId="89" fillId="0" borderId="0" xfId="63" applyNumberFormat="1" applyFont="1" applyBorder="1" applyAlignment="1">
      <alignment horizontal="left" vertical="center"/>
    </xf>
    <xf numFmtId="195" fontId="89" fillId="0" borderId="0" xfId="0" applyNumberFormat="1" applyFont="1" applyAlignment="1">
      <alignment horizontal="left" vertical="center"/>
    </xf>
    <xf numFmtId="198" fontId="0" fillId="0" borderId="0" xfId="0" applyNumberFormat="1" applyAlignment="1">
      <alignment vertical="center"/>
    </xf>
    <xf numFmtId="0" fontId="0" fillId="0" borderId="0" xfId="0" applyAlignment="1">
      <alignment vertical="center"/>
    </xf>
    <xf numFmtId="0" fontId="10"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1" fillId="38" borderId="28" xfId="72" applyFont="1" applyFill="1" applyBorder="1" applyAlignment="1">
      <alignment vertical="center" wrapText="1"/>
      <protection/>
    </xf>
    <xf numFmtId="0" fontId="11" fillId="38" borderId="0" xfId="72" applyFont="1" applyFill="1" applyAlignment="1">
      <alignment vertical="center" wrapText="1"/>
      <protection/>
    </xf>
    <xf numFmtId="0" fontId="11" fillId="38" borderId="0" xfId="72" applyFont="1" applyFill="1" applyAlignment="1">
      <alignment horizontal="left" vertical="center" wrapText="1"/>
      <protection/>
    </xf>
    <xf numFmtId="0" fontId="10" fillId="0" borderId="29" xfId="72" applyFont="1" applyBorder="1" applyAlignment="1">
      <alignment vertical="center" wrapText="1"/>
      <protection/>
    </xf>
    <xf numFmtId="198" fontId="80" fillId="0" borderId="0" xfId="0" applyNumberFormat="1" applyFont="1" applyAlignment="1">
      <alignment vertical="center"/>
    </xf>
    <xf numFmtId="9" fontId="11" fillId="0" borderId="62" xfId="72" applyNumberFormat="1" applyFont="1" applyFill="1" applyBorder="1" applyAlignment="1" applyProtection="1">
      <alignment horizontal="center" vertical="center" wrapText="1"/>
      <protection/>
    </xf>
    <xf numFmtId="9" fontId="11" fillId="0" borderId="63" xfId="72" applyNumberFormat="1" applyFont="1" applyFill="1" applyBorder="1" applyAlignment="1" applyProtection="1">
      <alignment horizontal="center" vertical="center" wrapText="1"/>
      <protection/>
    </xf>
    <xf numFmtId="0" fontId="54" fillId="0" borderId="64" xfId="0" applyFont="1" applyFill="1" applyBorder="1" applyAlignment="1">
      <alignment horizontal="center" vertical="center"/>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11" fillId="5" borderId="62" xfId="72"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0" borderId="68"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9"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1" fillId="0" borderId="56" xfId="72" applyFont="1" applyFill="1" applyBorder="1" applyAlignment="1" applyProtection="1">
      <alignment horizontal="center" vertical="center"/>
      <protection/>
    </xf>
    <xf numFmtId="0" fontId="11" fillId="0" borderId="57" xfId="72" applyFont="1" applyFill="1" applyBorder="1" applyAlignment="1" applyProtection="1">
      <alignment horizontal="center" vertical="center"/>
      <protection/>
    </xf>
    <xf numFmtId="0" fontId="11" fillId="0" borderId="58" xfId="72" applyFont="1" applyFill="1" applyBorder="1" applyAlignment="1" applyProtection="1">
      <alignment horizontal="center" vertical="center"/>
      <protection/>
    </xf>
    <xf numFmtId="0" fontId="18" fillId="0" borderId="70"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4" fillId="0" borderId="62" xfId="72" applyFont="1" applyFill="1" applyBorder="1" applyAlignment="1">
      <alignment horizontal="center" vertical="center" wrapText="1"/>
      <protection/>
    </xf>
    <xf numFmtId="0" fontId="14" fillId="0" borderId="67" xfId="72" applyFont="1" applyFill="1" applyBorder="1" applyAlignment="1">
      <alignment horizontal="center" vertical="center" wrapText="1"/>
      <protection/>
    </xf>
    <xf numFmtId="0" fontId="14" fillId="0" borderId="63" xfId="72" applyFont="1" applyFill="1" applyBorder="1" applyAlignment="1">
      <alignment horizontal="center" vertical="center" wrapText="1"/>
      <protection/>
    </xf>
    <xf numFmtId="0" fontId="11" fillId="0" borderId="55" xfId="72" applyFont="1" applyFill="1" applyBorder="1" applyAlignment="1" applyProtection="1">
      <alignment horizontal="center" vertical="center" wrapText="1"/>
      <protection/>
    </xf>
    <xf numFmtId="0" fontId="11" fillId="0" borderId="53" xfId="72" applyFont="1" applyFill="1" applyBorder="1" applyAlignment="1" applyProtection="1">
      <alignment horizontal="center" vertical="center" wrapText="1"/>
      <protection/>
    </xf>
    <xf numFmtId="0" fontId="11" fillId="0" borderId="5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47" xfId="72" applyFont="1" applyFill="1" applyBorder="1" applyAlignment="1" applyProtection="1">
      <alignment horizontal="center" vertical="center" wrapText="1"/>
      <protection/>
    </xf>
    <xf numFmtId="0" fontId="90" fillId="0" borderId="71" xfId="0" applyFont="1" applyBorder="1" applyAlignment="1">
      <alignment horizontal="left" vertical="center" wrapText="1"/>
    </xf>
    <xf numFmtId="0" fontId="90" fillId="0" borderId="38" xfId="0" applyFont="1" applyBorder="1" applyAlignment="1">
      <alignment horizontal="left" vertical="center" wrapText="1"/>
    </xf>
    <xf numFmtId="0" fontId="90" fillId="0" borderId="47" xfId="0" applyFont="1" applyBorder="1" applyAlignment="1">
      <alignment horizontal="left" vertical="center" wrapText="1"/>
    </xf>
    <xf numFmtId="0" fontId="11" fillId="5" borderId="68"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9"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53" fillId="0" borderId="68" xfId="0" applyNumberFormat="1" applyFont="1" applyFill="1" applyBorder="1" applyAlignment="1">
      <alignment horizontal="center" vertical="center"/>
    </xf>
    <xf numFmtId="0" fontId="53" fillId="0" borderId="27"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69" xfId="0" applyFont="1" applyFill="1" applyBorder="1" applyAlignment="1">
      <alignment horizontal="center" vertical="center"/>
    </xf>
    <xf numFmtId="0" fontId="53" fillId="0" borderId="35" xfId="0" applyFont="1" applyFill="1" applyBorder="1" applyAlignment="1">
      <alignment horizontal="center" vertical="center"/>
    </xf>
    <xf numFmtId="0" fontId="79" fillId="0" borderId="52" xfId="0" applyFont="1" applyFill="1" applyBorder="1" applyAlignment="1">
      <alignment horizontal="center" vertical="center"/>
    </xf>
    <xf numFmtId="0" fontId="79" fillId="0" borderId="72" xfId="0" applyFont="1" applyFill="1" applyBorder="1" applyAlignment="1">
      <alignment horizontal="center" vertical="center"/>
    </xf>
    <xf numFmtId="0" fontId="79" fillId="0" borderId="73"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42" xfId="0" applyFont="1" applyFill="1" applyBorder="1" applyAlignment="1">
      <alignment horizontal="center" vertical="center"/>
    </xf>
    <xf numFmtId="0" fontId="11" fillId="5" borderId="62" xfId="72" applyFont="1" applyFill="1" applyBorder="1" applyAlignment="1">
      <alignment horizontal="left" vertical="center" wrapText="1"/>
      <protection/>
    </xf>
    <xf numFmtId="0" fontId="11" fillId="5" borderId="63" xfId="72" applyFont="1" applyFill="1" applyBorder="1" applyAlignment="1">
      <alignment horizontal="left" vertical="center" wrapText="1"/>
      <protection/>
    </xf>
    <xf numFmtId="0" fontId="79" fillId="0" borderId="74" xfId="0" applyFont="1" applyFill="1" applyBorder="1" applyAlignment="1">
      <alignment horizontal="center" vertical="center" wrapText="1"/>
    </xf>
    <xf numFmtId="0" fontId="79" fillId="0" borderId="75" xfId="0" applyFont="1" applyFill="1" applyBorder="1" applyAlignment="1">
      <alignment horizontal="center" vertical="center" wrapText="1"/>
    </xf>
    <xf numFmtId="0" fontId="79" fillId="0" borderId="74" xfId="0" applyFont="1" applyFill="1" applyBorder="1" applyAlignment="1">
      <alignment horizontal="center" vertical="center"/>
    </xf>
    <xf numFmtId="0" fontId="79" fillId="0" borderId="75" xfId="0" applyFont="1" applyFill="1" applyBorder="1" applyAlignment="1">
      <alignment horizontal="center" vertical="center"/>
    </xf>
    <xf numFmtId="0" fontId="79" fillId="0" borderId="52" xfId="0" applyFont="1" applyFill="1" applyBorder="1" applyAlignment="1">
      <alignment horizontal="center" vertical="center" wrapText="1"/>
    </xf>
    <xf numFmtId="0" fontId="79" fillId="0" borderId="72" xfId="0" applyFont="1" applyFill="1" applyBorder="1" applyAlignment="1">
      <alignment horizontal="center" vertical="center" wrapText="1"/>
    </xf>
    <xf numFmtId="0" fontId="11" fillId="38" borderId="55"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0" fontId="11" fillId="38" borderId="53"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0" borderId="62" xfId="72" applyFont="1" applyFill="1" applyBorder="1" applyAlignment="1">
      <alignment horizontal="center" vertical="center" wrapText="1"/>
      <protection/>
    </xf>
    <xf numFmtId="0" fontId="11" fillId="0" borderId="67" xfId="72" applyFont="1" applyFill="1" applyBorder="1" applyAlignment="1">
      <alignment horizontal="center" vertical="center" wrapText="1"/>
      <protection/>
    </xf>
    <xf numFmtId="0" fontId="11" fillId="0" borderId="63"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62" xfId="72" applyFont="1" applyFill="1" applyBorder="1" applyAlignment="1" applyProtection="1">
      <alignment horizontal="center" vertical="center" wrapText="1"/>
      <protection/>
    </xf>
    <xf numFmtId="0" fontId="10" fillId="0" borderId="67" xfId="72"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1" fillId="5" borderId="68"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9"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1" fillId="5" borderId="14" xfId="72" applyFont="1" applyFill="1" applyBorder="1" applyAlignment="1" applyProtection="1">
      <alignment horizontal="center" vertical="center" wrapText="1"/>
      <protection/>
    </xf>
    <xf numFmtId="0" fontId="11" fillId="5" borderId="76"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56" xfId="72" applyFont="1" applyFill="1" applyBorder="1" applyAlignment="1">
      <alignment horizontal="center" vertical="center" wrapText="1"/>
      <protection/>
    </xf>
    <xf numFmtId="0" fontId="11" fillId="0" borderId="57" xfId="72" applyFont="1" applyFill="1" applyBorder="1" applyAlignment="1">
      <alignment horizontal="center" vertical="center" wrapText="1"/>
      <protection/>
    </xf>
    <xf numFmtId="0" fontId="11" fillId="0" borderId="58" xfId="72" applyFont="1" applyFill="1" applyBorder="1" applyAlignment="1">
      <alignment horizontal="center" vertical="center" wrapText="1"/>
      <protection/>
    </xf>
    <xf numFmtId="1" fontId="11" fillId="0" borderId="62" xfId="79" applyNumberFormat="1" applyFont="1" applyFill="1" applyBorder="1" applyAlignment="1" applyProtection="1">
      <alignment horizontal="center" vertical="center" wrapText="1"/>
      <protection/>
    </xf>
    <xf numFmtId="1" fontId="11" fillId="0" borderId="63" xfId="79" applyNumberFormat="1" applyFont="1" applyFill="1" applyBorder="1" applyAlignment="1" applyProtection="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9"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81" fillId="0" borderId="13" xfId="72" applyFont="1" applyFill="1" applyBorder="1" applyAlignment="1" applyProtection="1">
      <alignment horizontal="left" vertical="center" wrapText="1"/>
      <protection/>
    </xf>
    <xf numFmtId="0" fontId="81" fillId="0" borderId="21" xfId="72" applyFont="1" applyFill="1" applyBorder="1" applyAlignment="1" applyProtection="1">
      <alignment horizontal="left" vertical="center" wrapText="1"/>
      <protection/>
    </xf>
    <xf numFmtId="0" fontId="11" fillId="5" borderId="20"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51"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9" fontId="10" fillId="0" borderId="77"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78" xfId="72" applyNumberFormat="1" applyFont="1" applyFill="1" applyBorder="1" applyAlignment="1" applyProtection="1">
      <alignment horizontal="left" vertical="center" wrapText="1"/>
      <protection/>
    </xf>
    <xf numFmtId="9" fontId="10" fillId="0" borderId="79"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78"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3" xfId="81" applyFont="1" applyFill="1" applyBorder="1" applyAlignment="1" applyProtection="1">
      <alignment horizontal="left" vertical="center" wrapText="1"/>
      <protection/>
    </xf>
    <xf numFmtId="2" fontId="10" fillId="38" borderId="37" xfId="72" applyNumberFormat="1" applyFont="1" applyFill="1" applyBorder="1" applyAlignment="1" applyProtection="1">
      <alignment horizontal="left" vertical="center" wrapText="1"/>
      <protection/>
    </xf>
    <xf numFmtId="2" fontId="10" fillId="38" borderId="80" xfId="72" applyNumberFormat="1" applyFont="1" applyFill="1" applyBorder="1" applyAlignment="1" applyProtection="1">
      <alignment horizontal="left" vertical="center" wrapText="1"/>
      <protection/>
    </xf>
    <xf numFmtId="9" fontId="10" fillId="0" borderId="48" xfId="79" applyFont="1" applyFill="1" applyBorder="1" applyAlignment="1" applyProtection="1">
      <alignment horizontal="center" vertical="center" wrapText="1"/>
      <protection/>
    </xf>
    <xf numFmtId="9" fontId="10" fillId="0" borderId="81" xfId="79" applyFont="1" applyFill="1" applyBorder="1" applyAlignment="1" applyProtection="1">
      <alignment horizontal="center" vertical="center" wrapText="1"/>
      <protection/>
    </xf>
    <xf numFmtId="0" fontId="11" fillId="5" borderId="55"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3" xfId="72"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85" xfId="72" applyFont="1" applyFill="1" applyBorder="1" applyAlignment="1" applyProtection="1">
      <alignment horizontal="center" vertical="center" wrapText="1"/>
      <protection/>
    </xf>
    <xf numFmtId="0" fontId="11" fillId="5" borderId="72"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0" fontId="11" fillId="5" borderId="55" xfId="72" applyFont="1" applyFill="1" applyBorder="1" applyAlignment="1">
      <alignment horizontal="center" vertical="center" wrapText="1"/>
      <protection/>
    </xf>
    <xf numFmtId="0" fontId="11" fillId="5" borderId="84"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9" fontId="10" fillId="0" borderId="16" xfId="79" applyFont="1" applyFill="1" applyBorder="1" applyAlignment="1" applyProtection="1">
      <alignment horizontal="center" vertical="center" wrapText="1"/>
      <protection/>
    </xf>
    <xf numFmtId="3" fontId="11" fillId="0" borderId="77" xfId="72" applyNumberFormat="1" applyFont="1" applyFill="1" applyBorder="1" applyAlignment="1" applyProtection="1">
      <alignment horizontal="center" vertical="center" wrapText="1"/>
      <protection/>
    </xf>
    <xf numFmtId="3" fontId="11" fillId="0" borderId="44" xfId="72" applyNumberFormat="1"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2" fontId="10" fillId="38" borderId="20" xfId="72" applyNumberFormat="1" applyFont="1" applyFill="1" applyBorder="1" applyAlignment="1" applyProtection="1">
      <alignment vertical="center" wrapText="1"/>
      <protection/>
    </xf>
    <xf numFmtId="2" fontId="10" fillId="38" borderId="45" xfId="72" applyNumberFormat="1" applyFont="1" applyFill="1" applyBorder="1" applyAlignment="1" applyProtection="1">
      <alignment vertical="center" wrapText="1"/>
      <protection/>
    </xf>
    <xf numFmtId="9" fontId="10" fillId="0" borderId="82"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9" fontId="10" fillId="0" borderId="77" xfId="72" applyNumberFormat="1" applyFont="1" applyFill="1" applyBorder="1" applyAlignment="1" applyProtection="1">
      <alignment horizontal="left" vertical="top" wrapText="1"/>
      <protection/>
    </xf>
    <xf numFmtId="9" fontId="10" fillId="0" borderId="41" xfId="72" applyNumberFormat="1" applyFont="1" applyFill="1" applyBorder="1" applyAlignment="1" applyProtection="1">
      <alignment horizontal="left" vertical="top" wrapText="1"/>
      <protection/>
    </xf>
    <xf numFmtId="9" fontId="10" fillId="0" borderId="78" xfId="72" applyNumberFormat="1" applyFont="1" applyFill="1" applyBorder="1" applyAlignment="1" applyProtection="1">
      <alignment horizontal="left" vertical="top" wrapText="1"/>
      <protection/>
    </xf>
    <xf numFmtId="9" fontId="10" fillId="0" borderId="79" xfId="72" applyNumberFormat="1" applyFont="1" applyFill="1" applyBorder="1" applyAlignment="1" applyProtection="1">
      <alignment horizontal="left" vertical="top" wrapText="1"/>
      <protection/>
    </xf>
    <xf numFmtId="9" fontId="10" fillId="0" borderId="0" xfId="72" applyNumberFormat="1" applyFont="1" applyFill="1" applyBorder="1" applyAlignment="1" applyProtection="1">
      <alignment horizontal="left" vertical="top" wrapText="1"/>
      <protection/>
    </xf>
    <xf numFmtId="9" fontId="10" fillId="0" borderId="29" xfId="72" applyNumberFormat="1" applyFont="1" applyFill="1" applyBorder="1" applyAlignment="1" applyProtection="1">
      <alignment horizontal="left" vertical="top" wrapText="1"/>
      <protection/>
    </xf>
    <xf numFmtId="9" fontId="81" fillId="0" borderId="77" xfId="81" applyFont="1" applyFill="1" applyBorder="1" applyAlignment="1" applyProtection="1">
      <alignment horizontal="center" vertical="center" wrapText="1"/>
      <protection/>
    </xf>
    <xf numFmtId="9" fontId="81" fillId="0" borderId="41" xfId="81" applyFont="1" applyFill="1" applyBorder="1" applyAlignment="1" applyProtection="1">
      <alignment horizontal="center" vertical="center" wrapText="1"/>
      <protection/>
    </xf>
    <xf numFmtId="9" fontId="81" fillId="0" borderId="44" xfId="81" applyFont="1" applyFill="1" applyBorder="1" applyAlignment="1" applyProtection="1">
      <alignment horizontal="center" vertical="center" wrapText="1"/>
      <protection/>
    </xf>
    <xf numFmtId="9" fontId="81" fillId="0" borderId="82" xfId="81" applyFont="1" applyFill="1" applyBorder="1" applyAlignment="1" applyProtection="1">
      <alignment horizontal="center" vertical="center" wrapText="1"/>
      <protection/>
    </xf>
    <xf numFmtId="9" fontId="81" fillId="0" borderId="34" xfId="81" applyFont="1" applyFill="1" applyBorder="1" applyAlignment="1" applyProtection="1">
      <alignment horizontal="center" vertical="center" wrapText="1"/>
      <protection/>
    </xf>
    <xf numFmtId="9" fontId="81" fillId="0" borderId="83" xfId="81" applyFont="1" applyFill="1" applyBorder="1" applyAlignment="1" applyProtection="1">
      <alignment horizontal="center" vertical="center" wrapText="1"/>
      <protection/>
    </xf>
    <xf numFmtId="0" fontId="11" fillId="38" borderId="55" xfId="72" applyFont="1" applyFill="1" applyBorder="1" applyAlignment="1">
      <alignment horizontal="center" vertical="center" wrapText="1"/>
      <protection/>
    </xf>
    <xf numFmtId="0" fontId="11" fillId="38" borderId="70" xfId="72" applyFont="1" applyFill="1" applyBorder="1" applyAlignment="1">
      <alignment horizontal="center" vertical="center" wrapText="1"/>
      <protection/>
    </xf>
    <xf numFmtId="0" fontId="11" fillId="38" borderId="53" xfId="72" applyFont="1" applyFill="1" applyBorder="1" applyAlignment="1">
      <alignment horizontal="center" vertical="center" wrapText="1"/>
      <protection/>
    </xf>
    <xf numFmtId="0" fontId="11" fillId="38" borderId="54" xfId="72" applyFont="1" applyFill="1" applyBorder="1" applyAlignment="1">
      <alignment horizontal="center" vertical="center" wrapText="1"/>
      <protection/>
    </xf>
    <xf numFmtId="9" fontId="81" fillId="0" borderId="41" xfId="81" applyFont="1" applyFill="1" applyBorder="1" applyAlignment="1" applyProtection="1">
      <alignment horizontal="left" vertical="center" wrapText="1"/>
      <protection/>
    </xf>
    <xf numFmtId="9" fontId="81" fillId="0" borderId="44" xfId="81" applyFont="1" applyFill="1" applyBorder="1" applyAlignment="1" applyProtection="1">
      <alignment horizontal="left" vertical="center" wrapText="1"/>
      <protection/>
    </xf>
    <xf numFmtId="9" fontId="81" fillId="0" borderId="82" xfId="81" applyFont="1" applyFill="1" applyBorder="1" applyAlignment="1" applyProtection="1">
      <alignment horizontal="left" vertical="center" wrapText="1"/>
      <protection/>
    </xf>
    <xf numFmtId="9" fontId="81" fillId="0" borderId="34" xfId="81" applyFont="1" applyFill="1" applyBorder="1" applyAlignment="1" applyProtection="1">
      <alignment horizontal="left" vertical="center" wrapText="1"/>
      <protection/>
    </xf>
    <xf numFmtId="9" fontId="81" fillId="0" borderId="83" xfId="81" applyFont="1" applyFill="1" applyBorder="1" applyAlignment="1" applyProtection="1">
      <alignment horizontal="left" vertical="center" wrapText="1"/>
      <protection/>
    </xf>
    <xf numFmtId="0" fontId="11" fillId="0" borderId="52" xfId="72" applyFont="1" applyFill="1" applyBorder="1" applyAlignment="1" applyProtection="1">
      <alignment horizontal="center" vertical="center" wrapText="1"/>
      <protection/>
    </xf>
    <xf numFmtId="0" fontId="11" fillId="0" borderId="85"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9" fontId="11" fillId="0" borderId="22" xfId="72" applyNumberFormat="1" applyFont="1" applyBorder="1" applyAlignment="1">
      <alignment horizontal="center" vertical="center" wrapText="1"/>
      <protection/>
    </xf>
    <xf numFmtId="9" fontId="11" fillId="0" borderId="81" xfId="72" applyNumberFormat="1" applyFont="1" applyBorder="1" applyAlignment="1">
      <alignment horizontal="center" vertical="center" wrapText="1"/>
      <protection/>
    </xf>
    <xf numFmtId="9" fontId="11" fillId="0" borderId="62" xfId="79" applyFont="1" applyFill="1" applyBorder="1" applyAlignment="1" applyProtection="1">
      <alignment horizontal="center" vertical="center" wrapText="1"/>
      <protection/>
    </xf>
    <xf numFmtId="9" fontId="11" fillId="0" borderId="63" xfId="79" applyFont="1" applyFill="1" applyBorder="1" applyAlignment="1" applyProtection="1">
      <alignment horizontal="center"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left" vertical="center" wrapText="1"/>
      <protection/>
    </xf>
    <xf numFmtId="2" fontId="10" fillId="0" borderId="80" xfId="72" applyNumberFormat="1" applyFont="1" applyFill="1" applyBorder="1" applyAlignment="1" applyProtection="1">
      <alignment horizontal="left"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horizontal="center" vertical="center" wrapText="1"/>
      <protection/>
    </xf>
    <xf numFmtId="2" fontId="10" fillId="0" borderId="48"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6"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4"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1" xfId="66" applyNumberFormat="1" applyFont="1" applyFill="1" applyBorder="1" applyAlignment="1" applyProtection="1">
      <alignment horizontal="center" vertical="center" wrapText="1"/>
      <protection/>
    </xf>
    <xf numFmtId="0" fontId="11" fillId="38" borderId="73" xfId="72" applyFont="1" applyFill="1" applyBorder="1" applyAlignment="1" applyProtection="1">
      <alignment horizontal="center" vertical="center" wrapText="1"/>
      <protection/>
    </xf>
    <xf numFmtId="0" fontId="11" fillId="38" borderId="76"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0" fillId="0" borderId="66" xfId="72"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82" fillId="0" borderId="71" xfId="0" applyFont="1" applyBorder="1" applyAlignment="1">
      <alignment horizontal="left" vertical="center" wrapText="1"/>
    </xf>
    <xf numFmtId="0" fontId="82" fillId="0" borderId="38" xfId="0" applyFont="1" applyBorder="1" applyAlignment="1">
      <alignment horizontal="left" vertical="center" wrapText="1"/>
    </xf>
    <xf numFmtId="0" fontId="82" fillId="0" borderId="47" xfId="0" applyFont="1" applyBorder="1" applyAlignment="1">
      <alignment horizontal="left" vertical="center" wrapText="1"/>
    </xf>
    <xf numFmtId="0" fontId="11" fillId="5" borderId="68"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0" fillId="0" borderId="52" xfId="0" applyFont="1" applyFill="1" applyBorder="1" applyAlignment="1">
      <alignment horizontal="center" vertical="center"/>
    </xf>
    <xf numFmtId="0" fontId="0" fillId="0" borderId="72"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80" xfId="0" applyFont="1" applyFill="1" applyBorder="1" applyAlignment="1">
      <alignment vertical="center" wrapText="1"/>
    </xf>
    <xf numFmtId="0" fontId="11" fillId="5" borderId="28" xfId="72" applyFont="1" applyFill="1" applyBorder="1" applyAlignment="1" applyProtection="1">
      <alignment horizontal="center" vertical="center" wrapText="1"/>
      <protection/>
    </xf>
    <xf numFmtId="0" fontId="11" fillId="38" borderId="0" xfId="72" applyFont="1" applyFill="1" applyBorder="1" applyAlignment="1" applyProtection="1">
      <alignment horizontal="center" vertical="center" wrapText="1"/>
      <protection/>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0" fontId="11" fillId="5" borderId="58"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81" fillId="0" borderId="77" xfId="72" applyNumberFormat="1" applyFont="1" applyFill="1" applyBorder="1" applyAlignment="1" applyProtection="1">
      <alignment horizontal="left" vertical="center" wrapText="1"/>
      <protection/>
    </xf>
    <xf numFmtId="9" fontId="81" fillId="0" borderId="41" xfId="72" applyNumberFormat="1" applyFont="1" applyFill="1" applyBorder="1" applyAlignment="1" applyProtection="1">
      <alignment horizontal="left" vertical="center" wrapText="1"/>
      <protection/>
    </xf>
    <xf numFmtId="9" fontId="81" fillId="0" borderId="78" xfId="72" applyNumberFormat="1" applyFont="1" applyFill="1" applyBorder="1" applyAlignment="1" applyProtection="1">
      <alignment horizontal="left" vertical="center" wrapText="1"/>
      <protection/>
    </xf>
    <xf numFmtId="9" fontId="81" fillId="0" borderId="79" xfId="72" applyNumberFormat="1" applyFont="1" applyFill="1" applyBorder="1" applyAlignment="1" applyProtection="1">
      <alignment horizontal="left" vertical="center" wrapText="1"/>
      <protection/>
    </xf>
    <xf numFmtId="9" fontId="81" fillId="0" borderId="0" xfId="72" applyNumberFormat="1" applyFont="1" applyFill="1" applyBorder="1" applyAlignment="1" applyProtection="1">
      <alignment horizontal="left" vertical="center" wrapText="1"/>
      <protection/>
    </xf>
    <xf numFmtId="9" fontId="81" fillId="0" borderId="29" xfId="72" applyNumberFormat="1" applyFont="1" applyFill="1" applyBorder="1" applyAlignment="1" applyProtection="1">
      <alignment horizontal="left" vertical="center" wrapText="1"/>
      <protection/>
    </xf>
    <xf numFmtId="0" fontId="85" fillId="0" borderId="64" xfId="0" applyFont="1" applyFill="1" applyBorder="1" applyAlignment="1">
      <alignment horizontal="center" vertical="center"/>
    </xf>
    <xf numFmtId="0" fontId="85" fillId="0" borderId="66"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81" xfId="72" applyNumberFormat="1" applyFont="1" applyFill="1" applyBorder="1" applyAlignment="1" applyProtection="1">
      <alignment horizontal="center" vertical="center" wrapText="1"/>
      <protection/>
    </xf>
    <xf numFmtId="9" fontId="81" fillId="0" borderId="77" xfId="72" applyNumberFormat="1" applyFont="1" applyFill="1" applyBorder="1" applyAlignment="1" applyProtection="1">
      <alignment horizontal="center" vertical="center" wrapText="1"/>
      <protection/>
    </xf>
    <xf numFmtId="9" fontId="81" fillId="0" borderId="41" xfId="72" applyNumberFormat="1" applyFont="1" applyFill="1" applyBorder="1" applyAlignment="1" applyProtection="1">
      <alignment horizontal="center" vertical="center" wrapText="1"/>
      <protection/>
    </xf>
    <xf numFmtId="9" fontId="81" fillId="0" borderId="78" xfId="72" applyNumberFormat="1" applyFont="1" applyFill="1" applyBorder="1" applyAlignment="1" applyProtection="1">
      <alignment horizontal="center" vertical="center" wrapText="1"/>
      <protection/>
    </xf>
    <xf numFmtId="9" fontId="81" fillId="0" borderId="82" xfId="72" applyNumberFormat="1" applyFont="1" applyFill="1" applyBorder="1" applyAlignment="1" applyProtection="1">
      <alignment horizontal="center" vertical="center" wrapText="1"/>
      <protection/>
    </xf>
    <xf numFmtId="9" fontId="81" fillId="0" borderId="34" xfId="72" applyNumberFormat="1" applyFont="1" applyFill="1" applyBorder="1" applyAlignment="1" applyProtection="1">
      <alignment horizontal="center" vertical="center" wrapText="1"/>
      <protection/>
    </xf>
    <xf numFmtId="9" fontId="81" fillId="0" borderId="35" xfId="72" applyNumberFormat="1" applyFont="1" applyFill="1" applyBorder="1" applyAlignment="1" applyProtection="1">
      <alignment horizontal="center" vertical="center" wrapText="1"/>
      <protection/>
    </xf>
    <xf numFmtId="9" fontId="81" fillId="0" borderId="79" xfId="72" applyNumberFormat="1" applyFont="1" applyFill="1" applyBorder="1" applyAlignment="1" applyProtection="1">
      <alignment horizontal="center" vertical="center" wrapText="1"/>
      <protection/>
    </xf>
    <xf numFmtId="9" fontId="81" fillId="0" borderId="0" xfId="72" applyNumberFormat="1" applyFont="1" applyFill="1" applyBorder="1" applyAlignment="1" applyProtection="1">
      <alignment horizontal="center" vertical="center" wrapText="1"/>
      <protection/>
    </xf>
    <xf numFmtId="9" fontId="81" fillId="0" borderId="29"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0" fontId="11" fillId="0" borderId="70"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1" fillId="0" borderId="68"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81" fillId="0" borderId="78" xfId="81" applyFont="1" applyFill="1" applyBorder="1" applyAlignment="1" applyProtection="1">
      <alignment horizontal="center" vertical="center" wrapText="1"/>
      <protection/>
    </xf>
    <xf numFmtId="9" fontId="81"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51"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5" fillId="0" borderId="68"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69" xfId="0" applyFont="1" applyFill="1" applyBorder="1" applyAlignment="1">
      <alignment horizontal="center" vertical="center"/>
    </xf>
    <xf numFmtId="0" fontId="85" fillId="0" borderId="35" xfId="0" applyFont="1" applyFill="1" applyBorder="1" applyAlignment="1">
      <alignment horizontal="center" vertical="center"/>
    </xf>
    <xf numFmtId="2" fontId="10" fillId="0" borderId="45"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9" fontId="10" fillId="0" borderId="14" xfId="72" applyNumberFormat="1" applyFont="1" applyFill="1" applyBorder="1" applyAlignment="1" applyProtection="1">
      <alignment horizontal="left" vertical="center" wrapText="1"/>
      <protection/>
    </xf>
    <xf numFmtId="9" fontId="10" fillId="0" borderId="76" xfId="72" applyNumberFormat="1" applyFont="1" applyFill="1" applyBorder="1" applyAlignment="1" applyProtection="1">
      <alignment horizontal="left" vertical="center" wrapText="1"/>
      <protection/>
    </xf>
    <xf numFmtId="9" fontId="10" fillId="0" borderId="42" xfId="72" applyNumberFormat="1" applyFont="1" applyFill="1" applyBorder="1" applyAlignment="1" applyProtection="1">
      <alignment horizontal="left" vertical="center" wrapText="1"/>
      <protection/>
    </xf>
    <xf numFmtId="9" fontId="10" fillId="0" borderId="81" xfId="72" applyNumberFormat="1" applyFont="1" applyFill="1" applyBorder="1" applyAlignment="1" applyProtection="1">
      <alignment horizontal="left" vertical="center" wrapText="1"/>
      <protection/>
    </xf>
    <xf numFmtId="9" fontId="10" fillId="0" borderId="87" xfId="72" applyNumberFormat="1" applyFont="1" applyFill="1" applyBorder="1" applyAlignment="1" applyProtection="1">
      <alignment horizontal="left" vertical="center" wrapText="1"/>
      <protection/>
    </xf>
    <xf numFmtId="0" fontId="11" fillId="11" borderId="22" xfId="0" applyFont="1" applyFill="1" applyBorder="1" applyAlignment="1">
      <alignment horizontal="center" vertical="center" wrapText="1"/>
    </xf>
    <xf numFmtId="0" fontId="11" fillId="11" borderId="48"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82" fillId="11" borderId="14" xfId="0" applyFont="1" applyFill="1" applyBorder="1" applyAlignment="1">
      <alignment horizontal="center" vertical="center"/>
    </xf>
    <xf numFmtId="0" fontId="82" fillId="11" borderId="76" xfId="0" applyFont="1" applyFill="1" applyBorder="1" applyAlignment="1">
      <alignment horizontal="center" vertical="center"/>
    </xf>
    <xf numFmtId="0" fontId="82" fillId="11" borderId="17" xfId="0" applyFont="1" applyFill="1" applyBorder="1" applyAlignment="1">
      <alignment horizontal="center" vertical="center"/>
    </xf>
    <xf numFmtId="0" fontId="82" fillId="11" borderId="13" xfId="0" applyFont="1" applyFill="1" applyBorder="1" applyAlignment="1">
      <alignment horizontal="center" vertical="center"/>
    </xf>
    <xf numFmtId="0" fontId="82" fillId="11" borderId="77" xfId="0" applyFont="1" applyFill="1" applyBorder="1" applyAlignment="1">
      <alignment horizontal="center" vertical="center"/>
    </xf>
    <xf numFmtId="0" fontId="82" fillId="11" borderId="44" xfId="0" applyFont="1" applyFill="1" applyBorder="1" applyAlignment="1">
      <alignment horizontal="center" vertical="center"/>
    </xf>
    <xf numFmtId="0" fontId="82" fillId="11" borderId="79" xfId="0" applyFont="1" applyFill="1" applyBorder="1" applyAlignment="1">
      <alignment horizontal="center" vertical="center"/>
    </xf>
    <xf numFmtId="0" fontId="82" fillId="11" borderId="88" xfId="0" applyFont="1" applyFill="1" applyBorder="1" applyAlignment="1">
      <alignment horizontal="center" vertical="center"/>
    </xf>
    <xf numFmtId="0" fontId="82" fillId="11" borderId="39" xfId="0" applyFont="1" applyFill="1" applyBorder="1" applyAlignment="1">
      <alignment horizontal="center" vertical="center"/>
    </xf>
    <xf numFmtId="0" fontId="82" fillId="11" borderId="51" xfId="0" applyFont="1" applyFill="1" applyBorder="1" applyAlignment="1">
      <alignment horizontal="center" vertical="center"/>
    </xf>
    <xf numFmtId="0" fontId="82" fillId="0" borderId="13" xfId="0" applyFont="1" applyFill="1" applyBorder="1" applyAlignment="1">
      <alignment horizontal="center" vertical="center" wrapText="1"/>
    </xf>
    <xf numFmtId="0" fontId="82" fillId="11" borderId="14" xfId="0" applyFont="1" applyFill="1" applyBorder="1" applyAlignment="1">
      <alignment horizontal="left" vertical="center"/>
    </xf>
    <xf numFmtId="0" fontId="82" fillId="11" borderId="76" xfId="0" applyFont="1" applyFill="1" applyBorder="1" applyAlignment="1">
      <alignment horizontal="left" vertical="center"/>
    </xf>
    <xf numFmtId="0" fontId="82" fillId="11" borderId="17" xfId="0" applyFont="1" applyFill="1" applyBorder="1" applyAlignment="1">
      <alignment horizontal="left" vertical="center"/>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76" xfId="0" applyFont="1" applyBorder="1" applyAlignment="1">
      <alignment horizontal="center" vertical="center"/>
    </xf>
    <xf numFmtId="0" fontId="80" fillId="0" borderId="17" xfId="0" applyFont="1" applyBorder="1" applyAlignment="1">
      <alignment horizontal="center" vertical="center"/>
    </xf>
    <xf numFmtId="0" fontId="80" fillId="0" borderId="14" xfId="0" applyFont="1" applyBorder="1" applyAlignment="1">
      <alignment horizontal="center" vertical="center"/>
    </xf>
    <xf numFmtId="0" fontId="82" fillId="11" borderId="22" xfId="0" applyFont="1" applyFill="1" applyBorder="1" applyAlignment="1">
      <alignment horizontal="center" vertical="center" wrapText="1"/>
    </xf>
    <xf numFmtId="0" fontId="82" fillId="11" borderId="16" xfId="0" applyFont="1" applyFill="1" applyBorder="1" applyAlignment="1">
      <alignment horizontal="center" vertical="center" wrapText="1"/>
    </xf>
    <xf numFmtId="0" fontId="11" fillId="41" borderId="13" xfId="72" applyFont="1" applyFill="1" applyBorder="1" applyAlignment="1">
      <alignment horizontal="center" vertical="center" wrapText="1"/>
      <protection/>
    </xf>
    <xf numFmtId="0" fontId="82" fillId="11" borderId="48"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82" fillId="11" borderId="41" xfId="0" applyFont="1" applyFill="1" applyBorder="1" applyAlignment="1">
      <alignment horizontal="center" vertical="center"/>
    </xf>
    <xf numFmtId="0" fontId="82" fillId="11" borderId="0" xfId="0" applyFont="1" applyFill="1" applyBorder="1" applyAlignment="1">
      <alignment horizontal="center" vertical="center"/>
    </xf>
    <xf numFmtId="0" fontId="82" fillId="11" borderId="15" xfId="0" applyFont="1" applyFill="1" applyBorder="1" applyAlignment="1">
      <alignment horizontal="center" vertical="center"/>
    </xf>
    <xf numFmtId="0" fontId="82" fillId="41" borderId="13" xfId="72" applyFont="1" applyFill="1" applyBorder="1" applyAlignment="1">
      <alignment horizontal="center" vertical="center" wrapText="1"/>
      <protection/>
    </xf>
    <xf numFmtId="0" fontId="80" fillId="0" borderId="14" xfId="0" applyFont="1" applyBorder="1" applyAlignment="1">
      <alignment horizontal="left" vertical="center"/>
    </xf>
    <xf numFmtId="0" fontId="80" fillId="0" borderId="76" xfId="0" applyFont="1" applyBorder="1" applyAlignment="1">
      <alignment horizontal="left" vertical="center"/>
    </xf>
    <xf numFmtId="0" fontId="80" fillId="0" borderId="17" xfId="0" applyFont="1" applyBorder="1" applyAlignment="1">
      <alignment horizontal="left" vertical="center"/>
    </xf>
    <xf numFmtId="0" fontId="82" fillId="11" borderId="14" xfId="0" applyFont="1" applyFill="1" applyBorder="1" applyAlignment="1">
      <alignment horizontal="center" vertical="center" wrapText="1"/>
    </xf>
    <xf numFmtId="0" fontId="82" fillId="11" borderId="76" xfId="0" applyFont="1" applyFill="1" applyBorder="1" applyAlignment="1">
      <alignment horizontal="center" vertical="center" wrapText="1"/>
    </xf>
    <xf numFmtId="0" fontId="82"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2" fillId="0" borderId="13" xfId="0" applyFont="1" applyBorder="1" applyAlignment="1">
      <alignment horizontal="left" vertical="center" wrapText="1"/>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51" xfId="0" applyFont="1" applyBorder="1" applyAlignment="1">
      <alignment horizontal="center" vertical="center"/>
    </xf>
    <xf numFmtId="0" fontId="82" fillId="11" borderId="39" xfId="0" applyFont="1" applyFill="1" applyBorder="1" applyAlignment="1">
      <alignment horizontal="left" vertical="center"/>
    </xf>
    <xf numFmtId="0" fontId="82" fillId="11" borderId="15" xfId="0" applyFont="1" applyFill="1" applyBorder="1" applyAlignment="1">
      <alignment horizontal="left" vertical="center"/>
    </xf>
    <xf numFmtId="0" fontId="82" fillId="11" borderId="51" xfId="0" applyFont="1" applyFill="1" applyBorder="1" applyAlignment="1">
      <alignment horizontal="left" vertical="center"/>
    </xf>
    <xf numFmtId="0" fontId="82" fillId="0" borderId="14" xfId="0" applyFont="1" applyFill="1" applyBorder="1" applyAlignment="1">
      <alignment horizontal="center" vertical="center"/>
    </xf>
    <xf numFmtId="0" fontId="82" fillId="0" borderId="76"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77" xfId="0" applyFont="1" applyBorder="1" applyAlignment="1">
      <alignment horizontal="center" vertical="center"/>
    </xf>
    <xf numFmtId="0" fontId="82" fillId="0" borderId="41" xfId="0" applyFont="1" applyBorder="1" applyAlignment="1">
      <alignment horizontal="center" vertical="center"/>
    </xf>
    <xf numFmtId="0" fontId="82" fillId="0" borderId="44"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6"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77" xfId="0" applyFont="1" applyBorder="1" applyAlignment="1">
      <alignment vertical="center" wrapText="1"/>
    </xf>
    <xf numFmtId="0" fontId="82" fillId="0" borderId="41" xfId="0" applyFont="1" applyBorder="1" applyAlignment="1">
      <alignment vertical="center" wrapText="1"/>
    </xf>
    <xf numFmtId="0" fontId="82" fillId="0" borderId="44"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2" fillId="17" borderId="14" xfId="0" applyFont="1" applyFill="1" applyBorder="1" applyAlignment="1">
      <alignment horizontal="center" vertical="center"/>
    </xf>
    <xf numFmtId="0" fontId="82" fillId="17" borderId="17" xfId="0" applyFont="1" applyFill="1" applyBorder="1" applyAlignment="1">
      <alignment horizontal="center" vertical="center"/>
    </xf>
    <xf numFmtId="0" fontId="82" fillId="0" borderId="14" xfId="0" applyFont="1" applyFill="1" applyBorder="1" applyAlignment="1">
      <alignment horizontal="left" vertical="center" wrapText="1"/>
    </xf>
    <xf numFmtId="0" fontId="82" fillId="0" borderId="17"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80" fillId="0" borderId="48" xfId="0" applyFont="1" applyFill="1" applyBorder="1" applyAlignment="1">
      <alignment horizontal="left" vertical="center" wrapText="1"/>
    </xf>
    <xf numFmtId="0" fontId="80" fillId="0" borderId="16" xfId="0" applyFont="1" applyFill="1" applyBorder="1" applyAlignment="1">
      <alignment horizontal="left" vertical="center" wrapText="1"/>
    </xf>
    <xf numFmtId="41" fontId="80" fillId="0" borderId="77" xfId="60" applyFont="1" applyFill="1" applyBorder="1" applyAlignment="1">
      <alignment horizontal="left" vertical="center"/>
    </xf>
    <xf numFmtId="41" fontId="80" fillId="0" borderId="79" xfId="60" applyFont="1" applyFill="1" applyBorder="1" applyAlignment="1">
      <alignment horizontal="left" vertical="center"/>
    </xf>
    <xf numFmtId="41" fontId="80" fillId="0" borderId="39" xfId="60" applyFont="1" applyFill="1" applyBorder="1" applyAlignment="1">
      <alignment horizontal="left" vertical="center"/>
    </xf>
    <xf numFmtId="0" fontId="0" fillId="0" borderId="88" xfId="0" applyBorder="1" applyAlignment="1">
      <alignment horizontal="center"/>
    </xf>
    <xf numFmtId="0" fontId="0" fillId="37" borderId="88"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98" fontId="88" fillId="43" borderId="0" xfId="63" applyNumberFormat="1" applyFont="1" applyFill="1" applyBorder="1" applyAlignment="1">
      <alignment horizontal="left" vertical="center"/>
    </xf>
    <xf numFmtId="9" fontId="10" fillId="0" borderId="38" xfId="72" applyNumberFormat="1" applyFont="1" applyFill="1" applyBorder="1" applyAlignment="1" applyProtection="1">
      <alignment horizontal="left" vertical="center" wrapText="1"/>
      <protection/>
    </xf>
    <xf numFmtId="9" fontId="10" fillId="0" borderId="47" xfId="72" applyNumberFormat="1" applyFont="1" applyFill="1" applyBorder="1" applyAlignment="1" applyProtection="1">
      <alignment horizontal="left"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22110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85725"/>
          <a:ext cx="11715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30</xdr:row>
      <xdr:rowOff>114300</xdr:rowOff>
    </xdr:from>
    <xdr:to>
      <xdr:col>5</xdr:col>
      <xdr:colOff>523875</xdr:colOff>
      <xdr:row>30</xdr:row>
      <xdr:rowOff>409575</xdr:rowOff>
    </xdr:to>
    <xdr:pic>
      <xdr:nvPicPr>
        <xdr:cNvPr id="1" name="Imagen 2"/>
        <xdr:cNvPicPr preferRelativeResize="1">
          <a:picLocks noChangeAspect="1"/>
        </xdr:cNvPicPr>
      </xdr:nvPicPr>
      <xdr:blipFill>
        <a:blip r:embed="rId1"/>
        <a:stretch>
          <a:fillRect/>
        </a:stretch>
      </xdr:blipFill>
      <xdr:spPr>
        <a:xfrm>
          <a:off x="2990850" y="39662100"/>
          <a:ext cx="1133475" cy="295275"/>
        </a:xfrm>
        <a:prstGeom prst="rect">
          <a:avLst/>
        </a:prstGeom>
        <a:noFill/>
        <a:ln w="9525" cmpd="sng">
          <a:noFill/>
        </a:ln>
      </xdr:spPr>
    </xdr:pic>
    <xdr:clientData/>
  </xdr:twoCellAnchor>
  <xdr:twoCellAnchor editAs="oneCell">
    <xdr:from>
      <xdr:col>6</xdr:col>
      <xdr:colOff>742950</xdr:colOff>
      <xdr:row>30</xdr:row>
      <xdr:rowOff>38100</xdr:rowOff>
    </xdr:from>
    <xdr:to>
      <xdr:col>8</xdr:col>
      <xdr:colOff>123825</xdr:colOff>
      <xdr:row>30</xdr:row>
      <xdr:rowOff>523875</xdr:rowOff>
    </xdr:to>
    <xdr:pic>
      <xdr:nvPicPr>
        <xdr:cNvPr id="2" name="Imagen 1"/>
        <xdr:cNvPicPr preferRelativeResize="1">
          <a:picLocks noChangeAspect="1"/>
        </xdr:cNvPicPr>
      </xdr:nvPicPr>
      <xdr:blipFill>
        <a:blip r:embed="rId2"/>
        <a:stretch>
          <a:fillRect/>
        </a:stretch>
      </xdr:blipFill>
      <xdr:spPr>
        <a:xfrm>
          <a:off x="4895850" y="39585900"/>
          <a:ext cx="13430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tabSelected="1" zoomScale="80" zoomScaleNormal="80" workbookViewId="0" topLeftCell="R1">
      <selection activeCell="AH1" sqref="AH1:AJ1638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hidden="1" customWidth="1"/>
    <col min="33" max="33" width="18.421875" style="52" hidden="1" customWidth="1"/>
    <col min="34" max="34" width="11.421875" style="52" customWidth="1"/>
    <col min="35" max="35" width="11.8515625" style="52" customWidth="1"/>
    <col min="36" max="36" width="11.28125" style="52" customWidth="1"/>
    <col min="37" max="37" width="11.140625" style="52"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17" t="s">
        <v>293</v>
      </c>
      <c r="B7" s="418"/>
      <c r="C7" s="335" t="s">
        <v>49</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row>
    <row r="8" spans="1:30"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row>
    <row r="9" spans="1:30"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78" customFormat="1" ht="37.5" customHeight="1" thickBot="1">
      <c r="A17" s="398" t="s">
        <v>79</v>
      </c>
      <c r="B17" s="399"/>
      <c r="C17" s="414" t="s">
        <v>548</v>
      </c>
      <c r="D17" s="415"/>
      <c r="E17" s="415"/>
      <c r="F17" s="415"/>
      <c r="G17" s="415"/>
      <c r="H17" s="415"/>
      <c r="I17" s="415"/>
      <c r="J17" s="415"/>
      <c r="K17" s="415"/>
      <c r="L17" s="415"/>
      <c r="M17" s="415"/>
      <c r="N17" s="415"/>
      <c r="O17" s="415"/>
      <c r="P17" s="415"/>
      <c r="Q17" s="416"/>
      <c r="R17" s="338" t="s">
        <v>374</v>
      </c>
      <c r="S17" s="339"/>
      <c r="T17" s="339"/>
      <c r="U17" s="339"/>
      <c r="V17" s="340"/>
      <c r="W17" s="431">
        <v>11400</v>
      </c>
      <c r="X17" s="432"/>
      <c r="Y17" s="339" t="s">
        <v>15</v>
      </c>
      <c r="Z17" s="339"/>
      <c r="AA17" s="339"/>
      <c r="AB17" s="340"/>
      <c r="AC17" s="333">
        <v>0.35</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25" customFormat="1"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24"/>
      <c r="AF19" s="324"/>
    </row>
    <row r="20" spans="1:32" s="325" customFormat="1"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24"/>
      <c r="AF20" s="324"/>
    </row>
    <row r="21" spans="1:35" s="325" customFormat="1"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3" t="s">
        <v>39</v>
      </c>
      <c r="R21" s="314" t="s">
        <v>40</v>
      </c>
      <c r="S21" s="314" t="s">
        <v>41</v>
      </c>
      <c r="T21" s="314" t="s">
        <v>42</v>
      </c>
      <c r="U21" s="314" t="s">
        <v>43</v>
      </c>
      <c r="V21" s="314" t="s">
        <v>44</v>
      </c>
      <c r="W21" s="314" t="s">
        <v>45</v>
      </c>
      <c r="X21" s="314" t="s">
        <v>46</v>
      </c>
      <c r="Y21" s="314" t="s">
        <v>47</v>
      </c>
      <c r="Z21" s="314" t="s">
        <v>48</v>
      </c>
      <c r="AA21" s="314" t="s">
        <v>49</v>
      </c>
      <c r="AB21" s="314" t="s">
        <v>50</v>
      </c>
      <c r="AC21" s="314" t="s">
        <v>8</v>
      </c>
      <c r="AD21" s="315" t="s">
        <v>382</v>
      </c>
      <c r="AE21" s="4"/>
      <c r="AF21" s="298"/>
      <c r="AH21" s="325" t="s">
        <v>597</v>
      </c>
      <c r="AI21" s="325" t="s">
        <v>598</v>
      </c>
    </row>
    <row r="22" spans="1:37" s="325" customFormat="1" ht="32.25" customHeight="1">
      <c r="A22" s="485" t="s">
        <v>378</v>
      </c>
      <c r="B22" s="486"/>
      <c r="C22" s="187">
        <f>36333117</f>
        <v>36333117</v>
      </c>
      <c r="D22" s="185"/>
      <c r="E22" s="185"/>
      <c r="F22" s="185"/>
      <c r="G22" s="185">
        <v>-21353546</v>
      </c>
      <c r="H22" s="185"/>
      <c r="I22" s="185"/>
      <c r="J22" s="185"/>
      <c r="K22" s="185"/>
      <c r="L22" s="185"/>
      <c r="M22" s="185"/>
      <c r="N22" s="185"/>
      <c r="O22" s="239">
        <f>SUM(C22:N22)</f>
        <v>14979571</v>
      </c>
      <c r="P22" s="188"/>
      <c r="Q22" s="251">
        <f>1371995649-R22-U22-T22</f>
        <v>445827140</v>
      </c>
      <c r="R22" s="237">
        <v>863772000</v>
      </c>
      <c r="S22" s="237"/>
      <c r="T22" s="237">
        <f>41781637+906</f>
        <v>41782543</v>
      </c>
      <c r="U22" s="237">
        <f>20613966</f>
        <v>20613966</v>
      </c>
      <c r="V22" s="237"/>
      <c r="W22" s="237">
        <v>24787375</v>
      </c>
      <c r="X22" s="237">
        <f>15994011-32933431</f>
        <v>-16939420</v>
      </c>
      <c r="Y22" s="237"/>
      <c r="Z22" s="237"/>
      <c r="AA22" s="237">
        <v>-3995604</v>
      </c>
      <c r="AB22" s="237"/>
      <c r="AC22" s="239">
        <f>SUM(Q22:AB22)</f>
        <v>1375848000</v>
      </c>
      <c r="AD22" s="238"/>
      <c r="AE22" s="4"/>
      <c r="AF22" s="298"/>
      <c r="AG22" s="324"/>
      <c r="AH22" s="320">
        <f>+O22+'Metas 2 Representacion juridica'!O22+'Metas 4 Ruta integral'!O22+'Meta5 Seguimiento RutaIntegral'!O22+'Meta 6 URI'!O22+'Meta 7 Ini_Regulatoria'!O22</f>
        <v>428193588.15</v>
      </c>
      <c r="AI22" s="321">
        <f>+AC22+'Metas 2 Representacion juridica'!AC22+'Metas 4 Ruta integral'!AC22+'Meta5 Seguimiento RutaIntegral'!AC22+'Meta 6 URI'!AC22+'Meta 7 Ini_Regulatoria'!AC22</f>
        <v>9388891000</v>
      </c>
      <c r="AJ22" s="320"/>
      <c r="AK22" s="321"/>
    </row>
    <row r="23" spans="1:37" s="325" customFormat="1" ht="32.25" customHeight="1">
      <c r="A23" s="487" t="s">
        <v>379</v>
      </c>
      <c r="B23" s="488"/>
      <c r="C23" s="183">
        <f>+C22</f>
        <v>36333117</v>
      </c>
      <c r="D23" s="182"/>
      <c r="E23" s="182"/>
      <c r="F23" s="182"/>
      <c r="G23" s="182">
        <v>-21353546</v>
      </c>
      <c r="H23" s="182"/>
      <c r="I23" s="182"/>
      <c r="J23" s="182"/>
      <c r="K23" s="182"/>
      <c r="L23" s="182"/>
      <c r="M23" s="182"/>
      <c r="N23" s="182"/>
      <c r="O23" s="240">
        <f>SUM(C23:N23)</f>
        <v>14979571</v>
      </c>
      <c r="P23" s="199">
        <f>_xlfn.IFERROR(O23/(SUMIF(C23:N23,"&gt;0",C22:N22))," ")</f>
        <v>0.412284225435434</v>
      </c>
      <c r="Q23" s="305">
        <v>378911235</v>
      </c>
      <c r="R23" s="240">
        <v>792866330</v>
      </c>
      <c r="S23" s="240"/>
      <c r="T23" s="240">
        <f>88592000-4471965.25</f>
        <v>84120034.75</v>
      </c>
      <c r="U23" s="240">
        <v>31413264.94</v>
      </c>
      <c r="V23" s="240">
        <f>21768027.75-843733.75</f>
        <v>20924294</v>
      </c>
      <c r="W23" s="240">
        <f>-131497.39</f>
        <v>-131497.39</v>
      </c>
      <c r="X23" s="182">
        <v>14032025</v>
      </c>
      <c r="Y23" s="182">
        <v>15820666</v>
      </c>
      <c r="Z23" s="182">
        <v>31007266</v>
      </c>
      <c r="AA23" s="240">
        <v>-131850</v>
      </c>
      <c r="AB23" s="240"/>
      <c r="AC23" s="240">
        <f>SUM(Q23:AB23)</f>
        <v>1368831768.3</v>
      </c>
      <c r="AD23" s="190">
        <f>_xlfn.IFERROR(AC23/(SUMIF(Q23:AB23,"&gt;0",Q22:AB22))," ")</f>
        <v>1.0101660278040019</v>
      </c>
      <c r="AE23" s="4"/>
      <c r="AF23" s="298"/>
      <c r="AG23" s="324"/>
      <c r="AH23" s="320">
        <f>+O23+'Metas 2 Representacion juridica'!O23+'Metas 4 Ruta integral'!O23+'Meta5 Seguimiento RutaIntegral'!O23+'Meta 6 URI'!O23+'Meta 7 Ini_Regulatoria'!O23</f>
        <v>428193588.15</v>
      </c>
      <c r="AI23" s="726">
        <f>+AC23+'Metas 2 Representacion juridica'!AC23+'Metas 4 Ruta integral'!AC23+'Meta5 Seguimiento RutaIntegral'!AC23+'Meta 6 URI'!AC23+'Meta 7 Ini_Regulatoria'!AC23</f>
        <v>9289543927.7569</v>
      </c>
      <c r="AJ23" s="321"/>
      <c r="AK23" s="321"/>
    </row>
    <row r="24" spans="1:37" s="325" customFormat="1" ht="32.25" customHeight="1">
      <c r="A24" s="487" t="s">
        <v>380</v>
      </c>
      <c r="B24" s="488"/>
      <c r="C24" s="183">
        <v>3476029</v>
      </c>
      <c r="D24" s="182">
        <v>5363818</v>
      </c>
      <c r="E24" s="182">
        <v>4140868</v>
      </c>
      <c r="F24" s="182">
        <v>1998856</v>
      </c>
      <c r="G24" s="182">
        <f>21353546-21353546</f>
        <v>0</v>
      </c>
      <c r="H24" s="182"/>
      <c r="I24" s="182"/>
      <c r="J24" s="182"/>
      <c r="K24" s="182"/>
      <c r="L24" s="182"/>
      <c r="M24" s="182"/>
      <c r="N24" s="182"/>
      <c r="O24" s="240">
        <f>SUM(C24:N24)</f>
        <v>14979571</v>
      </c>
      <c r="P24" s="186"/>
      <c r="Q24" s="183"/>
      <c r="R24" s="182">
        <v>4886725</v>
      </c>
      <c r="S24" s="182">
        <v>125872930</v>
      </c>
      <c r="T24" s="182">
        <f>167654567+906</f>
        <v>167655473</v>
      </c>
      <c r="U24" s="182">
        <v>127590761</v>
      </c>
      <c r="V24" s="182">
        <v>127590761</v>
      </c>
      <c r="W24" s="182">
        <v>127590761</v>
      </c>
      <c r="X24" s="182">
        <f>127590761</f>
        <v>127590761</v>
      </c>
      <c r="Y24" s="182">
        <v>126272261</v>
      </c>
      <c r="Z24" s="182">
        <f>126272261+1318500</f>
        <v>127590761</v>
      </c>
      <c r="AA24" s="182">
        <f>126272261</f>
        <v>126272261</v>
      </c>
      <c r="AB24" s="182">
        <f>184400694+23468875+15994011-32933431-3995604</f>
        <v>186934545</v>
      </c>
      <c r="AC24" s="240">
        <f>SUM(Q24:AB24)</f>
        <v>1375848000</v>
      </c>
      <c r="AD24" s="282"/>
      <c r="AE24" s="4"/>
      <c r="AF24" s="298"/>
      <c r="AG24" s="324"/>
      <c r="AH24" s="320">
        <f>+O24+'Metas 2 Representacion juridica'!O24+'Metas 4 Ruta integral'!O24+'Meta5 Seguimiento RutaIntegral'!O24+'Meta 6 URI'!O24+'Meta 7 Ini_Regulatoria'!O24</f>
        <v>428193588.65</v>
      </c>
      <c r="AI24" s="321">
        <f>+AC24+'Metas 2 Representacion juridica'!AC24+'Metas 4 Ruta integral'!AC24+'Meta5 Seguimiento RutaIntegral'!AC24+'Meta 6 URI'!AC24+'Meta 7 Ini_Regulatoria'!AC24</f>
        <v>9388891000</v>
      </c>
      <c r="AJ24" s="321"/>
      <c r="AK24" s="321"/>
    </row>
    <row r="25" spans="1:37" s="325" customFormat="1" ht="32.25" customHeight="1" thickBot="1">
      <c r="A25" s="489" t="s">
        <v>381</v>
      </c>
      <c r="B25" s="490"/>
      <c r="C25" s="184">
        <v>2917918</v>
      </c>
      <c r="D25" s="301">
        <v>5921928.4</v>
      </c>
      <c r="E25" s="301">
        <v>4140868.4</v>
      </c>
      <c r="F25" s="301"/>
      <c r="G25" s="301">
        <f>1998856</f>
        <v>1998856</v>
      </c>
      <c r="H25" s="301"/>
      <c r="I25" s="301"/>
      <c r="J25" s="301"/>
      <c r="K25" s="301"/>
      <c r="L25" s="301"/>
      <c r="M25" s="301"/>
      <c r="N25" s="301"/>
      <c r="O25" s="293">
        <f>SUM(C25:N25)</f>
        <v>14979570.8</v>
      </c>
      <c r="P25" s="299">
        <f>_xlfn.IFERROR(O25/(SUMIF(C25:N25,"&gt;0",C24:N24))," ")</f>
        <v>1.1539865716179734</v>
      </c>
      <c r="Q25" s="184"/>
      <c r="R25" s="301">
        <v>6802902</v>
      </c>
      <c r="S25" s="301">
        <v>90427511.02</v>
      </c>
      <c r="T25" s="301">
        <v>112334487</v>
      </c>
      <c r="U25" s="301">
        <v>114461437.5</v>
      </c>
      <c r="V25" s="301">
        <v>125064970.5</v>
      </c>
      <c r="W25" s="301">
        <v>159435042.37</v>
      </c>
      <c r="X25" s="301">
        <v>124026503</v>
      </c>
      <c r="Y25" s="301">
        <v>123075320</v>
      </c>
      <c r="Z25" s="301">
        <v>124981720</v>
      </c>
      <c r="AA25" s="301">
        <v>124129135</v>
      </c>
      <c r="AB25" s="301"/>
      <c r="AC25" s="293">
        <f>SUM(Q25:AB25)</f>
        <v>1104739028.3899999</v>
      </c>
      <c r="AD25" s="191">
        <f>_xlfn.IFERROR(AC25/(SUMIF(Q25:AB25,"&gt;0",Q24:AB24))," ")</f>
        <v>0.9292005433566229</v>
      </c>
      <c r="AE25" s="4"/>
      <c r="AF25" s="298"/>
      <c r="AG25" s="324"/>
      <c r="AH25" s="320">
        <f>+O25+'Metas 2 Representacion juridica'!O25+'Metas 4 Ruta integral'!O25+'Meta5 Seguimiento RutaIntegral'!O25+'Meta 6 URI'!O25+'Meta 7 Ini_Regulatoria'!O25</f>
        <v>428193588.2</v>
      </c>
      <c r="AI25" s="726">
        <f>+AC25+'Metas 2 Representacion juridica'!AC25+'Metas 4 Ruta integral'!AC25+'Meta5 Seguimiento RutaIntegral'!AC25+'Meta 6 URI'!AC25+'Meta 7 Ini_Regulatoria'!AC25</f>
        <v>7576481371.789999</v>
      </c>
      <c r="AJ25" s="321"/>
      <c r="AK25" s="321"/>
    </row>
    <row r="26" spans="1:37"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c r="AF26" s="97"/>
      <c r="AG26" s="97"/>
      <c r="AH26" s="320"/>
      <c r="AI26" s="321"/>
      <c r="AJ26" s="321"/>
      <c r="AK26" s="321"/>
    </row>
    <row r="27" spans="1:37" ht="33.75" customHeight="1">
      <c r="A27" s="406" t="s">
        <v>76</v>
      </c>
      <c r="B27" s="407"/>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9"/>
      <c r="AH27" s="320"/>
      <c r="AI27" s="320"/>
      <c r="AJ27" s="321"/>
      <c r="AK27" s="321"/>
    </row>
    <row r="28" spans="1:37"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c r="AH28" s="323"/>
      <c r="AI28" s="322"/>
      <c r="AJ28" s="322"/>
      <c r="AK28" s="322"/>
    </row>
    <row r="29" spans="1:36" ht="27" customHeight="1">
      <c r="A29" s="495"/>
      <c r="B29" s="443"/>
      <c r="C29" s="445"/>
      <c r="D29" s="167" t="s">
        <v>39</v>
      </c>
      <c r="E29" s="167" t="s">
        <v>40</v>
      </c>
      <c r="F29" s="167" t="s">
        <v>41</v>
      </c>
      <c r="G29" s="167" t="s">
        <v>42</v>
      </c>
      <c r="H29" s="167" t="s">
        <v>43</v>
      </c>
      <c r="I29" s="167" t="s">
        <v>44</v>
      </c>
      <c r="J29" s="167" t="s">
        <v>45</v>
      </c>
      <c r="K29" s="167" t="s">
        <v>46</v>
      </c>
      <c r="L29" s="167" t="s">
        <v>47</v>
      </c>
      <c r="M29" s="167" t="s">
        <v>48</v>
      </c>
      <c r="N29" s="167" t="s">
        <v>49</v>
      </c>
      <c r="O29" s="167" t="s">
        <v>50</v>
      </c>
      <c r="P29" s="425"/>
      <c r="Q29" s="426"/>
      <c r="R29" s="426"/>
      <c r="S29" s="426"/>
      <c r="T29" s="426"/>
      <c r="U29" s="426"/>
      <c r="V29" s="426"/>
      <c r="W29" s="426"/>
      <c r="X29" s="426"/>
      <c r="Y29" s="426"/>
      <c r="Z29" s="426"/>
      <c r="AA29" s="426"/>
      <c r="AB29" s="426"/>
      <c r="AC29" s="426"/>
      <c r="AD29" s="427"/>
      <c r="AJ29" s="319"/>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368" t="s">
        <v>292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41" ht="23.25" customHeight="1">
      <c r="A32" s="441" t="s">
        <v>190</v>
      </c>
      <c r="B32" s="426" t="s">
        <v>62</v>
      </c>
      <c r="C32" s="426" t="s">
        <v>6</v>
      </c>
      <c r="D32" s="426" t="s">
        <v>60</v>
      </c>
      <c r="E32" s="426"/>
      <c r="F32" s="426"/>
      <c r="G32" s="426"/>
      <c r="H32" s="426"/>
      <c r="I32" s="426"/>
      <c r="J32" s="426"/>
      <c r="K32" s="426"/>
      <c r="L32" s="426"/>
      <c r="M32" s="426"/>
      <c r="N32" s="426"/>
      <c r="O32" s="426"/>
      <c r="P32" s="426"/>
      <c r="Q32" s="426" t="s">
        <v>85</v>
      </c>
      <c r="R32" s="426"/>
      <c r="S32" s="426"/>
      <c r="T32" s="426"/>
      <c r="U32" s="426"/>
      <c r="V32" s="426"/>
      <c r="W32" s="426"/>
      <c r="X32" s="426"/>
      <c r="Y32" s="426"/>
      <c r="Z32" s="426"/>
      <c r="AA32" s="426"/>
      <c r="AB32" s="426"/>
      <c r="AC32" s="426"/>
      <c r="AD32" s="427"/>
      <c r="AG32" s="90"/>
      <c r="AH32" s="90"/>
      <c r="AI32" s="90"/>
      <c r="AJ32" s="90"/>
      <c r="AK32" s="90"/>
      <c r="AL32" s="90"/>
      <c r="AM32" s="90"/>
      <c r="AN32" s="90"/>
      <c r="AO32" s="90"/>
    </row>
    <row r="33" spans="1:41" ht="27" customHeight="1">
      <c r="A33" s="441"/>
      <c r="B33" s="426"/>
      <c r="C33" s="442"/>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426" t="s">
        <v>402</v>
      </c>
      <c r="R33" s="426"/>
      <c r="S33" s="426"/>
      <c r="T33" s="426" t="s">
        <v>403</v>
      </c>
      <c r="U33" s="426"/>
      <c r="V33" s="426"/>
      <c r="W33" s="443" t="s">
        <v>81</v>
      </c>
      <c r="X33" s="444"/>
      <c r="Y33" s="444"/>
      <c r="Z33" s="445"/>
      <c r="AA33" s="443" t="s">
        <v>82</v>
      </c>
      <c r="AB33" s="444"/>
      <c r="AC33" s="444"/>
      <c r="AD33" s="446"/>
      <c r="AG33" s="90"/>
      <c r="AH33" s="90"/>
      <c r="AI33" s="90"/>
      <c r="AJ33" s="90"/>
      <c r="AK33" s="90"/>
      <c r="AL33" s="90"/>
      <c r="AM33" s="90"/>
      <c r="AN33" s="90"/>
      <c r="AO33" s="90"/>
    </row>
    <row r="34" spans="1:41" ht="136.5" customHeight="1">
      <c r="A34" s="453" t="s">
        <v>541</v>
      </c>
      <c r="B34" s="455">
        <v>0.35</v>
      </c>
      <c r="C34" s="93" t="s">
        <v>9</v>
      </c>
      <c r="D34" s="284">
        <v>165</v>
      </c>
      <c r="E34" s="284">
        <v>742</v>
      </c>
      <c r="F34" s="284">
        <v>1106</v>
      </c>
      <c r="G34" s="284">
        <v>855</v>
      </c>
      <c r="H34" s="284">
        <v>1195</v>
      </c>
      <c r="I34" s="284">
        <v>1077</v>
      </c>
      <c r="J34" s="284">
        <v>1044</v>
      </c>
      <c r="K34" s="284">
        <v>1144</v>
      </c>
      <c r="L34" s="284">
        <v>1050</v>
      </c>
      <c r="M34" s="284">
        <v>1022</v>
      </c>
      <c r="N34" s="284">
        <v>1000</v>
      </c>
      <c r="O34" s="284">
        <v>1000</v>
      </c>
      <c r="P34" s="213">
        <f>SUM(D34:O34)</f>
        <v>11400</v>
      </c>
      <c r="Q34" s="465" t="s">
        <v>592</v>
      </c>
      <c r="R34" s="466"/>
      <c r="S34" s="467"/>
      <c r="T34" s="457" t="s">
        <v>601</v>
      </c>
      <c r="U34" s="458"/>
      <c r="V34" s="459"/>
      <c r="W34" s="457" t="s">
        <v>530</v>
      </c>
      <c r="X34" s="458"/>
      <c r="Y34" s="458"/>
      <c r="Z34" s="459"/>
      <c r="AA34" s="457" t="s">
        <v>525</v>
      </c>
      <c r="AB34" s="458"/>
      <c r="AC34" s="458"/>
      <c r="AD34" s="463"/>
      <c r="AG34" s="90"/>
      <c r="AH34" s="90"/>
      <c r="AI34" s="90"/>
      <c r="AJ34" s="90"/>
      <c r="AK34" s="90"/>
      <c r="AL34" s="90"/>
      <c r="AM34" s="90"/>
      <c r="AN34" s="90"/>
      <c r="AO34" s="90"/>
    </row>
    <row r="35" spans="1:41" ht="215.25" customHeight="1" thickBot="1">
      <c r="A35" s="454"/>
      <c r="B35" s="456"/>
      <c r="C35" s="94" t="s">
        <v>10</v>
      </c>
      <c r="D35" s="243">
        <v>165</v>
      </c>
      <c r="E35" s="243">
        <v>742</v>
      </c>
      <c r="F35" s="243">
        <v>1106</v>
      </c>
      <c r="G35" s="242">
        <v>855</v>
      </c>
      <c r="H35" s="242">
        <f>1058+137</f>
        <v>1195</v>
      </c>
      <c r="I35" s="242">
        <v>1077</v>
      </c>
      <c r="J35" s="242">
        <v>1044</v>
      </c>
      <c r="K35" s="242">
        <v>1144</v>
      </c>
      <c r="L35" s="242">
        <v>1050</v>
      </c>
      <c r="M35" s="242">
        <v>1160</v>
      </c>
      <c r="N35" s="242">
        <v>936</v>
      </c>
      <c r="O35" s="242"/>
      <c r="P35" s="242">
        <f>SUM(D35:O35)</f>
        <v>10474</v>
      </c>
      <c r="Q35" s="468"/>
      <c r="R35" s="469"/>
      <c r="S35" s="470"/>
      <c r="T35" s="460"/>
      <c r="U35" s="461"/>
      <c r="V35" s="462"/>
      <c r="W35" s="460"/>
      <c r="X35" s="461"/>
      <c r="Y35" s="461"/>
      <c r="Z35" s="462"/>
      <c r="AA35" s="460"/>
      <c r="AB35" s="461"/>
      <c r="AC35" s="461"/>
      <c r="AD35" s="464"/>
      <c r="AE35" s="50"/>
      <c r="AF35" s="97"/>
      <c r="AG35" s="90"/>
      <c r="AH35" s="90"/>
      <c r="AI35" s="90"/>
      <c r="AJ35" s="90"/>
      <c r="AK35" s="90"/>
      <c r="AL35" s="90"/>
      <c r="AM35" s="90"/>
      <c r="AN35" s="90"/>
      <c r="AO35" s="90"/>
    </row>
    <row r="36" spans="1:41"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G36" s="90"/>
      <c r="AH36" s="90"/>
      <c r="AI36" s="90"/>
      <c r="AJ36" s="90"/>
      <c r="AK36" s="90"/>
      <c r="AL36" s="90"/>
      <c r="AM36" s="90"/>
      <c r="AN36" s="90"/>
      <c r="AO36" s="90"/>
    </row>
    <row r="37" spans="1:41" ht="26.25" customHeight="1">
      <c r="A37" s="441"/>
      <c r="B37" s="477"/>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23" t="s">
        <v>83</v>
      </c>
      <c r="R37" s="424"/>
      <c r="S37" s="424"/>
      <c r="T37" s="424"/>
      <c r="U37" s="424"/>
      <c r="V37" s="424"/>
      <c r="W37" s="424"/>
      <c r="X37" s="424"/>
      <c r="Y37" s="424"/>
      <c r="Z37" s="424"/>
      <c r="AA37" s="424"/>
      <c r="AB37" s="424"/>
      <c r="AC37" s="424"/>
      <c r="AD37" s="482"/>
      <c r="AG37" s="98"/>
      <c r="AH37" s="98"/>
      <c r="AI37" s="98"/>
      <c r="AJ37" s="98"/>
      <c r="AK37" s="98"/>
      <c r="AL37" s="98"/>
      <c r="AM37" s="98"/>
      <c r="AN37" s="98"/>
      <c r="AO37" s="98"/>
    </row>
    <row r="38" spans="1:41" ht="81.75" customHeight="1">
      <c r="A38" s="483" t="s">
        <v>425</v>
      </c>
      <c r="B38" s="473">
        <v>0.13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47" t="s">
        <v>577</v>
      </c>
      <c r="R38" s="448"/>
      <c r="S38" s="448"/>
      <c r="T38" s="448"/>
      <c r="U38" s="448"/>
      <c r="V38" s="448"/>
      <c r="W38" s="448"/>
      <c r="X38" s="448"/>
      <c r="Y38" s="448"/>
      <c r="Z38" s="448"/>
      <c r="AA38" s="448"/>
      <c r="AB38" s="448"/>
      <c r="AC38" s="448"/>
      <c r="AD38" s="449"/>
      <c r="AE38" s="101"/>
      <c r="AG38" s="102"/>
      <c r="AH38" s="102"/>
      <c r="AI38" s="102"/>
      <c r="AJ38" s="102"/>
      <c r="AK38" s="102"/>
      <c r="AL38" s="102"/>
      <c r="AM38" s="102"/>
      <c r="AN38" s="102"/>
      <c r="AO38" s="102"/>
    </row>
    <row r="39" spans="1:31" ht="81.75" customHeight="1">
      <c r="A39" s="484"/>
      <c r="B39" s="491"/>
      <c r="C39" s="103" t="s">
        <v>10</v>
      </c>
      <c r="D39" s="104">
        <v>0.04</v>
      </c>
      <c r="E39" s="104">
        <v>0.08</v>
      </c>
      <c r="F39" s="104">
        <v>0.08</v>
      </c>
      <c r="G39" s="104">
        <v>0.12</v>
      </c>
      <c r="H39" s="104">
        <v>0.08</v>
      </c>
      <c r="I39" s="104">
        <v>0.08</v>
      </c>
      <c r="J39" s="104">
        <v>0.08</v>
      </c>
      <c r="K39" s="104">
        <v>0.09</v>
      </c>
      <c r="L39" s="104">
        <v>0.09</v>
      </c>
      <c r="M39" s="104">
        <v>0.09</v>
      </c>
      <c r="N39" s="104">
        <v>0.09</v>
      </c>
      <c r="O39" s="104"/>
      <c r="P39" s="105">
        <f t="shared" si="0"/>
        <v>0.9199999999999999</v>
      </c>
      <c r="Q39" s="450"/>
      <c r="R39" s="451"/>
      <c r="S39" s="451"/>
      <c r="T39" s="451"/>
      <c r="U39" s="451"/>
      <c r="V39" s="451"/>
      <c r="W39" s="451"/>
      <c r="X39" s="451"/>
      <c r="Y39" s="451"/>
      <c r="Z39" s="451"/>
      <c r="AA39" s="451"/>
      <c r="AB39" s="451"/>
      <c r="AC39" s="451"/>
      <c r="AD39" s="452"/>
      <c r="AE39" s="101"/>
    </row>
    <row r="40" spans="1:31" ht="69" customHeight="1">
      <c r="A40" s="484" t="s">
        <v>426</v>
      </c>
      <c r="B40" s="473">
        <v>0.13</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47" t="s">
        <v>582</v>
      </c>
      <c r="R40" s="448"/>
      <c r="S40" s="448"/>
      <c r="T40" s="448"/>
      <c r="U40" s="448"/>
      <c r="V40" s="448"/>
      <c r="W40" s="448"/>
      <c r="X40" s="448"/>
      <c r="Y40" s="448"/>
      <c r="Z40" s="448"/>
      <c r="AA40" s="448"/>
      <c r="AB40" s="448"/>
      <c r="AC40" s="448"/>
      <c r="AD40" s="449"/>
      <c r="AE40" s="101"/>
    </row>
    <row r="41" spans="1:31" ht="62.25" customHeight="1">
      <c r="A41" s="484"/>
      <c r="B41" s="491"/>
      <c r="C41" s="103" t="s">
        <v>10</v>
      </c>
      <c r="D41" s="104">
        <v>0.04</v>
      </c>
      <c r="E41" s="104">
        <v>0.08</v>
      </c>
      <c r="F41" s="104">
        <v>0.08</v>
      </c>
      <c r="G41" s="104">
        <v>0.12</v>
      </c>
      <c r="H41" s="104">
        <v>0.08</v>
      </c>
      <c r="I41" s="104">
        <v>0.08</v>
      </c>
      <c r="J41" s="104">
        <v>0.08</v>
      </c>
      <c r="K41" s="104">
        <v>0.09</v>
      </c>
      <c r="L41" s="104">
        <v>0.09</v>
      </c>
      <c r="M41" s="104">
        <v>0.09</v>
      </c>
      <c r="N41" s="104">
        <v>0.09</v>
      </c>
      <c r="O41" s="108"/>
      <c r="P41" s="105">
        <f t="shared" si="0"/>
        <v>0.9199999999999999</v>
      </c>
      <c r="Q41" s="450"/>
      <c r="R41" s="451"/>
      <c r="S41" s="451"/>
      <c r="T41" s="451"/>
      <c r="U41" s="451"/>
      <c r="V41" s="451"/>
      <c r="W41" s="451"/>
      <c r="X41" s="451"/>
      <c r="Y41" s="451"/>
      <c r="Z41" s="451"/>
      <c r="AA41" s="451"/>
      <c r="AB41" s="451"/>
      <c r="AC41" s="451"/>
      <c r="AD41" s="452"/>
      <c r="AE41" s="101"/>
    </row>
    <row r="42" spans="1:31" ht="36" customHeight="1">
      <c r="A42" s="471" t="s">
        <v>427</v>
      </c>
      <c r="B42" s="473">
        <v>0.09</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47" t="s">
        <v>602</v>
      </c>
      <c r="R42" s="448"/>
      <c r="S42" s="448"/>
      <c r="T42" s="448"/>
      <c r="U42" s="448"/>
      <c r="V42" s="448"/>
      <c r="W42" s="448"/>
      <c r="X42" s="448"/>
      <c r="Y42" s="448"/>
      <c r="Z42" s="448"/>
      <c r="AA42" s="448"/>
      <c r="AB42" s="448"/>
      <c r="AC42" s="448"/>
      <c r="AD42" s="449"/>
      <c r="AE42" s="101"/>
    </row>
    <row r="43" spans="1:31" ht="54.75" customHeight="1" thickBot="1">
      <c r="A43" s="472"/>
      <c r="B43" s="474"/>
      <c r="C43" s="94" t="s">
        <v>10</v>
      </c>
      <c r="D43" s="110">
        <v>0.08</v>
      </c>
      <c r="E43" s="110">
        <v>0.08</v>
      </c>
      <c r="F43" s="110">
        <v>0.08</v>
      </c>
      <c r="G43" s="235">
        <v>0.08</v>
      </c>
      <c r="H43" s="110">
        <v>0.08</v>
      </c>
      <c r="I43" s="110">
        <v>0.08</v>
      </c>
      <c r="J43" s="110">
        <v>0.08</v>
      </c>
      <c r="K43" s="110">
        <v>0.09</v>
      </c>
      <c r="L43" s="110">
        <v>0.09</v>
      </c>
      <c r="M43" s="110">
        <v>0.09</v>
      </c>
      <c r="N43" s="110">
        <v>0.09</v>
      </c>
      <c r="O43" s="111"/>
      <c r="P43" s="112">
        <f t="shared" si="0"/>
        <v>0.9199999999999999</v>
      </c>
      <c r="Q43" s="538"/>
      <c r="R43" s="539"/>
      <c r="S43" s="539"/>
      <c r="T43" s="539"/>
      <c r="U43" s="539"/>
      <c r="V43" s="539"/>
      <c r="W43" s="539"/>
      <c r="X43" s="539"/>
      <c r="Y43" s="539"/>
      <c r="Z43" s="539"/>
      <c r="AA43" s="539"/>
      <c r="AB43" s="539"/>
      <c r="AC43" s="539"/>
      <c r="AD43" s="540"/>
      <c r="AE43" s="101"/>
    </row>
    <row r="44" ht="15">
      <c r="A44" s="52" t="s">
        <v>294</v>
      </c>
    </row>
  </sheetData>
  <sheetProtection/>
  <mergeCells count="79">
    <mergeCell ref="A22:B22"/>
    <mergeCell ref="A23:B23"/>
    <mergeCell ref="A24:B24"/>
    <mergeCell ref="A25:B25"/>
    <mergeCell ref="A40:A41"/>
    <mergeCell ref="B40:B41"/>
    <mergeCell ref="B38:B39"/>
    <mergeCell ref="B30:C30"/>
    <mergeCell ref="A28:A29"/>
    <mergeCell ref="B28:C29"/>
    <mergeCell ref="Q40:AD41"/>
    <mergeCell ref="A42:A43"/>
    <mergeCell ref="B42:B43"/>
    <mergeCell ref="Q42:AD43"/>
    <mergeCell ref="A36:A37"/>
    <mergeCell ref="B36:B37"/>
    <mergeCell ref="C36:P36"/>
    <mergeCell ref="Q36:AD36"/>
    <mergeCell ref="Q37:AD37"/>
    <mergeCell ref="A38:A39"/>
    <mergeCell ref="Q38:AD39"/>
    <mergeCell ref="A34:A35"/>
    <mergeCell ref="B34:B35"/>
    <mergeCell ref="W34:Z35"/>
    <mergeCell ref="AA34:AD35"/>
    <mergeCell ref="Q33:S33"/>
    <mergeCell ref="T33:V33"/>
    <mergeCell ref="Q34:S35"/>
    <mergeCell ref="T34:V35"/>
    <mergeCell ref="C20:P20"/>
    <mergeCell ref="Q30:AD30"/>
    <mergeCell ref="A31:AD31"/>
    <mergeCell ref="A32:A33"/>
    <mergeCell ref="B32:B33"/>
    <mergeCell ref="C32:C33"/>
    <mergeCell ref="D32:P32"/>
    <mergeCell ref="Q32:AD32"/>
    <mergeCell ref="W33:Z33"/>
    <mergeCell ref="AA33:AD33"/>
    <mergeCell ref="A7:B9"/>
    <mergeCell ref="D28:O28"/>
    <mergeCell ref="P28:P29"/>
    <mergeCell ref="Q28:AD29"/>
    <mergeCell ref="R15:X15"/>
    <mergeCell ref="Y15:Z15"/>
    <mergeCell ref="W17:X17"/>
    <mergeCell ref="Y17:AB17"/>
    <mergeCell ref="A19:AD19"/>
    <mergeCell ref="Q20:AD20"/>
    <mergeCell ref="O8:P8"/>
    <mergeCell ref="A15:B15"/>
    <mergeCell ref="M9:N9"/>
    <mergeCell ref="O9:P9"/>
    <mergeCell ref="M7:N7"/>
    <mergeCell ref="A27:AD27"/>
    <mergeCell ref="AA15:AD15"/>
    <mergeCell ref="C16:AB16"/>
    <mergeCell ref="A17:B17"/>
    <mergeCell ref="C17:Q17"/>
    <mergeCell ref="C15:K15"/>
    <mergeCell ref="B3:AA4"/>
    <mergeCell ref="AB3:AD3"/>
    <mergeCell ref="AB4:AD4"/>
    <mergeCell ref="A11:B13"/>
    <mergeCell ref="D7:H9"/>
    <mergeCell ref="I7:J9"/>
    <mergeCell ref="K7:L9"/>
    <mergeCell ref="O7:P7"/>
    <mergeCell ref="M8:N8"/>
    <mergeCell ref="AC17:AD17"/>
    <mergeCell ref="C7:C9"/>
    <mergeCell ref="R17:V17"/>
    <mergeCell ref="C11:AD13"/>
    <mergeCell ref="L15:Q15"/>
    <mergeCell ref="A1:A4"/>
    <mergeCell ref="B1:AA1"/>
    <mergeCell ref="AB1:AD1"/>
    <mergeCell ref="B2:AA2"/>
    <mergeCell ref="AB2:AD2"/>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8515625" defaultRowHeight="15"/>
  <cols>
    <col min="1" max="1" width="72.00390625" style="139" bestFit="1" customWidth="1"/>
    <col min="2" max="2" width="73.421875" style="139" customWidth="1"/>
    <col min="3" max="3" width="10.8515625" style="139" customWidth="1"/>
    <col min="4" max="4" width="31.140625" style="139" customWidth="1"/>
    <col min="5" max="5" width="70.140625" style="139" customWidth="1"/>
    <col min="6" max="6" width="17.28125" style="139" customWidth="1"/>
    <col min="7" max="8" width="21.8515625" style="139" customWidth="1"/>
    <col min="9" max="9" width="19.28125" style="139" customWidth="1"/>
    <col min="10" max="10" width="42.00390625" style="139" customWidth="1"/>
    <col min="11" max="16384" width="10.8515625" style="139" customWidth="1"/>
  </cols>
  <sheetData>
    <row r="1" spans="1:2" ht="25.5" customHeight="1">
      <c r="A1" s="708" t="s">
        <v>195</v>
      </c>
      <c r="B1" s="709"/>
    </row>
    <row r="2" spans="1:2" ht="25.5" customHeight="1">
      <c r="A2" s="710" t="s">
        <v>400</v>
      </c>
      <c r="B2" s="711"/>
    </row>
    <row r="3" spans="1:2" ht="15">
      <c r="A3" s="202" t="s">
        <v>324</v>
      </c>
      <c r="B3" s="141" t="s">
        <v>325</v>
      </c>
    </row>
    <row r="4" spans="1:2" ht="15">
      <c r="A4" s="203" t="s">
        <v>71</v>
      </c>
      <c r="B4" s="149" t="s">
        <v>357</v>
      </c>
    </row>
    <row r="5" spans="1:2" ht="105">
      <c r="A5" s="203" t="s">
        <v>67</v>
      </c>
      <c r="B5" s="207" t="s">
        <v>417</v>
      </c>
    </row>
    <row r="6" spans="1:2" s="140" customFormat="1" ht="15">
      <c r="A6" s="203" t="s">
        <v>0</v>
      </c>
      <c r="B6" s="712" t="s">
        <v>352</v>
      </c>
    </row>
    <row r="7" spans="1:2" s="140" customFormat="1" ht="15">
      <c r="A7" s="203" t="s">
        <v>77</v>
      </c>
      <c r="B7" s="713"/>
    </row>
    <row r="8" spans="1:2" s="140" customFormat="1" ht="15">
      <c r="A8" s="203" t="s">
        <v>73</v>
      </c>
      <c r="B8" s="713"/>
    </row>
    <row r="9" spans="1:2" s="140" customFormat="1" ht="15">
      <c r="A9" s="203" t="s">
        <v>333</v>
      </c>
      <c r="B9" s="714"/>
    </row>
    <row r="10" spans="1:2" s="140" customFormat="1" ht="30">
      <c r="A10" s="203" t="s">
        <v>293</v>
      </c>
      <c r="B10" s="142" t="s">
        <v>359</v>
      </c>
    </row>
    <row r="11" spans="1:2" s="140" customFormat="1" ht="45">
      <c r="A11" s="203" t="s">
        <v>1</v>
      </c>
      <c r="B11" s="142" t="s">
        <v>375</v>
      </c>
    </row>
    <row r="12" spans="1:2" s="140" customFormat="1" ht="60">
      <c r="A12" s="203" t="s">
        <v>15</v>
      </c>
      <c r="B12" s="143" t="s">
        <v>353</v>
      </c>
    </row>
    <row r="13" spans="1:2" s="140" customFormat="1" ht="30">
      <c r="A13" s="203" t="s">
        <v>331</v>
      </c>
      <c r="B13" s="143" t="s">
        <v>354</v>
      </c>
    </row>
    <row r="14" spans="1:2" s="140" customFormat="1" ht="45">
      <c r="A14" s="203" t="s">
        <v>332</v>
      </c>
      <c r="B14" s="143" t="s">
        <v>360</v>
      </c>
    </row>
    <row r="15" spans="1:2" ht="72" customHeight="1">
      <c r="A15" s="204" t="s">
        <v>329</v>
      </c>
      <c r="B15" s="144" t="s">
        <v>355</v>
      </c>
    </row>
    <row r="16" spans="1:2" ht="194.25">
      <c r="A16" s="204" t="s">
        <v>330</v>
      </c>
      <c r="B16" s="145" t="s">
        <v>356</v>
      </c>
    </row>
    <row r="17" spans="1:2" ht="25.5" customHeight="1">
      <c r="A17" s="710" t="s">
        <v>401</v>
      </c>
      <c r="B17" s="711"/>
    </row>
    <row r="18" spans="1:2" ht="15">
      <c r="A18" s="202" t="s">
        <v>324</v>
      </c>
      <c r="B18" s="141" t="s">
        <v>325</v>
      </c>
    </row>
    <row r="19" spans="1:2" ht="15">
      <c r="A19" s="203" t="s">
        <v>71</v>
      </c>
      <c r="B19" s="149" t="s">
        <v>357</v>
      </c>
    </row>
    <row r="20" spans="1:2" ht="105">
      <c r="A20" s="203" t="s">
        <v>67</v>
      </c>
      <c r="B20" s="148" t="s">
        <v>358</v>
      </c>
    </row>
    <row r="21" spans="1:2" ht="30">
      <c r="A21" s="203" t="s">
        <v>334</v>
      </c>
      <c r="B21" s="143" t="s">
        <v>335</v>
      </c>
    </row>
    <row r="22" spans="1:2" ht="45">
      <c r="A22" s="203" t="s">
        <v>327</v>
      </c>
      <c r="B22" s="143" t="s">
        <v>361</v>
      </c>
    </row>
    <row r="23" spans="1:2" ht="75">
      <c r="A23" s="203" t="s">
        <v>336</v>
      </c>
      <c r="B23" s="143" t="s">
        <v>337</v>
      </c>
    </row>
    <row r="24" spans="1:2" ht="30">
      <c r="A24" s="203" t="s">
        <v>326</v>
      </c>
      <c r="B24" s="146" t="s">
        <v>362</v>
      </c>
    </row>
    <row r="25" spans="1:2" ht="15">
      <c r="A25" s="203" t="s">
        <v>301</v>
      </c>
      <c r="B25" s="146" t="s">
        <v>406</v>
      </c>
    </row>
    <row r="26" spans="1:2" ht="45.75" customHeight="1">
      <c r="A26" s="203" t="s">
        <v>338</v>
      </c>
      <c r="B26" s="147" t="s">
        <v>371</v>
      </c>
    </row>
    <row r="27" spans="1:2" ht="75">
      <c r="A27" s="203" t="s">
        <v>279</v>
      </c>
      <c r="B27" s="147" t="s">
        <v>365</v>
      </c>
    </row>
    <row r="28" spans="1:2" ht="45">
      <c r="A28" s="203" t="s">
        <v>339</v>
      </c>
      <c r="B28" s="147" t="s">
        <v>340</v>
      </c>
    </row>
    <row r="29" spans="1:2" ht="45">
      <c r="A29" s="203" t="s">
        <v>364</v>
      </c>
      <c r="B29" s="147" t="s">
        <v>366</v>
      </c>
    </row>
    <row r="30" spans="1:2" ht="45">
      <c r="A30" s="203" t="s">
        <v>116</v>
      </c>
      <c r="B30" s="147" t="s">
        <v>367</v>
      </c>
    </row>
    <row r="31" spans="1:2" ht="144" customHeight="1">
      <c r="A31" s="203" t="s">
        <v>341</v>
      </c>
      <c r="B31" s="147" t="s">
        <v>368</v>
      </c>
    </row>
    <row r="32" spans="1:2" ht="30">
      <c r="A32" s="203" t="s">
        <v>342</v>
      </c>
      <c r="B32" s="147" t="s">
        <v>345</v>
      </c>
    </row>
    <row r="33" spans="1:2" ht="30">
      <c r="A33" s="203" t="s">
        <v>343</v>
      </c>
      <c r="B33" s="147" t="s">
        <v>344</v>
      </c>
    </row>
    <row r="34" spans="1:2" ht="30">
      <c r="A34" s="203" t="s">
        <v>322</v>
      </c>
      <c r="B34" s="147" t="s">
        <v>369</v>
      </c>
    </row>
    <row r="35" spans="1:2" ht="30">
      <c r="A35" s="203" t="s">
        <v>349</v>
      </c>
      <c r="B35" s="147" t="s">
        <v>346</v>
      </c>
    </row>
    <row r="36" spans="1:2" ht="75">
      <c r="A36" s="203" t="s">
        <v>407</v>
      </c>
      <c r="B36" s="147" t="s">
        <v>409</v>
      </c>
    </row>
    <row r="37" spans="1:2" ht="15">
      <c r="A37" s="203" t="s">
        <v>404</v>
      </c>
      <c r="B37" s="147" t="s">
        <v>411</v>
      </c>
    </row>
    <row r="38" spans="1:2" ht="30">
      <c r="A38" s="203" t="s">
        <v>410</v>
      </c>
      <c r="B38" s="147" t="s">
        <v>412</v>
      </c>
    </row>
    <row r="39" spans="1:2" ht="45">
      <c r="A39" s="203" t="s">
        <v>328</v>
      </c>
      <c r="B39" s="147" t="s">
        <v>347</v>
      </c>
    </row>
    <row r="40" spans="1:2" ht="28.5">
      <c r="A40" s="204" t="s">
        <v>299</v>
      </c>
      <c r="B40" s="147" t="s">
        <v>348</v>
      </c>
    </row>
    <row r="41" spans="1:2" ht="25.5" customHeight="1">
      <c r="A41" s="710" t="s">
        <v>350</v>
      </c>
      <c r="B41" s="711"/>
    </row>
    <row r="42" spans="1:2" ht="15">
      <c r="A42" s="708" t="s">
        <v>351</v>
      </c>
      <c r="B42" s="709"/>
    </row>
    <row r="43" spans="1:2" ht="72" customHeight="1">
      <c r="A43" s="706" t="s">
        <v>397</v>
      </c>
      <c r="B43" s="707"/>
    </row>
    <row r="44" spans="1:2" ht="30">
      <c r="A44" s="203" t="s">
        <v>364</v>
      </c>
      <c r="B44" s="147" t="s">
        <v>414</v>
      </c>
    </row>
    <row r="45" spans="1:2" ht="45">
      <c r="A45" s="204"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715" t="s">
        <v>222</v>
      </c>
      <c r="E27" s="128" t="s">
        <v>223</v>
      </c>
    </row>
    <row r="28" spans="4:5" ht="15">
      <c r="D28" s="716"/>
      <c r="E28" s="128" t="s">
        <v>224</v>
      </c>
    </row>
    <row r="29" spans="4:5" ht="15">
      <c r="D29" s="716"/>
      <c r="E29" s="128" t="s">
        <v>225</v>
      </c>
    </row>
    <row r="30" spans="4:5" ht="15">
      <c r="D30" s="717"/>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22" t="s">
        <v>20</v>
      </c>
      <c r="D1" s="722"/>
      <c r="E1" s="722"/>
      <c r="F1" s="722"/>
      <c r="G1" s="723" t="s">
        <v>22</v>
      </c>
      <c r="H1" s="724"/>
      <c r="I1" s="724"/>
      <c r="J1" s="725"/>
      <c r="K1" s="721" t="s">
        <v>23</v>
      </c>
      <c r="L1" s="721"/>
      <c r="M1" s="721"/>
      <c r="N1" s="721"/>
    </row>
    <row r="2" spans="3:14" ht="15">
      <c r="C2" s="5"/>
      <c r="D2" s="5"/>
      <c r="E2" s="5"/>
      <c r="F2" s="5" t="s">
        <v>21</v>
      </c>
      <c r="G2" s="31"/>
      <c r="H2" s="5"/>
      <c r="I2" s="5"/>
      <c r="J2" s="32" t="s">
        <v>21</v>
      </c>
      <c r="K2" s="5"/>
      <c r="L2" s="5"/>
      <c r="M2" s="5"/>
      <c r="N2" s="5" t="s">
        <v>21</v>
      </c>
    </row>
    <row r="3" spans="1:14" ht="15">
      <c r="A3" s="718"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18"/>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18"/>
      <c r="B5" s="6">
        <v>3</v>
      </c>
      <c r="C5" s="7">
        <v>0.05</v>
      </c>
      <c r="D5" s="7">
        <v>0.05</v>
      </c>
      <c r="E5" s="7">
        <v>0.1</v>
      </c>
      <c r="F5" s="8">
        <f>(C5+D5+E5)</f>
        <v>0.2</v>
      </c>
      <c r="G5" s="33">
        <v>0.1</v>
      </c>
      <c r="H5" s="7">
        <v>0.1</v>
      </c>
      <c r="I5" s="7">
        <v>0.1</v>
      </c>
      <c r="J5" s="34">
        <f>(G5+H5+I5)</f>
        <v>0.30000000000000004</v>
      </c>
      <c r="K5" s="25"/>
      <c r="L5" s="6"/>
      <c r="M5" s="6"/>
      <c r="N5" s="6"/>
    </row>
    <row r="6" spans="1:14" ht="15">
      <c r="A6" s="718"/>
      <c r="B6" s="6">
        <v>4</v>
      </c>
      <c r="C6" s="7">
        <v>0.1</v>
      </c>
      <c r="D6" s="7">
        <v>0.1</v>
      </c>
      <c r="E6" s="7">
        <v>0.2</v>
      </c>
      <c r="F6" s="8">
        <f>(C6+D6+E6)</f>
        <v>0.4</v>
      </c>
      <c r="G6" s="33">
        <v>0</v>
      </c>
      <c r="H6" s="7">
        <v>0</v>
      </c>
      <c r="I6" s="7">
        <v>0.1</v>
      </c>
      <c r="J6" s="34">
        <f>(G6+H6+I6)</f>
        <v>0.1</v>
      </c>
      <c r="K6" s="25"/>
      <c r="L6" s="6"/>
      <c r="M6" s="6"/>
      <c r="N6" s="6"/>
    </row>
    <row r="7" spans="1:14" ht="15">
      <c r="A7" s="718"/>
      <c r="B7" s="6">
        <v>5</v>
      </c>
      <c r="C7" s="7">
        <v>0</v>
      </c>
      <c r="D7" s="7">
        <v>0</v>
      </c>
      <c r="E7" s="7">
        <v>0</v>
      </c>
      <c r="F7" s="8">
        <f>(C7+D7+E7)</f>
        <v>0</v>
      </c>
      <c r="G7" s="33">
        <v>0</v>
      </c>
      <c r="H7" s="7">
        <v>0</v>
      </c>
      <c r="I7" s="7">
        <v>0</v>
      </c>
      <c r="J7" s="34">
        <f>(G7+H7+I7)</f>
        <v>0</v>
      </c>
      <c r="K7" s="25"/>
      <c r="L7" s="6"/>
      <c r="M7" s="6"/>
      <c r="N7" s="6"/>
    </row>
    <row r="8" spans="1:14" ht="15">
      <c r="A8" s="718" t="s">
        <v>25</v>
      </c>
      <c r="B8" s="10">
        <v>6</v>
      </c>
      <c r="C8" s="11">
        <v>0.1</v>
      </c>
      <c r="D8" s="11">
        <v>0.1</v>
      </c>
      <c r="E8" s="11">
        <v>0.1</v>
      </c>
      <c r="F8" s="12">
        <f>C8+D8+E8</f>
        <v>0.30000000000000004</v>
      </c>
      <c r="G8" s="35"/>
      <c r="H8" s="10"/>
      <c r="I8" s="10"/>
      <c r="J8" s="36"/>
      <c r="K8" s="26"/>
      <c r="L8" s="10"/>
      <c r="M8" s="10"/>
      <c r="N8" s="10"/>
    </row>
    <row r="9" spans="1:14" ht="15">
      <c r="A9" s="718"/>
      <c r="B9" s="10">
        <v>7</v>
      </c>
      <c r="C9" s="10"/>
      <c r="D9" s="10"/>
      <c r="E9" s="10"/>
      <c r="F9" s="20"/>
      <c r="G9" s="37"/>
      <c r="H9" s="10"/>
      <c r="I9" s="10"/>
      <c r="J9" s="36"/>
      <c r="K9" s="26"/>
      <c r="L9" s="10"/>
      <c r="M9" s="10"/>
      <c r="N9" s="10"/>
    </row>
    <row r="10" spans="1:14" ht="15">
      <c r="A10" s="718"/>
      <c r="B10" s="10">
        <v>8</v>
      </c>
      <c r="C10" s="10"/>
      <c r="D10" s="10"/>
      <c r="E10" s="10"/>
      <c r="F10" s="20"/>
      <c r="G10" s="37"/>
      <c r="H10" s="10"/>
      <c r="I10" s="10"/>
      <c r="J10" s="36"/>
      <c r="K10" s="26"/>
      <c r="L10" s="10"/>
      <c r="M10" s="10"/>
      <c r="N10" s="10"/>
    </row>
    <row r="11" spans="1:14" ht="15">
      <c r="A11" s="718"/>
      <c r="B11" s="10">
        <v>9</v>
      </c>
      <c r="C11" s="10"/>
      <c r="D11" s="10"/>
      <c r="E11" s="10"/>
      <c r="F11" s="20"/>
      <c r="G11" s="37"/>
      <c r="H11" s="10"/>
      <c r="I11" s="10"/>
      <c r="J11" s="36"/>
      <c r="K11" s="26"/>
      <c r="L11" s="10"/>
      <c r="M11" s="10"/>
      <c r="N11" s="10"/>
    </row>
    <row r="12" spans="1:14" ht="15">
      <c r="A12" s="718" t="s">
        <v>26</v>
      </c>
      <c r="B12" s="15">
        <v>10</v>
      </c>
      <c r="C12" s="15"/>
      <c r="D12" s="15"/>
      <c r="E12" s="15"/>
      <c r="F12" s="21"/>
      <c r="G12" s="38"/>
      <c r="H12" s="15"/>
      <c r="I12" s="15"/>
      <c r="J12" s="39"/>
      <c r="K12" s="27"/>
      <c r="L12" s="15"/>
      <c r="M12" s="15"/>
      <c r="N12" s="15"/>
    </row>
    <row r="13" spans="1:14" ht="15">
      <c r="A13" s="718"/>
      <c r="B13" s="15">
        <v>11</v>
      </c>
      <c r="C13" s="15"/>
      <c r="D13" s="15"/>
      <c r="E13" s="15"/>
      <c r="F13" s="21"/>
      <c r="G13" s="38"/>
      <c r="H13" s="15"/>
      <c r="I13" s="15"/>
      <c r="J13" s="39"/>
      <c r="K13" s="27"/>
      <c r="L13" s="15"/>
      <c r="M13" s="15"/>
      <c r="N13" s="15"/>
    </row>
    <row r="14" spans="1:14" ht="15">
      <c r="A14" s="718"/>
      <c r="B14" s="15">
        <v>12</v>
      </c>
      <c r="C14" s="15"/>
      <c r="D14" s="15"/>
      <c r="E14" s="15"/>
      <c r="F14" s="21"/>
      <c r="G14" s="38"/>
      <c r="H14" s="15"/>
      <c r="I14" s="15"/>
      <c r="J14" s="39"/>
      <c r="K14" s="27"/>
      <c r="L14" s="15"/>
      <c r="M14" s="15"/>
      <c r="N14" s="15"/>
    </row>
    <row r="15" spans="1:14" ht="15">
      <c r="A15" s="718"/>
      <c r="B15" s="15">
        <v>13</v>
      </c>
      <c r="C15" s="15"/>
      <c r="D15" s="15"/>
      <c r="E15" s="15"/>
      <c r="F15" s="21"/>
      <c r="G15" s="38"/>
      <c r="H15" s="15"/>
      <c r="I15" s="15"/>
      <c r="J15" s="39"/>
      <c r="K15" s="27"/>
      <c r="L15" s="15"/>
      <c r="M15" s="15"/>
      <c r="N15" s="15"/>
    </row>
    <row r="16" spans="1:14" ht="15">
      <c r="A16" s="718" t="s">
        <v>27</v>
      </c>
      <c r="B16" s="16">
        <v>14</v>
      </c>
      <c r="C16" s="16"/>
      <c r="D16" s="16"/>
      <c r="E16" s="16"/>
      <c r="F16" s="22"/>
      <c r="G16" s="40"/>
      <c r="H16" s="16"/>
      <c r="I16" s="16"/>
      <c r="J16" s="41"/>
      <c r="K16" s="28"/>
      <c r="L16" s="16"/>
      <c r="M16" s="16"/>
      <c r="N16" s="16"/>
    </row>
    <row r="17" spans="1:14" ht="15">
      <c r="A17" s="718"/>
      <c r="B17" s="16">
        <v>15</v>
      </c>
      <c r="C17" s="16"/>
      <c r="D17" s="16"/>
      <c r="E17" s="16"/>
      <c r="F17" s="22"/>
      <c r="G17" s="40"/>
      <c r="H17" s="16"/>
      <c r="I17" s="16"/>
      <c r="J17" s="41"/>
      <c r="K17" s="28"/>
      <c r="L17" s="16"/>
      <c r="M17" s="16"/>
      <c r="N17" s="16"/>
    </row>
    <row r="18" spans="1:14" ht="15">
      <c r="A18" s="718"/>
      <c r="B18" s="16">
        <v>16</v>
      </c>
      <c r="C18" s="16"/>
      <c r="D18" s="16"/>
      <c r="E18" s="16"/>
      <c r="F18" s="22"/>
      <c r="G18" s="40"/>
      <c r="H18" s="16"/>
      <c r="I18" s="16"/>
      <c r="J18" s="41"/>
      <c r="K18" s="28"/>
      <c r="L18" s="16"/>
      <c r="M18" s="16"/>
      <c r="N18" s="16"/>
    </row>
    <row r="19" spans="1:14" ht="15">
      <c r="A19" s="718" t="s">
        <v>28</v>
      </c>
      <c r="B19" s="19">
        <v>17</v>
      </c>
      <c r="C19" s="19"/>
      <c r="D19" s="19"/>
      <c r="E19" s="19"/>
      <c r="F19" s="23"/>
      <c r="G19" s="42"/>
      <c r="H19" s="19"/>
      <c r="I19" s="19"/>
      <c r="J19" s="43"/>
      <c r="K19" s="29"/>
      <c r="L19" s="19"/>
      <c r="M19" s="19"/>
      <c r="N19" s="19"/>
    </row>
    <row r="20" spans="1:14" ht="15">
      <c r="A20" s="718"/>
      <c r="B20" s="19">
        <v>18</v>
      </c>
      <c r="C20" s="19"/>
      <c r="D20" s="19"/>
      <c r="E20" s="19"/>
      <c r="F20" s="23"/>
      <c r="G20" s="42"/>
      <c r="H20" s="19"/>
      <c r="I20" s="19"/>
      <c r="J20" s="43"/>
      <c r="K20" s="29"/>
      <c r="L20" s="19"/>
      <c r="M20" s="19"/>
      <c r="N20" s="19"/>
    </row>
    <row r="21" spans="1:14" ht="15">
      <c r="A21" s="718"/>
      <c r="B21" s="19">
        <v>19</v>
      </c>
      <c r="C21" s="19"/>
      <c r="D21" s="19"/>
      <c r="E21" s="19"/>
      <c r="F21" s="23"/>
      <c r="G21" s="42"/>
      <c r="H21" s="19"/>
      <c r="I21" s="19"/>
      <c r="J21" s="43"/>
      <c r="K21" s="29"/>
      <c r="L21" s="19"/>
      <c r="M21" s="19"/>
      <c r="N21" s="19"/>
    </row>
    <row r="22" spans="1:14" ht="15">
      <c r="A22" s="718"/>
      <c r="B22" s="19">
        <v>20</v>
      </c>
      <c r="C22" s="19"/>
      <c r="D22" s="19"/>
      <c r="E22" s="19"/>
      <c r="F22" s="23"/>
      <c r="G22" s="42"/>
      <c r="H22" s="19"/>
      <c r="I22" s="19"/>
      <c r="J22" s="43"/>
      <c r="K22" s="29"/>
      <c r="L22" s="19"/>
      <c r="M22" s="19"/>
      <c r="N22" s="19"/>
    </row>
    <row r="23" spans="1:14" ht="15">
      <c r="A23" s="718" t="s">
        <v>29</v>
      </c>
      <c r="B23" s="14">
        <v>21</v>
      </c>
      <c r="C23" s="14"/>
      <c r="D23" s="14"/>
      <c r="E23" s="14"/>
      <c r="F23" s="24"/>
      <c r="G23" s="44"/>
      <c r="H23" s="14"/>
      <c r="I23" s="14"/>
      <c r="J23" s="45"/>
      <c r="K23" s="30"/>
      <c r="L23" s="14"/>
      <c r="M23" s="14"/>
      <c r="N23" s="14"/>
    </row>
    <row r="24" spans="1:14" ht="15">
      <c r="A24" s="718"/>
      <c r="B24" s="14">
        <v>22</v>
      </c>
      <c r="C24" s="14"/>
      <c r="D24" s="14"/>
      <c r="E24" s="14"/>
      <c r="F24" s="24"/>
      <c r="G24" s="44"/>
      <c r="H24" s="14"/>
      <c r="I24" s="14"/>
      <c r="J24" s="45"/>
      <c r="K24" s="30"/>
      <c r="L24" s="14"/>
      <c r="M24" s="14"/>
      <c r="N24" s="14"/>
    </row>
    <row r="25" spans="1:14" ht="15">
      <c r="A25" s="718"/>
      <c r="B25" s="14">
        <v>23</v>
      </c>
      <c r="C25" s="14"/>
      <c r="D25" s="14"/>
      <c r="E25" s="14"/>
      <c r="F25" s="24"/>
      <c r="G25" s="44"/>
      <c r="H25" s="14"/>
      <c r="I25" s="14"/>
      <c r="J25" s="45"/>
      <c r="K25" s="30"/>
      <c r="L25" s="14"/>
      <c r="M25" s="14"/>
      <c r="N25" s="14"/>
    </row>
    <row r="26" spans="1:14" ht="15">
      <c r="A26" s="718"/>
      <c r="B26" s="14">
        <v>24</v>
      </c>
      <c r="C26" s="14"/>
      <c r="D26" s="14"/>
      <c r="E26" s="14"/>
      <c r="F26" s="24"/>
      <c r="G26" s="44"/>
      <c r="H26" s="14"/>
      <c r="I26" s="14"/>
      <c r="J26" s="45"/>
      <c r="K26" s="30"/>
      <c r="L26" s="14"/>
      <c r="M26" s="14"/>
      <c r="N26" s="14"/>
    </row>
    <row r="27" spans="1:14" ht="15">
      <c r="A27" s="718" t="s">
        <v>30</v>
      </c>
      <c r="B27" s="10">
        <v>25</v>
      </c>
      <c r="C27" s="10"/>
      <c r="D27" s="10"/>
      <c r="E27" s="10"/>
      <c r="F27" s="10"/>
      <c r="G27" s="10"/>
      <c r="H27" s="10"/>
      <c r="I27" s="10"/>
      <c r="J27" s="10"/>
      <c r="K27" s="10"/>
      <c r="L27" s="10"/>
      <c r="M27" s="10"/>
      <c r="N27" s="10"/>
    </row>
    <row r="28" spans="1:14" ht="15">
      <c r="A28" s="718"/>
      <c r="B28" s="10">
        <v>26</v>
      </c>
      <c r="C28" s="10"/>
      <c r="D28" s="10"/>
      <c r="E28" s="10"/>
      <c r="F28" s="10"/>
      <c r="G28" s="10"/>
      <c r="H28" s="10"/>
      <c r="I28" s="10"/>
      <c r="J28" s="10"/>
      <c r="K28" s="10"/>
      <c r="L28" s="10"/>
      <c r="M28" s="10"/>
      <c r="N28" s="10"/>
    </row>
    <row r="29" spans="1:14" ht="15">
      <c r="A29" s="718"/>
      <c r="B29" s="10">
        <v>27</v>
      </c>
      <c r="C29" s="10"/>
      <c r="D29" s="10"/>
      <c r="E29" s="10"/>
      <c r="F29" s="10"/>
      <c r="G29" s="10"/>
      <c r="H29" s="10"/>
      <c r="I29" s="10"/>
      <c r="J29" s="10"/>
      <c r="K29" s="10"/>
      <c r="L29" s="10"/>
      <c r="M29" s="10"/>
      <c r="N29" s="10"/>
    </row>
    <row r="30" spans="1:14" ht="15">
      <c r="A30" s="718"/>
      <c r="B30" s="10">
        <v>28</v>
      </c>
      <c r="C30" s="10"/>
      <c r="D30" s="10"/>
      <c r="E30" s="10"/>
      <c r="F30" s="10"/>
      <c r="G30" s="10"/>
      <c r="H30" s="10"/>
      <c r="I30" s="10"/>
      <c r="J30" s="10"/>
      <c r="K30" s="10"/>
      <c r="L30" s="10"/>
      <c r="M30" s="10"/>
      <c r="N30" s="10"/>
    </row>
    <row r="31" spans="1:14" ht="15">
      <c r="A31" s="718"/>
      <c r="B31" s="10">
        <v>29</v>
      </c>
      <c r="C31" s="10"/>
      <c r="D31" s="10"/>
      <c r="E31" s="10"/>
      <c r="F31" s="10"/>
      <c r="G31" s="10"/>
      <c r="H31" s="10"/>
      <c r="I31" s="10"/>
      <c r="J31" s="10"/>
      <c r="K31" s="10"/>
      <c r="L31" s="10"/>
      <c r="M31" s="10"/>
      <c r="N31" s="10"/>
    </row>
    <row r="32" spans="1:14" ht="15">
      <c r="A32" s="718" t="s">
        <v>31</v>
      </c>
      <c r="B32" s="17">
        <v>30</v>
      </c>
      <c r="C32" s="17"/>
      <c r="D32" s="17"/>
      <c r="E32" s="17"/>
      <c r="F32" s="17"/>
      <c r="G32" s="17"/>
      <c r="H32" s="17"/>
      <c r="I32" s="17"/>
      <c r="J32" s="17"/>
      <c r="K32" s="17"/>
      <c r="L32" s="17"/>
      <c r="M32" s="17"/>
      <c r="N32" s="17"/>
    </row>
    <row r="33" spans="1:14" ht="15">
      <c r="A33" s="718"/>
      <c r="B33" s="17">
        <v>31</v>
      </c>
      <c r="C33" s="17"/>
      <c r="D33" s="17"/>
      <c r="E33" s="17"/>
      <c r="F33" s="17"/>
      <c r="G33" s="17"/>
      <c r="H33" s="17"/>
      <c r="I33" s="17"/>
      <c r="J33" s="17"/>
      <c r="K33" s="17"/>
      <c r="L33" s="17"/>
      <c r="M33" s="17"/>
      <c r="N33" s="17"/>
    </row>
    <row r="34" spans="1:14" ht="15">
      <c r="A34" s="718"/>
      <c r="B34" s="17">
        <v>32</v>
      </c>
      <c r="C34" s="17"/>
      <c r="D34" s="17"/>
      <c r="E34" s="17"/>
      <c r="F34" s="17"/>
      <c r="G34" s="17"/>
      <c r="H34" s="17"/>
      <c r="I34" s="17"/>
      <c r="J34" s="17"/>
      <c r="K34" s="17"/>
      <c r="L34" s="17"/>
      <c r="M34" s="17"/>
      <c r="N34" s="17"/>
    </row>
    <row r="35" spans="1:14" ht="15">
      <c r="A35" s="718" t="s">
        <v>32</v>
      </c>
      <c r="B35" s="18">
        <v>33</v>
      </c>
      <c r="C35" s="15"/>
      <c r="D35" s="15"/>
      <c r="E35" s="15"/>
      <c r="F35" s="15"/>
      <c r="G35" s="15"/>
      <c r="H35" s="15"/>
      <c r="I35" s="15"/>
      <c r="J35" s="15"/>
      <c r="K35" s="15"/>
      <c r="L35" s="15"/>
      <c r="M35" s="15"/>
      <c r="N35" s="15"/>
    </row>
    <row r="36" spans="1:14" ht="15">
      <c r="A36" s="718"/>
      <c r="B36" s="15">
        <v>34</v>
      </c>
      <c r="C36" s="15"/>
      <c r="D36" s="15"/>
      <c r="E36" s="15"/>
      <c r="F36" s="15"/>
      <c r="G36" s="15"/>
      <c r="H36" s="15"/>
      <c r="I36" s="15"/>
      <c r="J36" s="15"/>
      <c r="K36" s="15"/>
      <c r="L36" s="15"/>
      <c r="M36" s="15"/>
      <c r="N36" s="15"/>
    </row>
    <row r="37" spans="1:14" ht="15">
      <c r="A37" s="718"/>
      <c r="B37" s="46">
        <v>35</v>
      </c>
      <c r="C37" s="15"/>
      <c r="D37" s="15"/>
      <c r="E37" s="15"/>
      <c r="F37" s="15"/>
      <c r="G37" s="15"/>
      <c r="H37" s="15"/>
      <c r="I37" s="15"/>
      <c r="J37" s="15"/>
      <c r="K37" s="15"/>
      <c r="L37" s="15"/>
      <c r="M37" s="15"/>
      <c r="N37" s="15"/>
    </row>
    <row r="38" spans="1:14" ht="15">
      <c r="A38" s="718" t="s">
        <v>33</v>
      </c>
      <c r="B38" s="9">
        <v>36</v>
      </c>
      <c r="C38" s="9"/>
      <c r="D38" s="9"/>
      <c r="E38" s="9"/>
      <c r="F38" s="9"/>
      <c r="G38" s="9"/>
      <c r="H38" s="9"/>
      <c r="I38" s="9"/>
      <c r="J38" s="9"/>
      <c r="K38" s="9"/>
      <c r="L38" s="9"/>
      <c r="M38" s="9"/>
      <c r="N38" s="9"/>
    </row>
    <row r="39" spans="1:14" ht="15">
      <c r="A39" s="718"/>
      <c r="B39" s="9">
        <v>37</v>
      </c>
      <c r="C39" s="9"/>
      <c r="D39" s="9"/>
      <c r="E39" s="9"/>
      <c r="F39" s="9"/>
      <c r="G39" s="9"/>
      <c r="H39" s="9"/>
      <c r="I39" s="9"/>
      <c r="J39" s="9"/>
      <c r="K39" s="9"/>
      <c r="L39" s="9"/>
      <c r="M39" s="9"/>
      <c r="N39" s="9"/>
    </row>
    <row r="40" spans="1:14" ht="15">
      <c r="A40" s="718"/>
      <c r="B40" s="9">
        <v>38</v>
      </c>
      <c r="C40" s="9"/>
      <c r="D40" s="9"/>
      <c r="E40" s="9"/>
      <c r="F40" s="9"/>
      <c r="G40" s="9"/>
      <c r="H40" s="9"/>
      <c r="I40" s="9"/>
      <c r="J40" s="9"/>
      <c r="K40" s="9"/>
      <c r="L40" s="9"/>
      <c r="M40" s="9"/>
      <c r="N40" s="9"/>
    </row>
    <row r="41" spans="1:14" ht="15">
      <c r="A41" s="719" t="s">
        <v>34</v>
      </c>
      <c r="B41" s="47">
        <v>39</v>
      </c>
      <c r="C41" s="48"/>
      <c r="D41" s="48"/>
      <c r="E41" s="48"/>
      <c r="F41" s="48"/>
      <c r="G41" s="48"/>
      <c r="H41" s="48"/>
      <c r="I41" s="48"/>
      <c r="J41" s="48"/>
      <c r="K41" s="48"/>
      <c r="L41" s="48"/>
      <c r="M41" s="48"/>
      <c r="N41" s="48"/>
    </row>
    <row r="42" spans="1:14" ht="15">
      <c r="A42" s="719"/>
      <c r="B42" s="48">
        <v>40</v>
      </c>
      <c r="C42" s="48"/>
      <c r="D42" s="48"/>
      <c r="E42" s="48"/>
      <c r="F42" s="48"/>
      <c r="G42" s="48"/>
      <c r="H42" s="48"/>
      <c r="I42" s="48"/>
      <c r="J42" s="48"/>
      <c r="K42" s="48"/>
      <c r="L42" s="48"/>
      <c r="M42" s="48"/>
      <c r="N42" s="48"/>
    </row>
    <row r="43" spans="1:14" ht="15">
      <c r="A43" s="719"/>
      <c r="B43" s="48">
        <v>41</v>
      </c>
      <c r="C43" s="48"/>
      <c r="D43" s="48"/>
      <c r="E43" s="48"/>
      <c r="F43" s="48"/>
      <c r="G43" s="48"/>
      <c r="H43" s="48"/>
      <c r="I43" s="48"/>
      <c r="J43" s="48"/>
      <c r="K43" s="48"/>
      <c r="L43" s="48"/>
      <c r="M43" s="48"/>
      <c r="N43" s="48"/>
    </row>
    <row r="44" spans="1:14" ht="15">
      <c r="A44" s="719"/>
      <c r="B44" s="49">
        <v>42</v>
      </c>
      <c r="C44" s="48"/>
      <c r="D44" s="48"/>
      <c r="E44" s="48"/>
      <c r="F44" s="48"/>
      <c r="G44" s="48"/>
      <c r="H44" s="48"/>
      <c r="I44" s="48"/>
      <c r="J44" s="48"/>
      <c r="K44" s="48"/>
      <c r="L44" s="48"/>
      <c r="M44" s="48"/>
      <c r="N44" s="48"/>
    </row>
    <row r="45" spans="1:14" ht="15">
      <c r="A45" s="720" t="s">
        <v>35</v>
      </c>
      <c r="B45" s="13">
        <v>43</v>
      </c>
      <c r="C45" s="13"/>
      <c r="D45" s="13"/>
      <c r="E45" s="13"/>
      <c r="F45" s="13"/>
      <c r="G45" s="13"/>
      <c r="H45" s="13"/>
      <c r="I45" s="13"/>
      <c r="J45" s="13"/>
      <c r="K45" s="13"/>
      <c r="L45" s="13"/>
      <c r="M45" s="13"/>
      <c r="N45" s="13"/>
    </row>
    <row r="46" spans="1:14" ht="15">
      <c r="A46" s="720"/>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5" zoomScaleNormal="75" workbookViewId="0" topLeftCell="N17">
      <selection activeCell="Q25" sqref="Q25:AA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17" t="s">
        <v>293</v>
      </c>
      <c r="B7" s="418"/>
      <c r="C7" s="335" t="s">
        <v>558</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row>
    <row r="8" spans="1:30"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row>
    <row r="9" spans="1:30"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78" customFormat="1" ht="37.5" customHeight="1" thickBot="1">
      <c r="A17" s="398" t="s">
        <v>79</v>
      </c>
      <c r="B17" s="399"/>
      <c r="C17" s="414" t="s">
        <v>542</v>
      </c>
      <c r="D17" s="415"/>
      <c r="E17" s="415"/>
      <c r="F17" s="415"/>
      <c r="G17" s="415"/>
      <c r="H17" s="415"/>
      <c r="I17" s="415"/>
      <c r="J17" s="415"/>
      <c r="K17" s="415"/>
      <c r="L17" s="415"/>
      <c r="M17" s="415"/>
      <c r="N17" s="415"/>
      <c r="O17" s="415"/>
      <c r="P17" s="415"/>
      <c r="Q17" s="416"/>
      <c r="R17" s="338" t="s">
        <v>374</v>
      </c>
      <c r="S17" s="339"/>
      <c r="T17" s="339"/>
      <c r="U17" s="339"/>
      <c r="V17" s="340"/>
      <c r="W17" s="431">
        <v>1300</v>
      </c>
      <c r="X17" s="432"/>
      <c r="Y17" s="339" t="s">
        <v>15</v>
      </c>
      <c r="Z17" s="339"/>
      <c r="AA17" s="339"/>
      <c r="AB17" s="340"/>
      <c r="AC17" s="333">
        <v>0.4</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25" customFormat="1"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24"/>
      <c r="AF19" s="324"/>
    </row>
    <row r="20" spans="1:32" s="325" customFormat="1"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24"/>
      <c r="AF20" s="324"/>
    </row>
    <row r="21" spans="1:32" s="325" customFormat="1"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3" t="s">
        <v>39</v>
      </c>
      <c r="R21" s="314" t="s">
        <v>40</v>
      </c>
      <c r="S21" s="314" t="s">
        <v>41</v>
      </c>
      <c r="T21" s="314" t="s">
        <v>42</v>
      </c>
      <c r="U21" s="314" t="s">
        <v>43</v>
      </c>
      <c r="V21" s="314" t="s">
        <v>44</v>
      </c>
      <c r="W21" s="314" t="s">
        <v>45</v>
      </c>
      <c r="X21" s="314" t="s">
        <v>46</v>
      </c>
      <c r="Y21" s="314" t="s">
        <v>47</v>
      </c>
      <c r="Z21" s="314" t="s">
        <v>48</v>
      </c>
      <c r="AA21" s="314" t="s">
        <v>49</v>
      </c>
      <c r="AB21" s="314" t="s">
        <v>50</v>
      </c>
      <c r="AC21" s="314" t="s">
        <v>8</v>
      </c>
      <c r="AD21" s="315" t="s">
        <v>382</v>
      </c>
      <c r="AE21" s="4"/>
      <c r="AF21" s="4"/>
    </row>
    <row r="22" spans="1:32" s="325" customFormat="1" ht="32.25" customHeight="1">
      <c r="A22" s="485" t="s">
        <v>378</v>
      </c>
      <c r="B22" s="486"/>
      <c r="C22" s="251">
        <f>63439925</f>
        <v>63439925</v>
      </c>
      <c r="D22" s="237"/>
      <c r="E22" s="237"/>
      <c r="F22" s="237"/>
      <c r="G22" s="237">
        <v>-14814614.35</v>
      </c>
      <c r="H22" s="237"/>
      <c r="I22" s="237"/>
      <c r="J22" s="237"/>
      <c r="K22" s="237"/>
      <c r="L22" s="237"/>
      <c r="M22" s="237"/>
      <c r="N22" s="237"/>
      <c r="O22" s="237">
        <f>SUM(C22:N22)</f>
        <v>48625310.65</v>
      </c>
      <c r="P22" s="285"/>
      <c r="Q22" s="251">
        <f>2911724847-T22-R22</f>
        <v>2471279210</v>
      </c>
      <c r="R22" s="237">
        <v>398664000</v>
      </c>
      <c r="S22" s="237"/>
      <c r="T22" s="237">
        <v>41781637</v>
      </c>
      <c r="U22" s="237"/>
      <c r="V22" s="237"/>
      <c r="W22" s="237">
        <v>41746558</v>
      </c>
      <c r="X22" s="237">
        <f>74605298+66494671</f>
        <v>141099969</v>
      </c>
      <c r="Y22" s="237"/>
      <c r="Z22" s="237"/>
      <c r="AA22" s="237">
        <v>-2842374</v>
      </c>
      <c r="AB22" s="237"/>
      <c r="AC22" s="237">
        <f>SUM(Q22:AB22)</f>
        <v>3091729000</v>
      </c>
      <c r="AD22" s="238"/>
      <c r="AE22" s="4"/>
      <c r="AF22" s="4"/>
    </row>
    <row r="23" spans="1:31" s="325" customFormat="1" ht="32.25" customHeight="1">
      <c r="A23" s="487" t="s">
        <v>379</v>
      </c>
      <c r="B23" s="488"/>
      <c r="C23" s="183">
        <f>+C22</f>
        <v>63439925</v>
      </c>
      <c r="D23" s="182"/>
      <c r="E23" s="182"/>
      <c r="F23" s="182"/>
      <c r="G23" s="182">
        <v>-14814614.35</v>
      </c>
      <c r="H23" s="182"/>
      <c r="I23" s="182"/>
      <c r="J23" s="182"/>
      <c r="K23" s="182"/>
      <c r="L23" s="182"/>
      <c r="M23" s="182"/>
      <c r="N23" s="182"/>
      <c r="O23" s="240">
        <f>SUM(C23:N23)</f>
        <v>48625310.65</v>
      </c>
      <c r="P23" s="190">
        <f>_xlfn.IFERROR(O23/(SUMIF(C23:N23,"&gt;0",C22:N22))," ")</f>
        <v>0.7664780601490307</v>
      </c>
      <c r="Q23" s="306">
        <v>2135097765</v>
      </c>
      <c r="R23" s="307">
        <v>403661057</v>
      </c>
      <c r="S23" s="307"/>
      <c r="T23" s="307">
        <f>272104000-5649674.25</f>
        <v>266454325.75</v>
      </c>
      <c r="U23" s="307">
        <v>70647264.94</v>
      </c>
      <c r="V23" s="307">
        <v>-6960800.33</v>
      </c>
      <c r="W23" s="240">
        <f>-3585867-131497.39</f>
        <v>-3717364.39</v>
      </c>
      <c r="X23" s="182">
        <v>62998493</v>
      </c>
      <c r="Y23" s="182">
        <v>102092400</v>
      </c>
      <c r="Z23" s="182">
        <v>50680401</v>
      </c>
      <c r="AA23" s="240">
        <v>-3401350.043100357</v>
      </c>
      <c r="AB23" s="240"/>
      <c r="AC23" s="240">
        <f>SUM(Q23:AB23)</f>
        <v>3077552191.9269</v>
      </c>
      <c r="AD23" s="190">
        <f>_xlfn.IFERROR(AC23/(SUMIF(Q23:AB23,"&gt;0",Q22:AB22))," ")</f>
        <v>1.0080998345523473</v>
      </c>
      <c r="AE23" s="290"/>
    </row>
    <row r="24" spans="1:32" s="325" customFormat="1" ht="32.25" customHeight="1">
      <c r="A24" s="487" t="s">
        <v>380</v>
      </c>
      <c r="B24" s="488"/>
      <c r="C24" s="183">
        <f>3304659-1</f>
        <v>3304658</v>
      </c>
      <c r="D24" s="182">
        <v>31508238</v>
      </c>
      <c r="E24" s="182">
        <v>12313273</v>
      </c>
      <c r="F24" s="182">
        <v>1499142</v>
      </c>
      <c r="G24" s="182">
        <f>14814613-14814613</f>
        <v>0</v>
      </c>
      <c r="H24" s="182"/>
      <c r="I24" s="182"/>
      <c r="J24" s="182"/>
      <c r="K24" s="182"/>
      <c r="L24" s="182"/>
      <c r="M24" s="182"/>
      <c r="N24" s="182"/>
      <c r="O24" s="240">
        <f>SUM(C24:N24)</f>
        <v>48625311</v>
      </c>
      <c r="P24" s="190"/>
      <c r="Q24" s="305"/>
      <c r="R24" s="182">
        <v>39268856</v>
      </c>
      <c r="S24" s="182">
        <v>274890870</v>
      </c>
      <c r="T24" s="182">
        <v>316672507</v>
      </c>
      <c r="U24" s="182">
        <v>274890870</v>
      </c>
      <c r="V24" s="182">
        <v>274890870</v>
      </c>
      <c r="W24" s="182">
        <v>274890870</v>
      </c>
      <c r="X24" s="182">
        <v>274890870</v>
      </c>
      <c r="Y24" s="182">
        <v>273572370</v>
      </c>
      <c r="Z24" s="182">
        <v>273572370</v>
      </c>
      <c r="AA24" s="182">
        <f>273572370+1318500</f>
        <v>274890870</v>
      </c>
      <c r="AB24" s="182">
        <f>360612024+115033356+66494671-2842374</f>
        <v>539297677</v>
      </c>
      <c r="AC24" s="240">
        <f>SUM(Q24:AB24)</f>
        <v>3091729000</v>
      </c>
      <c r="AD24" s="190"/>
      <c r="AE24" s="4"/>
      <c r="AF24" s="4"/>
    </row>
    <row r="25" spans="1:33" s="325" customFormat="1" ht="32.25" customHeight="1" thickBot="1">
      <c r="A25" s="489" t="s">
        <v>381</v>
      </c>
      <c r="B25" s="490"/>
      <c r="C25" s="184">
        <v>16742838</v>
      </c>
      <c r="D25" s="301">
        <v>20812192</v>
      </c>
      <c r="E25" s="301">
        <v>9571139</v>
      </c>
      <c r="F25" s="301"/>
      <c r="G25" s="301">
        <f>1499141.7</f>
        <v>1499141.7</v>
      </c>
      <c r="H25" s="301"/>
      <c r="I25" s="301"/>
      <c r="J25" s="301"/>
      <c r="K25" s="301"/>
      <c r="L25" s="301"/>
      <c r="M25" s="301"/>
      <c r="N25" s="301"/>
      <c r="O25" s="293">
        <f>SUM(C25:N25)</f>
        <v>48625310.7</v>
      </c>
      <c r="P25" s="191">
        <f>_xlfn.IFERROR(O25/(SUMIF(C25:N25,"&gt;0",C24:N24))," ")</f>
        <v>1.0318112363430179</v>
      </c>
      <c r="Q25" s="184"/>
      <c r="R25" s="301">
        <v>55249850.25</v>
      </c>
      <c r="S25" s="301">
        <v>215368965.28</v>
      </c>
      <c r="T25" s="301">
        <v>243887146.5</v>
      </c>
      <c r="U25" s="301">
        <v>251287429</v>
      </c>
      <c r="V25" s="301">
        <v>271649496</v>
      </c>
      <c r="W25" s="301">
        <v>321404897</v>
      </c>
      <c r="X25" s="301">
        <v>281313096</v>
      </c>
      <c r="Y25" s="301">
        <v>279940047</v>
      </c>
      <c r="Z25" s="301">
        <v>288596380</v>
      </c>
      <c r="AA25" s="301">
        <v>287743797</v>
      </c>
      <c r="AB25" s="301"/>
      <c r="AC25" s="293">
        <f>SUM(Q25:AB25)</f>
        <v>2496441104.0299997</v>
      </c>
      <c r="AD25" s="191">
        <f>_xlfn.IFERROR(AC25/(SUMIF(Q25:AB25,"&gt;0",Q24:AB24))," ")</f>
        <v>0.9780639665148004</v>
      </c>
      <c r="AE25" s="4"/>
      <c r="AF25" s="290"/>
      <c r="AG25" s="290"/>
    </row>
    <row r="26" spans="1:30" s="325" customFormat="1" ht="32.25" customHeight="1" thickBot="1">
      <c r="A26" s="328"/>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27"/>
      <c r="AD26" s="331"/>
    </row>
    <row r="27" spans="1:30" s="325" customFormat="1" ht="33.75" customHeight="1">
      <c r="A27" s="515" t="s">
        <v>76</v>
      </c>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8"/>
    </row>
    <row r="28" spans="1:30"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row>
    <row r="29" spans="1:30" ht="27" customHeight="1">
      <c r="A29" s="495"/>
      <c r="B29" s="443"/>
      <c r="C29" s="445"/>
      <c r="D29" s="208" t="s">
        <v>39</v>
      </c>
      <c r="E29" s="208" t="s">
        <v>40</v>
      </c>
      <c r="F29" s="208" t="s">
        <v>41</v>
      </c>
      <c r="G29" s="208" t="s">
        <v>42</v>
      </c>
      <c r="H29" s="208" t="s">
        <v>43</v>
      </c>
      <c r="I29" s="208" t="s">
        <v>44</v>
      </c>
      <c r="J29" s="208" t="s">
        <v>45</v>
      </c>
      <c r="K29" s="208" t="s">
        <v>46</v>
      </c>
      <c r="L29" s="208" t="s">
        <v>47</v>
      </c>
      <c r="M29" s="208" t="s">
        <v>48</v>
      </c>
      <c r="N29" s="208" t="s">
        <v>49</v>
      </c>
      <c r="O29" s="208" t="s">
        <v>50</v>
      </c>
      <c r="P29" s="425"/>
      <c r="Q29" s="426"/>
      <c r="R29" s="426"/>
      <c r="S29" s="426"/>
      <c r="T29" s="426"/>
      <c r="U29" s="426"/>
      <c r="V29" s="426"/>
      <c r="W29" s="426"/>
      <c r="X29" s="426"/>
      <c r="Y29" s="426"/>
      <c r="Z29" s="426"/>
      <c r="AA29" s="426"/>
      <c r="AB29" s="426"/>
      <c r="AC29" s="426"/>
      <c r="AD29" s="427"/>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368" t="s">
        <v>292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41" ht="23.25" customHeight="1">
      <c r="A32" s="441" t="s">
        <v>190</v>
      </c>
      <c r="B32" s="426" t="s">
        <v>62</v>
      </c>
      <c r="C32" s="426" t="s">
        <v>6</v>
      </c>
      <c r="D32" s="426" t="s">
        <v>60</v>
      </c>
      <c r="E32" s="426"/>
      <c r="F32" s="426"/>
      <c r="G32" s="426"/>
      <c r="H32" s="426"/>
      <c r="I32" s="426"/>
      <c r="J32" s="426"/>
      <c r="K32" s="426"/>
      <c r="L32" s="426"/>
      <c r="M32" s="426"/>
      <c r="N32" s="426"/>
      <c r="O32" s="426"/>
      <c r="P32" s="426"/>
      <c r="Q32" s="426" t="s">
        <v>85</v>
      </c>
      <c r="R32" s="426"/>
      <c r="S32" s="426"/>
      <c r="T32" s="426"/>
      <c r="U32" s="426"/>
      <c r="V32" s="426"/>
      <c r="W32" s="426"/>
      <c r="X32" s="426"/>
      <c r="Y32" s="426"/>
      <c r="Z32" s="426"/>
      <c r="AA32" s="426"/>
      <c r="AB32" s="426"/>
      <c r="AC32" s="426"/>
      <c r="AD32" s="427"/>
      <c r="AG32" s="90"/>
      <c r="AH32" s="90"/>
      <c r="AI32" s="90"/>
      <c r="AJ32" s="90"/>
      <c r="AK32" s="90"/>
      <c r="AL32" s="90"/>
      <c r="AM32" s="90"/>
      <c r="AN32" s="90"/>
      <c r="AO32" s="90"/>
    </row>
    <row r="33" spans="1:41" ht="27" customHeight="1">
      <c r="A33" s="441"/>
      <c r="B33" s="426"/>
      <c r="C33" s="442"/>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26" t="s">
        <v>402</v>
      </c>
      <c r="R33" s="426"/>
      <c r="S33" s="426"/>
      <c r="T33" s="426" t="s">
        <v>403</v>
      </c>
      <c r="U33" s="426"/>
      <c r="V33" s="426"/>
      <c r="W33" s="443" t="s">
        <v>81</v>
      </c>
      <c r="X33" s="444"/>
      <c r="Y33" s="444"/>
      <c r="Z33" s="445"/>
      <c r="AA33" s="443" t="s">
        <v>82</v>
      </c>
      <c r="AB33" s="444"/>
      <c r="AC33" s="444"/>
      <c r="AD33" s="446"/>
      <c r="AG33" s="90"/>
      <c r="AH33" s="90"/>
      <c r="AI33" s="90"/>
      <c r="AJ33" s="90"/>
      <c r="AK33" s="90"/>
      <c r="AL33" s="90"/>
      <c r="AM33" s="90"/>
      <c r="AN33" s="90"/>
      <c r="AO33" s="90"/>
    </row>
    <row r="34" spans="1:41" ht="147" customHeight="1">
      <c r="A34" s="453" t="s">
        <v>542</v>
      </c>
      <c r="B34" s="455">
        <v>0.4</v>
      </c>
      <c r="C34" s="93" t="s">
        <v>9</v>
      </c>
      <c r="D34" s="284">
        <v>24</v>
      </c>
      <c r="E34" s="284">
        <v>73</v>
      </c>
      <c r="F34" s="284">
        <v>133</v>
      </c>
      <c r="G34" s="284">
        <v>99</v>
      </c>
      <c r="H34" s="284">
        <v>164</v>
      </c>
      <c r="I34" s="284">
        <v>144</v>
      </c>
      <c r="J34" s="284">
        <v>137</v>
      </c>
      <c r="K34" s="284">
        <v>121</v>
      </c>
      <c r="L34" s="284">
        <v>110</v>
      </c>
      <c r="M34" s="284">
        <v>110</v>
      </c>
      <c r="N34" s="284">
        <v>100</v>
      </c>
      <c r="O34" s="284">
        <v>85</v>
      </c>
      <c r="P34" s="244">
        <f>SUM(D34:O34)</f>
        <v>1300</v>
      </c>
      <c r="Q34" s="465" t="s">
        <v>544</v>
      </c>
      <c r="R34" s="466"/>
      <c r="S34" s="467"/>
      <c r="T34" s="465" t="s">
        <v>545</v>
      </c>
      <c r="U34" s="466"/>
      <c r="V34" s="467"/>
      <c r="W34" s="509"/>
      <c r="X34" s="510"/>
      <c r="Y34" s="510"/>
      <c r="Z34" s="511"/>
      <c r="AA34" s="457" t="s">
        <v>527</v>
      </c>
      <c r="AB34" s="458"/>
      <c r="AC34" s="458"/>
      <c r="AD34" s="463"/>
      <c r="AF34"/>
      <c r="AG34" s="90"/>
      <c r="AH34" s="90"/>
      <c r="AI34" s="90"/>
      <c r="AJ34" s="90"/>
      <c r="AK34" s="90"/>
      <c r="AL34" s="90"/>
      <c r="AM34" s="90"/>
      <c r="AN34" s="90"/>
      <c r="AO34" s="90"/>
    </row>
    <row r="35" spans="1:41" ht="130.5" customHeight="1" thickBot="1">
      <c r="A35" s="454"/>
      <c r="B35" s="456"/>
      <c r="C35" s="94" t="s">
        <v>10</v>
      </c>
      <c r="D35" s="243">
        <v>24</v>
      </c>
      <c r="E35" s="243">
        <v>73</v>
      </c>
      <c r="F35" s="243">
        <v>133</v>
      </c>
      <c r="G35" s="242">
        <v>99</v>
      </c>
      <c r="H35" s="242">
        <v>164</v>
      </c>
      <c r="I35" s="242">
        <v>144</v>
      </c>
      <c r="J35" s="242">
        <v>137</v>
      </c>
      <c r="K35" s="242">
        <v>121</v>
      </c>
      <c r="L35" s="242">
        <v>136</v>
      </c>
      <c r="M35" s="242">
        <v>139</v>
      </c>
      <c r="N35" s="242">
        <v>77</v>
      </c>
      <c r="O35" s="242"/>
      <c r="P35" s="242">
        <f>SUM(D35:O35)</f>
        <v>1247</v>
      </c>
      <c r="Q35" s="468"/>
      <c r="R35" s="469"/>
      <c r="S35" s="470"/>
      <c r="T35" s="468"/>
      <c r="U35" s="469"/>
      <c r="V35" s="470"/>
      <c r="W35" s="512"/>
      <c r="X35" s="513"/>
      <c r="Y35" s="513"/>
      <c r="Z35" s="514"/>
      <c r="AA35" s="460"/>
      <c r="AB35" s="461"/>
      <c r="AC35" s="461"/>
      <c r="AD35" s="464"/>
      <c r="AE35" s="50"/>
      <c r="AF35"/>
      <c r="AG35" s="90"/>
      <c r="AH35" s="90"/>
      <c r="AI35" s="90"/>
      <c r="AJ35" s="90"/>
      <c r="AK35" s="90"/>
      <c r="AL35" s="90"/>
      <c r="AM35" s="90"/>
      <c r="AN35" s="90"/>
      <c r="AO35" s="90"/>
    </row>
    <row r="36" spans="1:41"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G36" s="90"/>
      <c r="AH36" s="90"/>
      <c r="AI36" s="90"/>
      <c r="AJ36" s="90"/>
      <c r="AK36" s="90"/>
      <c r="AL36" s="90"/>
      <c r="AM36" s="90"/>
      <c r="AN36" s="90"/>
      <c r="AO36" s="90"/>
    </row>
    <row r="37" spans="1:41" ht="26.25" customHeight="1">
      <c r="A37" s="441"/>
      <c r="B37" s="477"/>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23" t="s">
        <v>83</v>
      </c>
      <c r="R37" s="424"/>
      <c r="S37" s="424"/>
      <c r="T37" s="424"/>
      <c r="U37" s="424"/>
      <c r="V37" s="424"/>
      <c r="W37" s="424"/>
      <c r="X37" s="424"/>
      <c r="Y37" s="424"/>
      <c r="Z37" s="424"/>
      <c r="AA37" s="424"/>
      <c r="AB37" s="424"/>
      <c r="AC37" s="424"/>
      <c r="AD37" s="482"/>
      <c r="AG37" s="98"/>
      <c r="AH37" s="98"/>
      <c r="AI37" s="98"/>
      <c r="AJ37" s="98"/>
      <c r="AK37" s="98"/>
      <c r="AL37" s="98"/>
      <c r="AM37" s="98"/>
      <c r="AN37" s="98"/>
      <c r="AO37" s="98"/>
    </row>
    <row r="38" spans="1:41" ht="64.5" customHeight="1">
      <c r="A38" s="483" t="s">
        <v>428</v>
      </c>
      <c r="B38" s="473">
        <v>0.3</v>
      </c>
      <c r="C38" s="93" t="s">
        <v>9</v>
      </c>
      <c r="D38" s="212">
        <v>0.08</v>
      </c>
      <c r="E38" s="212">
        <v>0.08</v>
      </c>
      <c r="F38" s="212">
        <v>0.08</v>
      </c>
      <c r="G38" s="212">
        <v>0.08</v>
      </c>
      <c r="H38" s="212">
        <v>0.08</v>
      </c>
      <c r="I38" s="212">
        <v>0.08</v>
      </c>
      <c r="J38" s="212">
        <v>0.08</v>
      </c>
      <c r="K38" s="212">
        <v>0.09</v>
      </c>
      <c r="L38" s="212">
        <v>0.09</v>
      </c>
      <c r="M38" s="212">
        <v>0.09</v>
      </c>
      <c r="N38" s="212">
        <v>0.09</v>
      </c>
      <c r="O38" s="212">
        <v>0.08</v>
      </c>
      <c r="P38" s="100">
        <f>SUM(D38:O38)</f>
        <v>0.9999999999999999</v>
      </c>
      <c r="Q38" s="503" t="s">
        <v>593</v>
      </c>
      <c r="R38" s="504"/>
      <c r="S38" s="504"/>
      <c r="T38" s="504"/>
      <c r="U38" s="504"/>
      <c r="V38" s="504"/>
      <c r="W38" s="504"/>
      <c r="X38" s="504"/>
      <c r="Y38" s="504"/>
      <c r="Z38" s="504"/>
      <c r="AA38" s="504"/>
      <c r="AB38" s="504"/>
      <c r="AC38" s="504"/>
      <c r="AD38" s="505"/>
      <c r="AE38" s="101"/>
      <c r="AG38" s="102"/>
      <c r="AH38" s="102"/>
      <c r="AI38" s="102"/>
      <c r="AJ38" s="102"/>
      <c r="AK38" s="102"/>
      <c r="AL38" s="102"/>
      <c r="AM38" s="102"/>
      <c r="AN38" s="102"/>
      <c r="AO38" s="102"/>
    </row>
    <row r="39" spans="1:31" ht="69" customHeight="1">
      <c r="A39" s="484"/>
      <c r="B39" s="491"/>
      <c r="C39" s="103" t="s">
        <v>10</v>
      </c>
      <c r="D39" s="104">
        <v>0.08</v>
      </c>
      <c r="E39" s="104">
        <v>0.08</v>
      </c>
      <c r="F39" s="104">
        <v>0.08</v>
      </c>
      <c r="G39" s="104">
        <v>0.08</v>
      </c>
      <c r="H39" s="104">
        <v>0.08</v>
      </c>
      <c r="I39" s="104">
        <v>0.08</v>
      </c>
      <c r="J39" s="104">
        <v>0.08</v>
      </c>
      <c r="K39" s="104">
        <v>0.09</v>
      </c>
      <c r="L39" s="104">
        <v>0.09</v>
      </c>
      <c r="M39" s="104">
        <v>0.09</v>
      </c>
      <c r="N39" s="104">
        <v>0.09</v>
      </c>
      <c r="O39" s="104"/>
      <c r="P39" s="105">
        <f>SUM(D39:O39)</f>
        <v>0.9199999999999999</v>
      </c>
      <c r="Q39" s="506"/>
      <c r="R39" s="507"/>
      <c r="S39" s="507"/>
      <c r="T39" s="507"/>
      <c r="U39" s="507"/>
      <c r="V39" s="507"/>
      <c r="W39" s="507"/>
      <c r="X39" s="507"/>
      <c r="Y39" s="507"/>
      <c r="Z39" s="507"/>
      <c r="AA39" s="507"/>
      <c r="AB39" s="507"/>
      <c r="AC39" s="507"/>
      <c r="AD39" s="508"/>
      <c r="AE39" s="101"/>
    </row>
    <row r="40" spans="1:31" ht="46.5" customHeight="1">
      <c r="A40" s="498" t="s">
        <v>431</v>
      </c>
      <c r="B40" s="473">
        <v>0.1</v>
      </c>
      <c r="C40" s="106" t="s">
        <v>9</v>
      </c>
      <c r="D40" s="212">
        <v>0.08</v>
      </c>
      <c r="E40" s="212">
        <v>0.08</v>
      </c>
      <c r="F40" s="212">
        <v>0.08</v>
      </c>
      <c r="G40" s="212">
        <v>0.08</v>
      </c>
      <c r="H40" s="212">
        <v>0.08</v>
      </c>
      <c r="I40" s="212">
        <v>0.08</v>
      </c>
      <c r="J40" s="212">
        <v>0.08</v>
      </c>
      <c r="K40" s="212">
        <v>0.09</v>
      </c>
      <c r="L40" s="212">
        <v>0.09</v>
      </c>
      <c r="M40" s="212">
        <v>0.09</v>
      </c>
      <c r="N40" s="212">
        <v>0.09</v>
      </c>
      <c r="O40" s="212">
        <v>0.08</v>
      </c>
      <c r="P40" s="105">
        <f>SUM(D40:O40)</f>
        <v>0.9999999999999999</v>
      </c>
      <c r="Q40" s="447" t="s">
        <v>566</v>
      </c>
      <c r="R40" s="448"/>
      <c r="S40" s="448"/>
      <c r="T40" s="448"/>
      <c r="U40" s="448"/>
      <c r="V40" s="448"/>
      <c r="W40" s="448"/>
      <c r="X40" s="448"/>
      <c r="Y40" s="448"/>
      <c r="Z40" s="448"/>
      <c r="AA40" s="448"/>
      <c r="AB40" s="448"/>
      <c r="AC40" s="448"/>
      <c r="AD40" s="449"/>
      <c r="AE40" s="101"/>
    </row>
    <row r="41" spans="1:31" ht="28.5" customHeight="1" thickBot="1">
      <c r="A41" s="499"/>
      <c r="B41" s="474"/>
      <c r="C41" s="94" t="s">
        <v>10</v>
      </c>
      <c r="D41" s="110">
        <v>0.08</v>
      </c>
      <c r="E41" s="110">
        <v>0.08</v>
      </c>
      <c r="F41" s="110">
        <v>0.08</v>
      </c>
      <c r="G41" s="110">
        <v>0.08</v>
      </c>
      <c r="H41" s="110">
        <v>0.08</v>
      </c>
      <c r="I41" s="110">
        <v>0.08</v>
      </c>
      <c r="J41" s="110">
        <v>0.08</v>
      </c>
      <c r="K41" s="110">
        <v>0.09</v>
      </c>
      <c r="L41" s="110">
        <v>0.09</v>
      </c>
      <c r="M41" s="110">
        <v>0.09</v>
      </c>
      <c r="N41" s="110">
        <v>0.09</v>
      </c>
      <c r="O41" s="111"/>
      <c r="P41" s="112">
        <f>SUM(D41:O41)</f>
        <v>0.9199999999999999</v>
      </c>
      <c r="Q41" s="500"/>
      <c r="R41" s="501"/>
      <c r="S41" s="501"/>
      <c r="T41" s="501"/>
      <c r="U41" s="501"/>
      <c r="V41" s="501"/>
      <c r="W41" s="501"/>
      <c r="X41" s="501"/>
      <c r="Y41" s="501"/>
      <c r="Z41" s="501"/>
      <c r="AA41" s="501"/>
      <c r="AB41" s="501"/>
      <c r="AC41" s="501"/>
      <c r="AD41" s="502"/>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5"/>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workbookViewId="0" topLeftCell="O15">
      <selection activeCell="Q25" sqref="Q25:AA25"/>
    </sheetView>
  </sheetViews>
  <sheetFormatPr defaultColWidth="10.8515625" defaultRowHeight="15"/>
  <cols>
    <col min="1" max="1" width="33.00390625" style="113" customWidth="1"/>
    <col min="2" max="2" width="15.421875" style="113" customWidth="1"/>
    <col min="3" max="14" width="20.7109375" style="113" customWidth="1"/>
    <col min="15" max="15" width="16.140625" style="113" customWidth="1"/>
    <col min="16" max="27" width="18.140625" style="113" customWidth="1"/>
    <col min="28" max="28" width="22.7109375" style="113" customWidth="1"/>
    <col min="29" max="29" width="19.00390625" style="113" customWidth="1"/>
    <col min="30" max="30" width="19.421875" style="113" customWidth="1"/>
    <col min="31" max="31" width="6.28125" style="253" bestFit="1" customWidth="1"/>
    <col min="32" max="32" width="22.851562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8515625" style="113" customWidth="1"/>
    <col min="41" max="41" width="18.421875" style="113" bestFit="1" customWidth="1"/>
    <col min="42" max="42" width="16.140625" style="113" customWidth="1"/>
    <col min="43" max="16384" width="10.8515625" style="113"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52" customFormat="1" ht="15">
      <c r="A7" s="417" t="s">
        <v>293</v>
      </c>
      <c r="B7" s="418"/>
      <c r="C7" s="335" t="s">
        <v>558</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c r="AE7" s="51"/>
    </row>
    <row r="8" spans="1:31" s="52" customFormat="1"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c r="AE8" s="51"/>
    </row>
    <row r="9" spans="1:31" s="52" customFormat="1"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c r="AE9" s="51"/>
    </row>
    <row r="10" spans="1:30" s="257" customFormat="1" ht="15" customHeight="1" thickBot="1">
      <c r="A10" s="176"/>
      <c r="B10" s="177"/>
      <c r="C10" s="177"/>
      <c r="D10" s="67"/>
      <c r="E10" s="67"/>
      <c r="F10" s="67"/>
      <c r="G10" s="67"/>
      <c r="H10" s="67"/>
      <c r="I10" s="254"/>
      <c r="J10" s="254"/>
      <c r="K10" s="67"/>
      <c r="L10" s="67"/>
      <c r="M10" s="255"/>
      <c r="N10" s="255"/>
      <c r="O10" s="256"/>
      <c r="P10" s="256"/>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56" customFormat="1" ht="37.5" customHeight="1" thickBot="1">
      <c r="A17" s="398" t="s">
        <v>79</v>
      </c>
      <c r="B17" s="399"/>
      <c r="C17" s="414" t="s">
        <v>429</v>
      </c>
      <c r="D17" s="415"/>
      <c r="E17" s="415"/>
      <c r="F17" s="415"/>
      <c r="G17" s="415"/>
      <c r="H17" s="415"/>
      <c r="I17" s="415"/>
      <c r="J17" s="415"/>
      <c r="K17" s="415"/>
      <c r="L17" s="415"/>
      <c r="M17" s="415"/>
      <c r="N17" s="415"/>
      <c r="O17" s="415"/>
      <c r="P17" s="415"/>
      <c r="Q17" s="416"/>
      <c r="R17" s="338" t="s">
        <v>374</v>
      </c>
      <c r="S17" s="339"/>
      <c r="T17" s="339"/>
      <c r="U17" s="339"/>
      <c r="V17" s="340"/>
      <c r="W17" s="431">
        <v>7</v>
      </c>
      <c r="X17" s="432"/>
      <c r="Y17" s="339" t="s">
        <v>15</v>
      </c>
      <c r="Z17" s="339"/>
      <c r="AA17" s="339"/>
      <c r="AB17" s="340"/>
      <c r="AC17" s="333">
        <v>0.1</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32"/>
      <c r="AF19" s="332"/>
    </row>
    <row r="20" spans="1:32"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32"/>
      <c r="AF20" s="332"/>
    </row>
    <row r="21" spans="1:32"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3" t="s">
        <v>39</v>
      </c>
      <c r="R21" s="314" t="s">
        <v>40</v>
      </c>
      <c r="S21" s="314" t="s">
        <v>41</v>
      </c>
      <c r="T21" s="314" t="s">
        <v>42</v>
      </c>
      <c r="U21" s="314" t="s">
        <v>43</v>
      </c>
      <c r="V21" s="314" t="s">
        <v>44</v>
      </c>
      <c r="W21" s="314" t="s">
        <v>45</v>
      </c>
      <c r="X21" s="314" t="s">
        <v>46</v>
      </c>
      <c r="Y21" s="314" t="s">
        <v>47</v>
      </c>
      <c r="Z21" s="314" t="s">
        <v>48</v>
      </c>
      <c r="AA21" s="314" t="s">
        <v>49</v>
      </c>
      <c r="AB21" s="314" t="s">
        <v>50</v>
      </c>
      <c r="AC21" s="314" t="s">
        <v>8</v>
      </c>
      <c r="AD21" s="315" t="s">
        <v>382</v>
      </c>
      <c r="AE21" s="258"/>
      <c r="AF21" s="258"/>
    </row>
    <row r="22" spans="1:33" ht="32.25" customHeight="1">
      <c r="A22" s="485" t="s">
        <v>378</v>
      </c>
      <c r="B22" s="486"/>
      <c r="C22" s="259">
        <f>36007165</f>
        <v>36007165</v>
      </c>
      <c r="D22" s="260"/>
      <c r="E22" s="260"/>
      <c r="F22" s="260"/>
      <c r="G22" s="260">
        <v>-15602160</v>
      </c>
      <c r="H22" s="260"/>
      <c r="I22" s="260"/>
      <c r="J22" s="260"/>
      <c r="K22" s="260"/>
      <c r="L22" s="260"/>
      <c r="M22" s="260"/>
      <c r="N22" s="260"/>
      <c r="O22" s="295">
        <f>SUM(C22:N22)</f>
        <v>20405005</v>
      </c>
      <c r="P22" s="286"/>
      <c r="Q22" s="259">
        <f>1408383273-R22-T22-U22</f>
        <v>651371510</v>
      </c>
      <c r="R22" s="260">
        <f>471364320+223251840</f>
        <v>694616160</v>
      </c>
      <c r="S22" s="260"/>
      <c r="T22" s="260">
        <v>41781637</v>
      </c>
      <c r="U22" s="260">
        <v>20613966</v>
      </c>
      <c r="V22" s="260"/>
      <c r="W22" s="260">
        <v>20204054</v>
      </c>
      <c r="X22" s="260">
        <v>5315030</v>
      </c>
      <c r="Y22" s="260"/>
      <c r="Z22" s="260"/>
      <c r="AA22" s="260"/>
      <c r="AB22" s="260">
        <v>7902643</v>
      </c>
      <c r="AC22" s="295">
        <f>SUM(Q22:AB22)</f>
        <v>1441805000</v>
      </c>
      <c r="AD22" s="261"/>
      <c r="AE22" s="258"/>
      <c r="AF22" s="4"/>
      <c r="AG22" s="325"/>
    </row>
    <row r="23" spans="1:33" ht="32.25" customHeight="1">
      <c r="A23" s="487" t="s">
        <v>379</v>
      </c>
      <c r="B23" s="488"/>
      <c r="C23" s="262">
        <f>+C22</f>
        <v>36007165</v>
      </c>
      <c r="D23" s="263"/>
      <c r="E23" s="263"/>
      <c r="F23" s="263"/>
      <c r="G23" s="263">
        <v>-15602160</v>
      </c>
      <c r="H23" s="263"/>
      <c r="I23" s="263"/>
      <c r="J23" s="263"/>
      <c r="K23" s="263"/>
      <c r="L23" s="263"/>
      <c r="M23" s="263"/>
      <c r="N23" s="263"/>
      <c r="O23" s="296">
        <f>SUM(C23:N23)</f>
        <v>20405005</v>
      </c>
      <c r="P23" s="264">
        <f>_xlfn.IFERROR(O23/(SUMIF(C23:N23,"&gt;0",C22:N22))," ")</f>
        <v>0.5666929068145187</v>
      </c>
      <c r="Q23" s="262">
        <v>500430885</v>
      </c>
      <c r="R23" s="263">
        <v>675460145</v>
      </c>
      <c r="S23" s="263"/>
      <c r="T23" s="263">
        <f>150606400-5150968.75</f>
        <v>145455431.25</v>
      </c>
      <c r="U23" s="263">
        <v>41640839.57</v>
      </c>
      <c r="V23" s="263">
        <f>21768027.75-5315517.33</f>
        <v>16452510.42</v>
      </c>
      <c r="W23" s="263">
        <v>131497.39</v>
      </c>
      <c r="X23" s="263">
        <v>19928001</v>
      </c>
      <c r="Y23" s="263">
        <v>5274000</v>
      </c>
      <c r="Z23" s="263">
        <v>843800</v>
      </c>
      <c r="AA23" s="296">
        <f>590688-131850</f>
        <v>458838</v>
      </c>
      <c r="AB23" s="296"/>
      <c r="AC23" s="296">
        <f>SUM(Q23:AB23)</f>
        <v>1406075947.63</v>
      </c>
      <c r="AD23" s="264">
        <f>_xlfn.IFERROR(AC23/(SUMIF(Q23:AB23,"&gt;0",Q22:AB22))," ")</f>
        <v>0.9805939300998026</v>
      </c>
      <c r="AE23" s="258"/>
      <c r="AF23" s="290"/>
      <c r="AG23" s="325"/>
    </row>
    <row r="24" spans="1:33" ht="32.25" customHeight="1">
      <c r="A24" s="487" t="s">
        <v>380</v>
      </c>
      <c r="B24" s="488"/>
      <c r="C24" s="262">
        <v>1953385</v>
      </c>
      <c r="D24" s="263">
        <v>15713620</v>
      </c>
      <c r="E24" s="263">
        <v>2738000</v>
      </c>
      <c r="F24" s="263"/>
      <c r="G24" s="263">
        <f>15602160-15602160</f>
        <v>0</v>
      </c>
      <c r="H24" s="263"/>
      <c r="I24" s="263"/>
      <c r="J24" s="263"/>
      <c r="K24" s="263"/>
      <c r="L24" s="263"/>
      <c r="M24" s="263"/>
      <c r="N24" s="263"/>
      <c r="O24" s="296">
        <f>SUM(C24:N24)</f>
        <v>20405005</v>
      </c>
      <c r="P24" s="287"/>
      <c r="Q24" s="262"/>
      <c r="R24" s="263">
        <v>4886725</v>
      </c>
      <c r="S24" s="263">
        <v>130165990</v>
      </c>
      <c r="T24" s="263">
        <v>171947627</v>
      </c>
      <c r="U24" s="263">
        <v>131883821</v>
      </c>
      <c r="V24" s="263">
        <v>131883821</v>
      </c>
      <c r="W24" s="263">
        <v>131883821</v>
      </c>
      <c r="X24" s="263">
        <v>131883821</v>
      </c>
      <c r="Y24" s="263">
        <v>130565321</v>
      </c>
      <c r="Z24" s="263">
        <v>130565321</v>
      </c>
      <c r="AA24" s="263">
        <v>130565321</v>
      </c>
      <c r="AB24" s="263">
        <f>182151684+20204054+5315030+7902643</f>
        <v>215573411</v>
      </c>
      <c r="AC24" s="296">
        <f>SUM(Q24:AB24)</f>
        <v>1441805000</v>
      </c>
      <c r="AD24" s="264"/>
      <c r="AE24" s="258"/>
      <c r="AF24" s="4"/>
      <c r="AG24" s="325"/>
    </row>
    <row r="25" spans="1:33" ht="32.25" customHeight="1" thickBot="1">
      <c r="A25" s="489" t="s">
        <v>381</v>
      </c>
      <c r="B25" s="490"/>
      <c r="C25" s="265"/>
      <c r="D25" s="266">
        <v>16131411</v>
      </c>
      <c r="E25" s="266">
        <v>4273594</v>
      </c>
      <c r="F25" s="266"/>
      <c r="G25" s="266"/>
      <c r="H25" s="266"/>
      <c r="I25" s="266"/>
      <c r="J25" s="266"/>
      <c r="K25" s="266"/>
      <c r="L25" s="266"/>
      <c r="M25" s="266"/>
      <c r="N25" s="266"/>
      <c r="O25" s="297">
        <f>SUM(C25:N25)</f>
        <v>20405005</v>
      </c>
      <c r="P25" s="191">
        <f>_xlfn.IFERROR(O25/(SUMIF(C25:N25,"&gt;0",C24:N24))," ")</f>
        <v>1.1058652302616248</v>
      </c>
      <c r="Q25" s="265"/>
      <c r="R25" s="266">
        <v>7305595.25</v>
      </c>
      <c r="S25" s="266">
        <v>80551926.48</v>
      </c>
      <c r="T25" s="266">
        <v>117386906.5</v>
      </c>
      <c r="U25" s="266">
        <v>115927991</v>
      </c>
      <c r="V25" s="266">
        <v>131636110</v>
      </c>
      <c r="W25" s="266">
        <v>166369687</v>
      </c>
      <c r="X25" s="266">
        <v>137094315.5</v>
      </c>
      <c r="Y25" s="266">
        <v>132785957.5</v>
      </c>
      <c r="Z25" s="266">
        <v>130034606</v>
      </c>
      <c r="AA25" s="266">
        <v>144698135</v>
      </c>
      <c r="AB25" s="266"/>
      <c r="AC25" s="297">
        <f>SUM(Q25:AB25)</f>
        <v>1163791230.23</v>
      </c>
      <c r="AD25" s="267">
        <f>_xlfn.IFERROR(AC25/(SUMIF(Q25:AB25,"&gt;0",Q24:AB24))," ")</f>
        <v>0.9490794729722136</v>
      </c>
      <c r="AE25" s="258"/>
      <c r="AF25" s="290"/>
      <c r="AG25" s="290"/>
    </row>
    <row r="26" spans="1:31" ht="32.25" customHeight="1" thickBot="1">
      <c r="A26" s="328"/>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27"/>
      <c r="AD26" s="331"/>
      <c r="AE26" s="113"/>
    </row>
    <row r="27" spans="1:31" ht="33.75" customHeight="1">
      <c r="A27" s="515" t="s">
        <v>76</v>
      </c>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8"/>
      <c r="AE27" s="113"/>
    </row>
    <row r="28" spans="1:30"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row>
    <row r="29" spans="1:30" ht="27" customHeight="1">
      <c r="A29" s="495"/>
      <c r="B29" s="443"/>
      <c r="C29" s="445"/>
      <c r="D29" s="250" t="s">
        <v>39</v>
      </c>
      <c r="E29" s="250" t="s">
        <v>40</v>
      </c>
      <c r="F29" s="250" t="s">
        <v>41</v>
      </c>
      <c r="G29" s="250" t="s">
        <v>42</v>
      </c>
      <c r="H29" s="250" t="s">
        <v>43</v>
      </c>
      <c r="I29" s="250" t="s">
        <v>44</v>
      </c>
      <c r="J29" s="250" t="s">
        <v>45</v>
      </c>
      <c r="K29" s="250" t="s">
        <v>46</v>
      </c>
      <c r="L29" s="250" t="s">
        <v>47</v>
      </c>
      <c r="M29" s="250" t="s">
        <v>48</v>
      </c>
      <c r="N29" s="250" t="s">
        <v>49</v>
      </c>
      <c r="O29" s="250" t="s">
        <v>50</v>
      </c>
      <c r="P29" s="425"/>
      <c r="Q29" s="426"/>
      <c r="R29" s="426"/>
      <c r="S29" s="426"/>
      <c r="T29" s="426"/>
      <c r="U29" s="426"/>
      <c r="V29" s="426"/>
      <c r="W29" s="426"/>
      <c r="X29" s="426"/>
      <c r="Y29" s="426"/>
      <c r="Z29" s="426"/>
      <c r="AA29" s="426"/>
      <c r="AB29" s="426"/>
      <c r="AC29" s="426"/>
      <c r="AD29" s="427"/>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524" t="s">
        <v>292</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25" customHeight="1">
      <c r="A32" s="527" t="s">
        <v>190</v>
      </c>
      <c r="B32" s="529" t="s">
        <v>62</v>
      </c>
      <c r="C32" s="529" t="s">
        <v>6</v>
      </c>
      <c r="D32" s="423" t="s">
        <v>60</v>
      </c>
      <c r="E32" s="424"/>
      <c r="F32" s="424"/>
      <c r="G32" s="424"/>
      <c r="H32" s="424"/>
      <c r="I32" s="424"/>
      <c r="J32" s="424"/>
      <c r="K32" s="424"/>
      <c r="L32" s="424"/>
      <c r="M32" s="424"/>
      <c r="N32" s="424"/>
      <c r="O32" s="424"/>
      <c r="P32" s="425"/>
      <c r="Q32" s="423" t="s">
        <v>85</v>
      </c>
      <c r="R32" s="424"/>
      <c r="S32" s="424"/>
      <c r="T32" s="424"/>
      <c r="U32" s="424"/>
      <c r="V32" s="424"/>
      <c r="W32" s="424"/>
      <c r="X32" s="424"/>
      <c r="Y32" s="424"/>
      <c r="Z32" s="424"/>
      <c r="AA32" s="424"/>
      <c r="AB32" s="424"/>
      <c r="AC32" s="424"/>
      <c r="AD32" s="482"/>
      <c r="AG32" s="268"/>
      <c r="AH32" s="268"/>
      <c r="AI32" s="268"/>
      <c r="AJ32" s="268"/>
      <c r="AK32" s="268"/>
      <c r="AL32" s="268"/>
      <c r="AM32" s="268"/>
      <c r="AN32" s="268"/>
      <c r="AO32" s="268"/>
    </row>
    <row r="33" spans="1:41" ht="27" customHeight="1">
      <c r="A33" s="528"/>
      <c r="B33" s="477"/>
      <c r="C33" s="477"/>
      <c r="D33" s="250" t="s">
        <v>39</v>
      </c>
      <c r="E33" s="250" t="s">
        <v>40</v>
      </c>
      <c r="F33" s="250" t="s">
        <v>41</v>
      </c>
      <c r="G33" s="250" t="s">
        <v>42</v>
      </c>
      <c r="H33" s="250" t="s">
        <v>43</v>
      </c>
      <c r="I33" s="250" t="s">
        <v>44</v>
      </c>
      <c r="J33" s="250" t="s">
        <v>45</v>
      </c>
      <c r="K33" s="250" t="s">
        <v>46</v>
      </c>
      <c r="L33" s="250" t="s">
        <v>47</v>
      </c>
      <c r="M33" s="250" t="s">
        <v>48</v>
      </c>
      <c r="N33" s="250" t="s">
        <v>49</v>
      </c>
      <c r="O33" s="250" t="s">
        <v>50</v>
      </c>
      <c r="P33" s="250" t="s">
        <v>8</v>
      </c>
      <c r="Q33" s="423" t="s">
        <v>402</v>
      </c>
      <c r="R33" s="424"/>
      <c r="S33" s="425"/>
      <c r="T33" s="423" t="s">
        <v>403</v>
      </c>
      <c r="U33" s="424"/>
      <c r="V33" s="425"/>
      <c r="W33" s="423" t="s">
        <v>81</v>
      </c>
      <c r="X33" s="424"/>
      <c r="Y33" s="424"/>
      <c r="Z33" s="425"/>
      <c r="AA33" s="423" t="s">
        <v>82</v>
      </c>
      <c r="AB33" s="424"/>
      <c r="AC33" s="424"/>
      <c r="AD33" s="482"/>
      <c r="AG33" s="268"/>
      <c r="AH33" s="268"/>
      <c r="AI33" s="268"/>
      <c r="AJ33" s="268"/>
      <c r="AK33" s="268"/>
      <c r="AL33" s="268"/>
      <c r="AM33" s="268"/>
      <c r="AN33" s="268"/>
      <c r="AO33" s="268"/>
    </row>
    <row r="34" spans="1:41" ht="210" customHeight="1">
      <c r="A34" s="453" t="s">
        <v>429</v>
      </c>
      <c r="B34" s="455">
        <v>0.1</v>
      </c>
      <c r="C34" s="93" t="s">
        <v>9</v>
      </c>
      <c r="D34" s="92">
        <v>7</v>
      </c>
      <c r="E34" s="92">
        <v>7</v>
      </c>
      <c r="F34" s="92">
        <v>7</v>
      </c>
      <c r="G34" s="92">
        <v>7</v>
      </c>
      <c r="H34" s="92">
        <v>7</v>
      </c>
      <c r="I34" s="92">
        <v>7</v>
      </c>
      <c r="J34" s="92">
        <v>7</v>
      </c>
      <c r="K34" s="92">
        <v>7</v>
      </c>
      <c r="L34" s="92">
        <v>7</v>
      </c>
      <c r="M34" s="92">
        <v>7</v>
      </c>
      <c r="N34" s="92">
        <v>7</v>
      </c>
      <c r="O34" s="92">
        <v>7</v>
      </c>
      <c r="P34" s="92">
        <v>7</v>
      </c>
      <c r="Q34" s="465" t="s">
        <v>594</v>
      </c>
      <c r="R34" s="519"/>
      <c r="S34" s="520"/>
      <c r="T34" s="465" t="s">
        <v>595</v>
      </c>
      <c r="U34" s="519"/>
      <c r="V34" s="520"/>
      <c r="W34" s="457" t="s">
        <v>532</v>
      </c>
      <c r="X34" s="458"/>
      <c r="Y34" s="458"/>
      <c r="Z34" s="459"/>
      <c r="AA34" s="457" t="s">
        <v>524</v>
      </c>
      <c r="AB34" s="458"/>
      <c r="AC34" s="458"/>
      <c r="AD34" s="463"/>
      <c r="AG34" s="268"/>
      <c r="AH34" s="268"/>
      <c r="AI34" s="268"/>
      <c r="AJ34" s="268"/>
      <c r="AK34" s="268"/>
      <c r="AL34" s="268"/>
      <c r="AM34" s="268"/>
      <c r="AN34" s="268"/>
      <c r="AO34" s="268"/>
    </row>
    <row r="35" spans="1:41" ht="195" customHeight="1" thickBot="1">
      <c r="A35" s="454"/>
      <c r="B35" s="456"/>
      <c r="C35" s="243" t="s">
        <v>10</v>
      </c>
      <c r="D35" s="243">
        <v>7</v>
      </c>
      <c r="E35" s="243">
        <v>7</v>
      </c>
      <c r="F35" s="242">
        <v>7</v>
      </c>
      <c r="G35" s="242">
        <v>7</v>
      </c>
      <c r="H35" s="242">
        <v>7</v>
      </c>
      <c r="I35" s="242">
        <v>7</v>
      </c>
      <c r="J35" s="242">
        <v>7</v>
      </c>
      <c r="K35" s="242">
        <v>7</v>
      </c>
      <c r="L35" s="242">
        <v>7</v>
      </c>
      <c r="M35" s="242">
        <v>7</v>
      </c>
      <c r="N35" s="242">
        <v>7</v>
      </c>
      <c r="O35" s="242"/>
      <c r="P35" s="243">
        <v>7</v>
      </c>
      <c r="Q35" s="521"/>
      <c r="R35" s="522"/>
      <c r="S35" s="523"/>
      <c r="T35" s="521"/>
      <c r="U35" s="522"/>
      <c r="V35" s="523"/>
      <c r="W35" s="460"/>
      <c r="X35" s="461"/>
      <c r="Y35" s="461"/>
      <c r="Z35" s="462"/>
      <c r="AA35" s="460"/>
      <c r="AB35" s="461"/>
      <c r="AC35" s="461"/>
      <c r="AD35" s="464"/>
      <c r="AE35" s="269"/>
      <c r="AF35" s="270"/>
      <c r="AG35" s="268"/>
      <c r="AH35" s="268"/>
      <c r="AI35" s="268"/>
      <c r="AJ35" s="268"/>
      <c r="AK35" s="268"/>
      <c r="AL35" s="268"/>
      <c r="AM35" s="268"/>
      <c r="AN35" s="268"/>
      <c r="AO35" s="268"/>
    </row>
    <row r="36" spans="1:41"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G36" s="268"/>
      <c r="AH36" s="268"/>
      <c r="AI36" s="268"/>
      <c r="AJ36" s="268"/>
      <c r="AK36" s="268"/>
      <c r="AL36" s="268"/>
      <c r="AM36" s="268"/>
      <c r="AN36" s="268"/>
      <c r="AO36" s="268"/>
    </row>
    <row r="37" spans="1:41" ht="26.25" customHeight="1">
      <c r="A37" s="441"/>
      <c r="B37" s="477"/>
      <c r="C37" s="252" t="s">
        <v>12</v>
      </c>
      <c r="D37" s="252" t="s">
        <v>36</v>
      </c>
      <c r="E37" s="252" t="s">
        <v>37</v>
      </c>
      <c r="F37" s="252" t="s">
        <v>38</v>
      </c>
      <c r="G37" s="252" t="s">
        <v>51</v>
      </c>
      <c r="H37" s="252" t="s">
        <v>52</v>
      </c>
      <c r="I37" s="252" t="s">
        <v>53</v>
      </c>
      <c r="J37" s="252" t="s">
        <v>54</v>
      </c>
      <c r="K37" s="252" t="s">
        <v>55</v>
      </c>
      <c r="L37" s="252" t="s">
        <v>56</v>
      </c>
      <c r="M37" s="252" t="s">
        <v>57</v>
      </c>
      <c r="N37" s="252" t="s">
        <v>58</v>
      </c>
      <c r="O37" s="252" t="s">
        <v>59</v>
      </c>
      <c r="P37" s="252" t="s">
        <v>63</v>
      </c>
      <c r="Q37" s="423" t="s">
        <v>83</v>
      </c>
      <c r="R37" s="424"/>
      <c r="S37" s="424"/>
      <c r="T37" s="424"/>
      <c r="U37" s="424"/>
      <c r="V37" s="424"/>
      <c r="W37" s="424"/>
      <c r="X37" s="424"/>
      <c r="Y37" s="424"/>
      <c r="Z37" s="424"/>
      <c r="AA37" s="424"/>
      <c r="AB37" s="424"/>
      <c r="AC37" s="424"/>
      <c r="AD37" s="482"/>
      <c r="AG37" s="271"/>
      <c r="AH37" s="271"/>
      <c r="AI37" s="271"/>
      <c r="AJ37" s="271"/>
      <c r="AK37" s="271"/>
      <c r="AL37" s="271"/>
      <c r="AM37" s="271"/>
      <c r="AN37" s="271"/>
      <c r="AO37" s="271"/>
    </row>
    <row r="38" spans="1:41" ht="61.5" customHeight="1">
      <c r="A38" s="483" t="s">
        <v>517</v>
      </c>
      <c r="B38" s="473">
        <v>0.03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47" t="s">
        <v>562</v>
      </c>
      <c r="R38" s="448"/>
      <c r="S38" s="448"/>
      <c r="T38" s="448"/>
      <c r="U38" s="448"/>
      <c r="V38" s="448"/>
      <c r="W38" s="448"/>
      <c r="X38" s="448"/>
      <c r="Y38" s="448"/>
      <c r="Z38" s="448"/>
      <c r="AA38" s="448"/>
      <c r="AB38" s="448"/>
      <c r="AC38" s="448"/>
      <c r="AD38" s="449"/>
      <c r="AE38" s="101"/>
      <c r="AG38" s="272"/>
      <c r="AH38" s="272"/>
      <c r="AI38" s="272"/>
      <c r="AJ38" s="272"/>
      <c r="AK38" s="272"/>
      <c r="AL38" s="272"/>
      <c r="AM38" s="272"/>
      <c r="AN38" s="272"/>
      <c r="AO38" s="272"/>
    </row>
    <row r="39" spans="1:31" ht="35.25" customHeight="1">
      <c r="A39" s="484"/>
      <c r="B39" s="491"/>
      <c r="C39" s="103" t="s">
        <v>10</v>
      </c>
      <c r="D39" s="104">
        <v>0.08</v>
      </c>
      <c r="E39" s="104">
        <v>0.06</v>
      </c>
      <c r="F39" s="104">
        <v>0.08</v>
      </c>
      <c r="G39" s="104">
        <v>0.06</v>
      </c>
      <c r="H39" s="104">
        <v>0.08</v>
      </c>
      <c r="I39" s="104">
        <v>0.08</v>
      </c>
      <c r="J39" s="104">
        <v>0.08</v>
      </c>
      <c r="K39" s="104">
        <v>0.09</v>
      </c>
      <c r="L39" s="104">
        <v>0.09</v>
      </c>
      <c r="M39" s="104">
        <v>0.09</v>
      </c>
      <c r="N39" s="104">
        <v>0.09</v>
      </c>
      <c r="O39" s="104"/>
      <c r="P39" s="105">
        <f t="shared" si="0"/>
        <v>0.8799999999999999</v>
      </c>
      <c r="Q39" s="450"/>
      <c r="R39" s="451"/>
      <c r="S39" s="451"/>
      <c r="T39" s="451"/>
      <c r="U39" s="451"/>
      <c r="V39" s="451"/>
      <c r="W39" s="451"/>
      <c r="X39" s="451"/>
      <c r="Y39" s="451"/>
      <c r="Z39" s="451"/>
      <c r="AA39" s="451"/>
      <c r="AB39" s="451"/>
      <c r="AC39" s="451"/>
      <c r="AD39" s="452"/>
      <c r="AE39" s="101"/>
    </row>
    <row r="40" spans="1:31" ht="64.5" customHeight="1">
      <c r="A40" s="484" t="s">
        <v>430</v>
      </c>
      <c r="B40" s="473">
        <v>0.04</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47" t="s">
        <v>578</v>
      </c>
      <c r="R40" s="448"/>
      <c r="S40" s="448"/>
      <c r="T40" s="448"/>
      <c r="U40" s="448"/>
      <c r="V40" s="448"/>
      <c r="W40" s="448"/>
      <c r="X40" s="448"/>
      <c r="Y40" s="448"/>
      <c r="Z40" s="448"/>
      <c r="AA40" s="448"/>
      <c r="AB40" s="448"/>
      <c r="AC40" s="448"/>
      <c r="AD40" s="449"/>
      <c r="AE40" s="101"/>
    </row>
    <row r="41" spans="1:31" ht="64.5" customHeight="1">
      <c r="A41" s="484"/>
      <c r="B41" s="491"/>
      <c r="C41" s="103" t="s">
        <v>10</v>
      </c>
      <c r="D41" s="104">
        <v>0.04</v>
      </c>
      <c r="E41" s="104">
        <v>0.06</v>
      </c>
      <c r="F41" s="104">
        <v>0.08</v>
      </c>
      <c r="G41" s="104">
        <v>0.14</v>
      </c>
      <c r="H41" s="104">
        <v>0.08</v>
      </c>
      <c r="I41" s="104">
        <v>0.08</v>
      </c>
      <c r="J41" s="104">
        <v>0.08</v>
      </c>
      <c r="K41" s="104">
        <v>0.09</v>
      </c>
      <c r="L41" s="104">
        <v>0.09</v>
      </c>
      <c r="M41" s="104">
        <v>0.09</v>
      </c>
      <c r="N41" s="104">
        <v>0.09</v>
      </c>
      <c r="O41" s="108"/>
      <c r="P41" s="105">
        <f t="shared" si="0"/>
        <v>0.9199999999999999</v>
      </c>
      <c r="Q41" s="450"/>
      <c r="R41" s="451"/>
      <c r="S41" s="451"/>
      <c r="T41" s="451"/>
      <c r="U41" s="451"/>
      <c r="V41" s="451"/>
      <c r="W41" s="451"/>
      <c r="X41" s="451"/>
      <c r="Y41" s="451"/>
      <c r="Z41" s="451"/>
      <c r="AA41" s="451"/>
      <c r="AB41" s="451"/>
      <c r="AC41" s="451"/>
      <c r="AD41" s="452"/>
      <c r="AE41" s="101"/>
    </row>
    <row r="42" spans="1:31" ht="43.5" customHeight="1">
      <c r="A42" s="471" t="s">
        <v>432</v>
      </c>
      <c r="B42" s="473">
        <v>0.03</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47" t="s">
        <v>564</v>
      </c>
      <c r="R42" s="448"/>
      <c r="S42" s="448"/>
      <c r="T42" s="448"/>
      <c r="U42" s="448"/>
      <c r="V42" s="448"/>
      <c r="W42" s="448"/>
      <c r="X42" s="448"/>
      <c r="Y42" s="448"/>
      <c r="Z42" s="448"/>
      <c r="AA42" s="448"/>
      <c r="AB42" s="448"/>
      <c r="AC42" s="448"/>
      <c r="AD42" s="449"/>
      <c r="AE42" s="101"/>
    </row>
    <row r="43" spans="1:31" ht="51.75" customHeight="1" thickBot="1">
      <c r="A43" s="472"/>
      <c r="B43" s="474"/>
      <c r="C43" s="94" t="s">
        <v>10</v>
      </c>
      <c r="D43" s="110">
        <v>0</v>
      </c>
      <c r="E43" s="110">
        <v>0.08</v>
      </c>
      <c r="F43" s="110">
        <v>0.08</v>
      </c>
      <c r="G43" s="235">
        <v>0.16</v>
      </c>
      <c r="H43" s="110">
        <v>0.08</v>
      </c>
      <c r="I43" s="110">
        <v>0.08</v>
      </c>
      <c r="J43" s="110">
        <v>0.08</v>
      </c>
      <c r="K43" s="110">
        <v>0.09</v>
      </c>
      <c r="L43" s="110">
        <v>0.09</v>
      </c>
      <c r="M43" s="110">
        <v>0.09</v>
      </c>
      <c r="N43" s="110">
        <v>0.09</v>
      </c>
      <c r="O43" s="111"/>
      <c r="P43" s="112">
        <f t="shared" si="0"/>
        <v>0.9199999999999999</v>
      </c>
      <c r="Q43" s="500"/>
      <c r="R43" s="501"/>
      <c r="S43" s="501"/>
      <c r="T43" s="501"/>
      <c r="U43" s="501"/>
      <c r="V43" s="501"/>
      <c r="W43" s="501"/>
      <c r="X43" s="501"/>
      <c r="Y43" s="501"/>
      <c r="Z43" s="501"/>
      <c r="AA43" s="501"/>
      <c r="AB43" s="501"/>
      <c r="AC43" s="501"/>
      <c r="AD43" s="502"/>
      <c r="AE43" s="101"/>
    </row>
    <row r="44" ht="15">
      <c r="A44" s="113"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90" zoomScaleNormal="90" workbookViewId="0" topLeftCell="Q20">
      <selection activeCell="AB25" sqref="AB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17" t="s">
        <v>293</v>
      </c>
      <c r="B7" s="418"/>
      <c r="C7" s="335" t="s">
        <v>558</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row>
    <row r="8" spans="1:30"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row>
    <row r="9" spans="1:30"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78" customFormat="1" ht="37.5" customHeight="1" thickBot="1">
      <c r="A17" s="398" t="s">
        <v>79</v>
      </c>
      <c r="B17" s="399"/>
      <c r="C17" s="414" t="s">
        <v>433</v>
      </c>
      <c r="D17" s="415"/>
      <c r="E17" s="415"/>
      <c r="F17" s="415"/>
      <c r="G17" s="415"/>
      <c r="H17" s="415"/>
      <c r="I17" s="415"/>
      <c r="J17" s="415"/>
      <c r="K17" s="415"/>
      <c r="L17" s="415"/>
      <c r="M17" s="415"/>
      <c r="N17" s="415"/>
      <c r="O17" s="415"/>
      <c r="P17" s="415"/>
      <c r="Q17" s="416"/>
      <c r="R17" s="338" t="s">
        <v>374</v>
      </c>
      <c r="S17" s="339"/>
      <c r="T17" s="339"/>
      <c r="U17" s="339"/>
      <c r="V17" s="340"/>
      <c r="W17" s="532">
        <v>1</v>
      </c>
      <c r="X17" s="533"/>
      <c r="Y17" s="339" t="s">
        <v>15</v>
      </c>
      <c r="Z17" s="339"/>
      <c r="AA17" s="339"/>
      <c r="AB17" s="340"/>
      <c r="AC17" s="333">
        <v>0.05</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25" customFormat="1"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24"/>
      <c r="AF19" s="324"/>
    </row>
    <row r="20" spans="1:32" s="325" customFormat="1"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24"/>
      <c r="AF20" s="324"/>
    </row>
    <row r="21" spans="1:32" s="325" customFormat="1"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3" t="s">
        <v>39</v>
      </c>
      <c r="R21" s="314" t="s">
        <v>40</v>
      </c>
      <c r="S21" s="314" t="s">
        <v>41</v>
      </c>
      <c r="T21" s="314" t="s">
        <v>42</v>
      </c>
      <c r="U21" s="314" t="s">
        <v>43</v>
      </c>
      <c r="V21" s="314" t="s">
        <v>44</v>
      </c>
      <c r="W21" s="314" t="s">
        <v>45</v>
      </c>
      <c r="X21" s="314" t="s">
        <v>46</v>
      </c>
      <c r="Y21" s="314" t="s">
        <v>47</v>
      </c>
      <c r="Z21" s="314" t="s">
        <v>48</v>
      </c>
      <c r="AA21" s="314" t="s">
        <v>49</v>
      </c>
      <c r="AB21" s="314" t="s">
        <v>50</v>
      </c>
      <c r="AC21" s="314" t="s">
        <v>8</v>
      </c>
      <c r="AD21" s="315" t="s">
        <v>382</v>
      </c>
      <c r="AE21" s="4"/>
      <c r="AF21" s="4"/>
    </row>
    <row r="22" spans="1:32" s="325" customFormat="1" ht="32.25" customHeight="1">
      <c r="A22" s="485" t="s">
        <v>378</v>
      </c>
      <c r="B22" s="486"/>
      <c r="C22" s="187">
        <v>8043845</v>
      </c>
      <c r="D22" s="185"/>
      <c r="E22" s="185"/>
      <c r="F22" s="185"/>
      <c r="G22" s="185"/>
      <c r="H22" s="185"/>
      <c r="I22" s="185"/>
      <c r="J22" s="185"/>
      <c r="K22" s="185"/>
      <c r="L22" s="185"/>
      <c r="M22" s="185"/>
      <c r="N22" s="185"/>
      <c r="O22" s="239">
        <f>SUM(C22:N22)</f>
        <v>8043845</v>
      </c>
      <c r="P22" s="188"/>
      <c r="Q22" s="251">
        <f>804030780-R22</f>
        <v>258260940</v>
      </c>
      <c r="R22" s="237">
        <f>370357680+175412160</f>
        <v>545769840</v>
      </c>
      <c r="S22" s="237"/>
      <c r="T22" s="237"/>
      <c r="U22" s="237"/>
      <c r="V22" s="237"/>
      <c r="W22" s="237"/>
      <c r="X22" s="237">
        <v>-28104771</v>
      </c>
      <c r="Y22" s="237"/>
      <c r="Z22" s="237"/>
      <c r="AA22" s="237"/>
      <c r="AB22" s="237">
        <v>4548991</v>
      </c>
      <c r="AC22" s="294">
        <f>SUM(Q22:AB22)</f>
        <v>780475000</v>
      </c>
      <c r="AD22" s="238"/>
      <c r="AE22" s="4"/>
      <c r="AF22" s="4"/>
    </row>
    <row r="23" spans="1:32" s="325" customFormat="1" ht="32.25" customHeight="1">
      <c r="A23" s="487" t="s">
        <v>379</v>
      </c>
      <c r="B23" s="488"/>
      <c r="C23" s="183">
        <f>+C22</f>
        <v>8043845</v>
      </c>
      <c r="D23" s="182"/>
      <c r="E23" s="182"/>
      <c r="F23" s="182"/>
      <c r="G23" s="182"/>
      <c r="H23" s="182"/>
      <c r="I23" s="182"/>
      <c r="J23" s="182"/>
      <c r="K23" s="182"/>
      <c r="L23" s="182"/>
      <c r="M23" s="182"/>
      <c r="N23" s="182"/>
      <c r="O23" s="240">
        <f>SUM(C23:N23)</f>
        <v>8043845</v>
      </c>
      <c r="P23" s="199">
        <f>_xlfn.IFERROR(O23/(SUMIF(C23:N23,"&gt;0",C22:N22))," ")</f>
        <v>1</v>
      </c>
      <c r="Q23" s="183">
        <v>271549740</v>
      </c>
      <c r="R23" s="182">
        <v>370357680</v>
      </c>
      <c r="S23" s="182"/>
      <c r="T23" s="182">
        <f>118333600-2351477</f>
        <v>115982123</v>
      </c>
      <c r="U23" s="182"/>
      <c r="V23" s="182">
        <v>-4176481.33</v>
      </c>
      <c r="W23" s="182"/>
      <c r="X23" s="182">
        <v>2350524</v>
      </c>
      <c r="Y23" s="182"/>
      <c r="Z23" s="182"/>
      <c r="AA23" s="182">
        <v>464112</v>
      </c>
      <c r="AB23" s="182"/>
      <c r="AC23" s="240">
        <f>SUM(Q23:AB23)</f>
        <v>756527697.67</v>
      </c>
      <c r="AD23" s="190">
        <f>_xlfn.IFERROR(AC23/(SUMIF(Q23:AB23,"&gt;0",Q22:AB22))," ")</f>
        <v>0.9749997923706666</v>
      </c>
      <c r="AE23" s="4"/>
      <c r="AF23" s="4"/>
    </row>
    <row r="24" spans="1:32" s="325" customFormat="1" ht="32.25" customHeight="1">
      <c r="A24" s="487" t="s">
        <v>380</v>
      </c>
      <c r="B24" s="488"/>
      <c r="C24" s="183"/>
      <c r="D24" s="182">
        <v>8043845</v>
      </c>
      <c r="E24" s="182"/>
      <c r="F24" s="182"/>
      <c r="G24" s="182"/>
      <c r="H24" s="182"/>
      <c r="I24" s="182"/>
      <c r="J24" s="182"/>
      <c r="K24" s="182"/>
      <c r="L24" s="182"/>
      <c r="M24" s="182"/>
      <c r="N24" s="182"/>
      <c r="O24" s="240">
        <f>SUM(C24:N24)</f>
        <v>8043845</v>
      </c>
      <c r="P24" s="186"/>
      <c r="Q24" s="183"/>
      <c r="R24" s="182"/>
      <c r="S24" s="182">
        <v>76574360</v>
      </c>
      <c r="T24" s="182">
        <v>76574360</v>
      </c>
      <c r="U24" s="182">
        <v>76574360</v>
      </c>
      <c r="V24" s="182">
        <v>76574360</v>
      </c>
      <c r="W24" s="182">
        <v>76574360</v>
      </c>
      <c r="X24" s="182">
        <v>76574360</v>
      </c>
      <c r="Y24" s="182">
        <v>76574360</v>
      </c>
      <c r="Z24" s="182">
        <v>76574360</v>
      </c>
      <c r="AA24" s="182">
        <v>76574360</v>
      </c>
      <c r="AB24" s="182">
        <f>114861540-28104771+4548991</f>
        <v>91305760</v>
      </c>
      <c r="AC24" s="240">
        <f>SUM(Q24:AB24)</f>
        <v>780475000</v>
      </c>
      <c r="AD24" s="190"/>
      <c r="AE24" s="4"/>
      <c r="AF24" s="4"/>
    </row>
    <row r="25" spans="1:33" s="325" customFormat="1" ht="32.25" customHeight="1" thickBot="1">
      <c r="A25" s="489" t="s">
        <v>381</v>
      </c>
      <c r="B25" s="490"/>
      <c r="C25" s="184"/>
      <c r="D25" s="301">
        <v>6837306</v>
      </c>
      <c r="E25" s="301">
        <v>1206539</v>
      </c>
      <c r="F25" s="301"/>
      <c r="G25" s="301"/>
      <c r="H25" s="301"/>
      <c r="I25" s="301"/>
      <c r="J25" s="301"/>
      <c r="K25" s="301"/>
      <c r="L25" s="301"/>
      <c r="M25" s="301"/>
      <c r="N25" s="301"/>
      <c r="O25" s="293">
        <f>SUM(C25:N25)</f>
        <v>8043845</v>
      </c>
      <c r="P25" s="189">
        <f>_xlfn.IFERROR(O25/(SUMIF(C25:N25,"&gt;0",C24:N24))," ")</f>
        <v>1</v>
      </c>
      <c r="Q25" s="184"/>
      <c r="R25" s="301">
        <v>1113729</v>
      </c>
      <c r="S25" s="301">
        <v>47690718.12</v>
      </c>
      <c r="T25" s="301">
        <v>63918360</v>
      </c>
      <c r="U25" s="301">
        <v>63918360.44</v>
      </c>
      <c r="V25" s="301">
        <v>75055640</v>
      </c>
      <c r="W25" s="301">
        <v>69487000</v>
      </c>
      <c r="X25" s="301">
        <v>80160168</v>
      </c>
      <c r="Y25" s="301">
        <v>75055640</v>
      </c>
      <c r="Z25" s="301">
        <v>69487000</v>
      </c>
      <c r="AA25" s="301">
        <v>80624280</v>
      </c>
      <c r="AB25" s="301"/>
      <c r="AC25" s="293">
        <f>SUM(Q25:AB25)</f>
        <v>626510895.56</v>
      </c>
      <c r="AD25" s="191">
        <f>_xlfn.IFERROR(AC25/(SUMIF(Q25:AB25,"&gt;0",Q24:AB24))," ")</f>
        <v>0.9090813390916866</v>
      </c>
      <c r="AE25" s="4"/>
      <c r="AF25" s="4"/>
      <c r="AG25" s="290"/>
    </row>
    <row r="26" spans="1:30" s="325" customFormat="1" ht="32.25" customHeight="1" thickBot="1">
      <c r="A26" s="328"/>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27"/>
      <c r="AD26" s="331"/>
    </row>
    <row r="27" spans="1:30" s="325" customFormat="1" ht="33.75" customHeight="1">
      <c r="A27" s="515" t="s">
        <v>76</v>
      </c>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8"/>
    </row>
    <row r="28" spans="1:30"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row>
    <row r="29" spans="1:30" ht="27" customHeight="1">
      <c r="A29" s="495"/>
      <c r="B29" s="443"/>
      <c r="C29" s="445"/>
      <c r="D29" s="208" t="s">
        <v>39</v>
      </c>
      <c r="E29" s="208" t="s">
        <v>40</v>
      </c>
      <c r="F29" s="208" t="s">
        <v>41</v>
      </c>
      <c r="G29" s="208" t="s">
        <v>42</v>
      </c>
      <c r="H29" s="208" t="s">
        <v>43</v>
      </c>
      <c r="I29" s="208" t="s">
        <v>44</v>
      </c>
      <c r="J29" s="208" t="s">
        <v>45</v>
      </c>
      <c r="K29" s="208" t="s">
        <v>46</v>
      </c>
      <c r="L29" s="208" t="s">
        <v>47</v>
      </c>
      <c r="M29" s="208" t="s">
        <v>48</v>
      </c>
      <c r="N29" s="208" t="s">
        <v>49</v>
      </c>
      <c r="O29" s="208" t="s">
        <v>50</v>
      </c>
      <c r="P29" s="425"/>
      <c r="Q29" s="426"/>
      <c r="R29" s="426"/>
      <c r="S29" s="426"/>
      <c r="T29" s="426"/>
      <c r="U29" s="426"/>
      <c r="V29" s="426"/>
      <c r="W29" s="426"/>
      <c r="X29" s="426"/>
      <c r="Y29" s="426"/>
      <c r="Z29" s="426"/>
      <c r="AA29" s="426"/>
      <c r="AB29" s="426"/>
      <c r="AC29" s="426"/>
      <c r="AD29" s="427"/>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368" t="s">
        <v>292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41" ht="23.25" customHeight="1">
      <c r="A32" s="441" t="s">
        <v>190</v>
      </c>
      <c r="B32" s="426" t="s">
        <v>62</v>
      </c>
      <c r="C32" s="426" t="s">
        <v>6</v>
      </c>
      <c r="D32" s="426" t="s">
        <v>60</v>
      </c>
      <c r="E32" s="426"/>
      <c r="F32" s="426"/>
      <c r="G32" s="426"/>
      <c r="H32" s="426"/>
      <c r="I32" s="426"/>
      <c r="J32" s="426"/>
      <c r="K32" s="426"/>
      <c r="L32" s="426"/>
      <c r="M32" s="426"/>
      <c r="N32" s="426"/>
      <c r="O32" s="426"/>
      <c r="P32" s="426"/>
      <c r="Q32" s="426" t="s">
        <v>85</v>
      </c>
      <c r="R32" s="426"/>
      <c r="S32" s="426"/>
      <c r="T32" s="426"/>
      <c r="U32" s="426"/>
      <c r="V32" s="426"/>
      <c r="W32" s="426"/>
      <c r="X32" s="426"/>
      <c r="Y32" s="426"/>
      <c r="Z32" s="426"/>
      <c r="AA32" s="426"/>
      <c r="AB32" s="426"/>
      <c r="AC32" s="426"/>
      <c r="AD32" s="427"/>
      <c r="AG32" s="90"/>
      <c r="AH32" s="90"/>
      <c r="AI32" s="90"/>
      <c r="AJ32" s="90"/>
      <c r="AK32" s="90"/>
      <c r="AL32" s="90"/>
      <c r="AM32" s="90"/>
      <c r="AN32" s="90"/>
      <c r="AO32" s="90"/>
    </row>
    <row r="33" spans="1:41" ht="27" customHeight="1">
      <c r="A33" s="441"/>
      <c r="B33" s="426"/>
      <c r="C33" s="442"/>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26" t="s">
        <v>402</v>
      </c>
      <c r="R33" s="426"/>
      <c r="S33" s="426"/>
      <c r="T33" s="426" t="s">
        <v>403</v>
      </c>
      <c r="U33" s="426"/>
      <c r="V33" s="426"/>
      <c r="W33" s="443" t="s">
        <v>81</v>
      </c>
      <c r="X33" s="444"/>
      <c r="Y33" s="444"/>
      <c r="Z33" s="445"/>
      <c r="AA33" s="443" t="s">
        <v>82</v>
      </c>
      <c r="AB33" s="444"/>
      <c r="AC33" s="444"/>
      <c r="AD33" s="446"/>
      <c r="AG33" s="90"/>
      <c r="AH33" s="90"/>
      <c r="AI33" s="90"/>
      <c r="AJ33" s="90"/>
      <c r="AK33" s="90"/>
      <c r="AL33" s="90"/>
      <c r="AM33" s="90"/>
      <c r="AN33" s="90"/>
      <c r="AO33" s="90"/>
    </row>
    <row r="34" spans="1:41" ht="58.5" customHeight="1">
      <c r="A34" s="453" t="s">
        <v>433</v>
      </c>
      <c r="B34" s="530">
        <v>0.05</v>
      </c>
      <c r="C34" s="93" t="s">
        <v>9</v>
      </c>
      <c r="D34" s="212">
        <v>0.08</v>
      </c>
      <c r="E34" s="212">
        <v>0.08</v>
      </c>
      <c r="F34" s="212">
        <v>0.08</v>
      </c>
      <c r="G34" s="212">
        <v>0.08</v>
      </c>
      <c r="H34" s="212">
        <v>0.08</v>
      </c>
      <c r="I34" s="212">
        <v>0.08</v>
      </c>
      <c r="J34" s="212">
        <v>0.08</v>
      </c>
      <c r="K34" s="212">
        <v>0.09</v>
      </c>
      <c r="L34" s="212">
        <v>0.09</v>
      </c>
      <c r="M34" s="212">
        <v>0.09</v>
      </c>
      <c r="N34" s="212">
        <v>0.09</v>
      </c>
      <c r="O34" s="212">
        <v>0.08</v>
      </c>
      <c r="P34" s="168">
        <f>SUM(D34:O34)</f>
        <v>0.9999999999999999</v>
      </c>
      <c r="Q34" s="457" t="s">
        <v>563</v>
      </c>
      <c r="R34" s="458"/>
      <c r="S34" s="459"/>
      <c r="T34" s="457" t="s">
        <v>550</v>
      </c>
      <c r="U34" s="458"/>
      <c r="V34" s="459"/>
      <c r="W34" s="457" t="s">
        <v>529</v>
      </c>
      <c r="X34" s="458"/>
      <c r="Y34" s="458"/>
      <c r="Z34" s="459"/>
      <c r="AA34" s="457" t="s">
        <v>526</v>
      </c>
      <c r="AB34" s="458"/>
      <c r="AC34" s="458"/>
      <c r="AD34" s="463"/>
      <c r="AG34" s="90"/>
      <c r="AH34" s="90"/>
      <c r="AI34" s="90"/>
      <c r="AJ34" s="90"/>
      <c r="AK34" s="90"/>
      <c r="AL34" s="90"/>
      <c r="AM34" s="90"/>
      <c r="AN34" s="90"/>
      <c r="AO34" s="90"/>
    </row>
    <row r="35" spans="1:41" ht="81.75" customHeight="1" thickBot="1">
      <c r="A35" s="454"/>
      <c r="B35" s="531"/>
      <c r="C35" s="94" t="s">
        <v>10</v>
      </c>
      <c r="D35" s="245">
        <v>0.08</v>
      </c>
      <c r="E35" s="245">
        <v>0.08</v>
      </c>
      <c r="F35" s="245">
        <v>0.08</v>
      </c>
      <c r="G35" s="245">
        <v>0.08</v>
      </c>
      <c r="H35" s="245">
        <v>0.08</v>
      </c>
      <c r="I35" s="245">
        <v>0.08</v>
      </c>
      <c r="J35" s="245">
        <v>0.08</v>
      </c>
      <c r="K35" s="245">
        <v>0.09</v>
      </c>
      <c r="L35" s="245">
        <v>0.09</v>
      </c>
      <c r="M35" s="245">
        <v>0.09</v>
      </c>
      <c r="N35" s="245">
        <v>0.09</v>
      </c>
      <c r="O35" s="96"/>
      <c r="P35" s="169">
        <f>SUM(D35:O35)</f>
        <v>0.9199999999999999</v>
      </c>
      <c r="Q35" s="460"/>
      <c r="R35" s="461"/>
      <c r="S35" s="462"/>
      <c r="T35" s="460"/>
      <c r="U35" s="461"/>
      <c r="V35" s="462"/>
      <c r="W35" s="460"/>
      <c r="X35" s="461"/>
      <c r="Y35" s="461"/>
      <c r="Z35" s="462"/>
      <c r="AA35" s="460"/>
      <c r="AB35" s="461"/>
      <c r="AC35" s="461"/>
      <c r="AD35" s="464"/>
      <c r="AE35" s="50"/>
      <c r="AF35" s="97"/>
      <c r="AG35" s="90"/>
      <c r="AH35" s="90"/>
      <c r="AI35" s="90"/>
      <c r="AJ35" s="90"/>
      <c r="AK35" s="90"/>
      <c r="AL35" s="90"/>
      <c r="AM35" s="90"/>
      <c r="AN35" s="90"/>
      <c r="AO35" s="90"/>
    </row>
    <row r="36" spans="1:41"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G36" s="90"/>
      <c r="AH36" s="90"/>
      <c r="AI36" s="90"/>
      <c r="AJ36" s="90"/>
      <c r="AK36" s="90"/>
      <c r="AL36" s="90"/>
      <c r="AM36" s="90"/>
      <c r="AN36" s="90"/>
      <c r="AO36" s="90"/>
    </row>
    <row r="37" spans="1:41" ht="26.25" customHeight="1">
      <c r="A37" s="441"/>
      <c r="B37" s="477"/>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23" t="s">
        <v>83</v>
      </c>
      <c r="R37" s="424"/>
      <c r="S37" s="424"/>
      <c r="T37" s="424"/>
      <c r="U37" s="424"/>
      <c r="V37" s="424"/>
      <c r="W37" s="424"/>
      <c r="X37" s="424"/>
      <c r="Y37" s="424"/>
      <c r="Z37" s="424"/>
      <c r="AA37" s="424"/>
      <c r="AB37" s="424"/>
      <c r="AC37" s="424"/>
      <c r="AD37" s="482"/>
      <c r="AG37" s="98"/>
      <c r="AH37" s="98"/>
      <c r="AI37" s="98"/>
      <c r="AJ37" s="98"/>
      <c r="AK37" s="98"/>
      <c r="AL37" s="98"/>
      <c r="AM37" s="98"/>
      <c r="AN37" s="98"/>
      <c r="AO37" s="98"/>
    </row>
    <row r="38" spans="1:41" ht="29.25" customHeight="1">
      <c r="A38" s="483" t="s">
        <v>434</v>
      </c>
      <c r="B38" s="473">
        <v>0.01</v>
      </c>
      <c r="C38" s="93" t="s">
        <v>9</v>
      </c>
      <c r="D38" s="212">
        <v>0.08</v>
      </c>
      <c r="E38" s="212">
        <v>0.08</v>
      </c>
      <c r="F38" s="212">
        <v>0.08</v>
      </c>
      <c r="G38" s="212">
        <v>0.08</v>
      </c>
      <c r="H38" s="212">
        <v>0.08</v>
      </c>
      <c r="I38" s="212">
        <v>0.08</v>
      </c>
      <c r="J38" s="212">
        <v>0.08</v>
      </c>
      <c r="K38" s="212">
        <v>0.09</v>
      </c>
      <c r="L38" s="212">
        <v>0.09</v>
      </c>
      <c r="M38" s="212">
        <v>0.09</v>
      </c>
      <c r="N38" s="212">
        <v>0.09</v>
      </c>
      <c r="O38" s="212">
        <v>0.08</v>
      </c>
      <c r="P38" s="214">
        <f aca="true" t="shared" si="0" ref="P38:P43">SUM(D38:O38)</f>
        <v>0.9999999999999999</v>
      </c>
      <c r="Q38" s="447" t="s">
        <v>596</v>
      </c>
      <c r="R38" s="448"/>
      <c r="S38" s="448"/>
      <c r="T38" s="448"/>
      <c r="U38" s="448"/>
      <c r="V38" s="448"/>
      <c r="W38" s="448"/>
      <c r="X38" s="448"/>
      <c r="Y38" s="448"/>
      <c r="Z38" s="448"/>
      <c r="AA38" s="448"/>
      <c r="AB38" s="448"/>
      <c r="AC38" s="448"/>
      <c r="AD38" s="449"/>
      <c r="AE38" s="101"/>
      <c r="AG38" s="102"/>
      <c r="AH38" s="102"/>
      <c r="AI38" s="102"/>
      <c r="AJ38" s="102"/>
      <c r="AK38" s="102"/>
      <c r="AL38" s="102"/>
      <c r="AM38" s="102"/>
      <c r="AN38" s="102"/>
      <c r="AO38" s="102"/>
    </row>
    <row r="39" spans="1:31" ht="29.25" customHeight="1">
      <c r="A39" s="484"/>
      <c r="B39" s="491"/>
      <c r="C39" s="103" t="s">
        <v>10</v>
      </c>
      <c r="D39" s="104">
        <v>0.08</v>
      </c>
      <c r="E39" s="104">
        <v>0.08</v>
      </c>
      <c r="F39" s="104">
        <v>0.08</v>
      </c>
      <c r="G39" s="104">
        <v>0.08</v>
      </c>
      <c r="H39" s="104">
        <v>0.08</v>
      </c>
      <c r="I39" s="104">
        <v>0.08</v>
      </c>
      <c r="J39" s="104">
        <v>0.08</v>
      </c>
      <c r="K39" s="104">
        <v>0.09</v>
      </c>
      <c r="L39" s="104">
        <v>0.09</v>
      </c>
      <c r="M39" s="104">
        <v>0.09</v>
      </c>
      <c r="N39" s="104">
        <v>0.09</v>
      </c>
      <c r="O39" s="104"/>
      <c r="P39" s="105">
        <f t="shared" si="0"/>
        <v>0.9199999999999999</v>
      </c>
      <c r="Q39" s="450"/>
      <c r="R39" s="451"/>
      <c r="S39" s="451"/>
      <c r="T39" s="451"/>
      <c r="U39" s="451"/>
      <c r="V39" s="451"/>
      <c r="W39" s="451"/>
      <c r="X39" s="451"/>
      <c r="Y39" s="451"/>
      <c r="Z39" s="451"/>
      <c r="AA39" s="451"/>
      <c r="AB39" s="451"/>
      <c r="AC39" s="451"/>
      <c r="AD39" s="452"/>
      <c r="AE39" s="101"/>
    </row>
    <row r="40" spans="1:31" ht="30" customHeight="1">
      <c r="A40" s="484" t="s">
        <v>435</v>
      </c>
      <c r="B40" s="473">
        <v>0.03</v>
      </c>
      <c r="C40" s="106" t="s">
        <v>9</v>
      </c>
      <c r="D40" s="212">
        <v>0.08</v>
      </c>
      <c r="E40" s="212">
        <v>0.08</v>
      </c>
      <c r="F40" s="212">
        <v>0.08</v>
      </c>
      <c r="G40" s="212">
        <v>0.08</v>
      </c>
      <c r="H40" s="212">
        <v>0.08</v>
      </c>
      <c r="I40" s="212">
        <v>0.08</v>
      </c>
      <c r="J40" s="212">
        <v>0.08</v>
      </c>
      <c r="K40" s="212">
        <v>0.09</v>
      </c>
      <c r="L40" s="212">
        <v>0.09</v>
      </c>
      <c r="M40" s="212">
        <v>0.09</v>
      </c>
      <c r="N40" s="212">
        <v>0.09</v>
      </c>
      <c r="O40" s="212">
        <v>0.08</v>
      </c>
      <c r="P40" s="214">
        <f t="shared" si="0"/>
        <v>0.9999999999999999</v>
      </c>
      <c r="Q40" s="447" t="s">
        <v>589</v>
      </c>
      <c r="R40" s="448"/>
      <c r="S40" s="448"/>
      <c r="T40" s="448"/>
      <c r="U40" s="448"/>
      <c r="V40" s="448"/>
      <c r="W40" s="448"/>
      <c r="X40" s="448"/>
      <c r="Y40" s="448"/>
      <c r="Z40" s="448"/>
      <c r="AA40" s="448"/>
      <c r="AB40" s="448"/>
      <c r="AC40" s="448"/>
      <c r="AD40" s="449"/>
      <c r="AE40" s="101"/>
    </row>
    <row r="41" spans="1:31" ht="29.25" customHeight="1">
      <c r="A41" s="484"/>
      <c r="B41" s="491"/>
      <c r="C41" s="103" t="s">
        <v>10</v>
      </c>
      <c r="D41" s="104">
        <v>0.04</v>
      </c>
      <c r="E41" s="104">
        <v>0.04</v>
      </c>
      <c r="F41" s="104">
        <v>0.08</v>
      </c>
      <c r="G41" s="104">
        <v>0.16</v>
      </c>
      <c r="H41" s="104">
        <v>0.08</v>
      </c>
      <c r="I41" s="104">
        <v>0.08</v>
      </c>
      <c r="J41" s="104">
        <v>0.08</v>
      </c>
      <c r="K41" s="104">
        <v>0.09</v>
      </c>
      <c r="L41" s="104">
        <v>0.09</v>
      </c>
      <c r="M41" s="104">
        <v>0.09</v>
      </c>
      <c r="N41" s="104">
        <v>0.09</v>
      </c>
      <c r="O41" s="108"/>
      <c r="P41" s="105">
        <f t="shared" si="0"/>
        <v>0.9199999999999999</v>
      </c>
      <c r="Q41" s="450"/>
      <c r="R41" s="451"/>
      <c r="S41" s="451"/>
      <c r="T41" s="451"/>
      <c r="U41" s="451"/>
      <c r="V41" s="451"/>
      <c r="W41" s="451"/>
      <c r="X41" s="451"/>
      <c r="Y41" s="451"/>
      <c r="Z41" s="451"/>
      <c r="AA41" s="451"/>
      <c r="AB41" s="451"/>
      <c r="AC41" s="451"/>
      <c r="AD41" s="452"/>
      <c r="AE41" s="101"/>
    </row>
    <row r="42" spans="1:31" ht="41.25" customHeight="1">
      <c r="A42" s="471" t="s">
        <v>436</v>
      </c>
      <c r="B42" s="473">
        <v>0.01</v>
      </c>
      <c r="C42" s="106" t="s">
        <v>9</v>
      </c>
      <c r="D42" s="212">
        <v>0.08</v>
      </c>
      <c r="E42" s="212">
        <v>0.08</v>
      </c>
      <c r="F42" s="212">
        <v>0.08</v>
      </c>
      <c r="G42" s="212">
        <v>0.08</v>
      </c>
      <c r="H42" s="212">
        <v>0.08</v>
      </c>
      <c r="I42" s="212">
        <v>0.08</v>
      </c>
      <c r="J42" s="212">
        <v>0.08</v>
      </c>
      <c r="K42" s="212">
        <v>0.09</v>
      </c>
      <c r="L42" s="212">
        <v>0.09</v>
      </c>
      <c r="M42" s="212">
        <v>0.09</v>
      </c>
      <c r="N42" s="212">
        <v>0.09</v>
      </c>
      <c r="O42" s="212">
        <v>0.08</v>
      </c>
      <c r="P42" s="214">
        <f t="shared" si="0"/>
        <v>0.9999999999999999</v>
      </c>
      <c r="Q42" s="447" t="s">
        <v>579</v>
      </c>
      <c r="R42" s="448"/>
      <c r="S42" s="448"/>
      <c r="T42" s="448"/>
      <c r="U42" s="448"/>
      <c r="V42" s="448"/>
      <c r="W42" s="448"/>
      <c r="X42" s="448"/>
      <c r="Y42" s="448"/>
      <c r="Z42" s="448"/>
      <c r="AA42" s="448"/>
      <c r="AB42" s="448"/>
      <c r="AC42" s="448"/>
      <c r="AD42" s="449"/>
      <c r="AE42" s="101"/>
    </row>
    <row r="43" spans="1:31" ht="36" customHeight="1" thickBot="1">
      <c r="A43" s="472"/>
      <c r="B43" s="474"/>
      <c r="C43" s="94" t="s">
        <v>10</v>
      </c>
      <c r="D43" s="110">
        <v>0</v>
      </c>
      <c r="E43" s="110">
        <v>0.12</v>
      </c>
      <c r="F43" s="110">
        <v>0.08</v>
      </c>
      <c r="G43" s="235">
        <v>0.12</v>
      </c>
      <c r="H43" s="110">
        <v>0.08</v>
      </c>
      <c r="I43" s="110">
        <v>0.08</v>
      </c>
      <c r="J43" s="110">
        <v>0.08</v>
      </c>
      <c r="K43" s="110">
        <v>0.09</v>
      </c>
      <c r="L43" s="110">
        <v>0.09</v>
      </c>
      <c r="M43" s="110">
        <v>0.09</v>
      </c>
      <c r="N43" s="110">
        <v>0.09</v>
      </c>
      <c r="O43" s="111"/>
      <c r="P43" s="112">
        <f t="shared" si="0"/>
        <v>0.9199999999999999</v>
      </c>
      <c r="Q43" s="500"/>
      <c r="R43" s="501"/>
      <c r="S43" s="501"/>
      <c r="T43" s="501"/>
      <c r="U43" s="501"/>
      <c r="V43" s="501"/>
      <c r="W43" s="501"/>
      <c r="X43" s="501"/>
      <c r="Y43" s="501"/>
      <c r="Z43" s="501"/>
      <c r="AA43" s="501"/>
      <c r="AB43" s="501"/>
      <c r="AC43" s="501"/>
      <c r="AD43" s="502"/>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4"/>
  <sheetViews>
    <sheetView showGridLines="0" zoomScale="75" zoomScaleNormal="75" workbookViewId="0" topLeftCell="A1">
      <selection activeCell="H23" sqref="H23"/>
    </sheetView>
  </sheetViews>
  <sheetFormatPr defaultColWidth="10.8515625" defaultRowHeight="15"/>
  <cols>
    <col min="1" max="1" width="38.421875" style="52" customWidth="1"/>
    <col min="2" max="2" width="15.421875" style="52" customWidth="1"/>
    <col min="3" max="14" width="20.7109375" style="52" customWidth="1"/>
    <col min="15" max="15" width="16.8515625" style="52" customWidth="1"/>
    <col min="16" max="19" width="18.140625" style="52" customWidth="1"/>
    <col min="20" max="20" width="24.140625" style="52" customWidth="1"/>
    <col min="21" max="21" width="23.851562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8515625" style="52" customWidth="1"/>
    <col min="38" max="38" width="18.421875" style="52" bestFit="1" customWidth="1"/>
    <col min="39" max="39" width="16.140625" style="52" customWidth="1"/>
    <col min="40" max="16384" width="10.8515625" style="52"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17" t="s">
        <v>293</v>
      </c>
      <c r="B7" s="418"/>
      <c r="C7" s="335" t="s">
        <v>558</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row>
    <row r="8" spans="1:30"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row>
    <row r="9" spans="1:30"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78" customFormat="1" ht="37.5" customHeight="1" thickBot="1">
      <c r="A17" s="398" t="s">
        <v>79</v>
      </c>
      <c r="B17" s="399"/>
      <c r="C17" s="414" t="s">
        <v>437</v>
      </c>
      <c r="D17" s="415"/>
      <c r="E17" s="415"/>
      <c r="F17" s="415"/>
      <c r="G17" s="415"/>
      <c r="H17" s="415"/>
      <c r="I17" s="415"/>
      <c r="J17" s="415"/>
      <c r="K17" s="415"/>
      <c r="L17" s="415"/>
      <c r="M17" s="415"/>
      <c r="N17" s="415"/>
      <c r="O17" s="415"/>
      <c r="P17" s="415"/>
      <c r="Q17" s="416"/>
      <c r="R17" s="338" t="s">
        <v>374</v>
      </c>
      <c r="S17" s="339"/>
      <c r="T17" s="339"/>
      <c r="U17" s="339"/>
      <c r="V17" s="340"/>
      <c r="W17" s="431">
        <v>5</v>
      </c>
      <c r="X17" s="432"/>
      <c r="Y17" s="339" t="s">
        <v>15</v>
      </c>
      <c r="Z17" s="339"/>
      <c r="AA17" s="339"/>
      <c r="AB17" s="340"/>
      <c r="AC17" s="333">
        <v>0.05</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s="325" customFormat="1"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24"/>
    </row>
    <row r="20" spans="1:31" s="325" customFormat="1"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24"/>
    </row>
    <row r="21" spans="1:31" s="325" customFormat="1"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row>
    <row r="22" spans="1:31" s="325" customFormat="1" ht="32.25" customHeight="1">
      <c r="A22" s="485" t="s">
        <v>378</v>
      </c>
      <c r="B22" s="486"/>
      <c r="C22" s="187">
        <f>353053894-1</f>
        <v>353053893</v>
      </c>
      <c r="D22" s="185"/>
      <c r="E22" s="185"/>
      <c r="F22" s="185"/>
      <c r="G22" s="185">
        <v>-14814613.5</v>
      </c>
      <c r="H22" s="185"/>
      <c r="I22" s="185"/>
      <c r="J22" s="185"/>
      <c r="K22" s="185"/>
      <c r="L22" s="185">
        <v>-2099423</v>
      </c>
      <c r="M22" s="185"/>
      <c r="N22" s="185"/>
      <c r="O22" s="239">
        <f>SUM(C22:N22)</f>
        <v>336139856.5</v>
      </c>
      <c r="P22" s="188"/>
      <c r="Q22" s="236">
        <v>110522625</v>
      </c>
      <c r="R22" s="237">
        <f>2406149951-U22-T22-Q22</f>
        <v>2236176575</v>
      </c>
      <c r="S22" s="237"/>
      <c r="T22" s="237">
        <v>41781637</v>
      </c>
      <c r="U22" s="237">
        <v>17669114</v>
      </c>
      <c r="V22" s="237"/>
      <c r="W22" s="237">
        <v>42095408</v>
      </c>
      <c r="X22" s="237">
        <v>-10771499</v>
      </c>
      <c r="Y22" s="237">
        <v>162248996</v>
      </c>
      <c r="Z22" s="237">
        <v>15241800</v>
      </c>
      <c r="AA22" s="237">
        <v>-5613656</v>
      </c>
      <c r="AB22" s="237"/>
      <c r="AC22" s="237">
        <f>SUM(Q22:AB22)</f>
        <v>2609351000</v>
      </c>
      <c r="AD22" s="238"/>
      <c r="AE22" s="4"/>
    </row>
    <row r="23" spans="1:31" s="325" customFormat="1" ht="32.25" customHeight="1">
      <c r="A23" s="487" t="s">
        <v>379</v>
      </c>
      <c r="B23" s="488"/>
      <c r="C23" s="183">
        <f>+C22</f>
        <v>353053893</v>
      </c>
      <c r="D23" s="182"/>
      <c r="E23" s="182"/>
      <c r="F23" s="182"/>
      <c r="G23" s="185">
        <v>-14814613.5</v>
      </c>
      <c r="H23" s="182"/>
      <c r="I23" s="182"/>
      <c r="J23" s="182"/>
      <c r="K23" s="182"/>
      <c r="L23" s="182">
        <v>-2099423</v>
      </c>
      <c r="M23" s="182"/>
      <c r="N23" s="182"/>
      <c r="O23" s="240">
        <f>SUM(C23:N23)</f>
        <v>336139856.5</v>
      </c>
      <c r="P23" s="199">
        <f>_xlfn.IFERROR(O23/(SUMIF(C23:N23,"&gt;0",C22:N22))," ")</f>
        <v>0.9520921965871086</v>
      </c>
      <c r="Q23" s="183">
        <v>197625375</v>
      </c>
      <c r="R23" s="182">
        <v>1660472537</v>
      </c>
      <c r="S23" s="182">
        <v>405576000</v>
      </c>
      <c r="T23" s="182">
        <f>84483000-11228712.75</f>
        <v>73254287.25</v>
      </c>
      <c r="U23" s="182">
        <v>41640839.57</v>
      </c>
      <c r="V23" s="182">
        <f>18658309.5-6447933.33</f>
        <v>12210376.17</v>
      </c>
      <c r="W23" s="263">
        <f>131497.39-0.15</f>
        <v>131497.24000000002</v>
      </c>
      <c r="X23" s="182">
        <v>24545892</v>
      </c>
      <c r="Y23" s="182">
        <v>12068167</v>
      </c>
      <c r="Z23" s="182">
        <f>8648333-16173600</f>
        <v>-7525267</v>
      </c>
      <c r="AA23" s="240">
        <f>171005468-131850</f>
        <v>170873618</v>
      </c>
      <c r="AB23" s="240"/>
      <c r="AC23" s="240">
        <f>SUM(Q23:AB23)</f>
        <v>2590873322.23</v>
      </c>
      <c r="AD23" s="190">
        <f>_xlfn.IFERROR(AC23/(SUMIF(Q23:AB23,"&gt;0",Q22:AB22))," ")</f>
        <v>0.9987526054146063</v>
      </c>
      <c r="AE23" s="4"/>
    </row>
    <row r="24" spans="1:31" s="325" customFormat="1" ht="32.25" customHeight="1">
      <c r="A24" s="487" t="s">
        <v>380</v>
      </c>
      <c r="B24" s="488"/>
      <c r="C24" s="183">
        <f>32134056</f>
        <v>32134056</v>
      </c>
      <c r="D24" s="182">
        <v>210272371</v>
      </c>
      <c r="E24" s="182">
        <v>92234289</v>
      </c>
      <c r="F24" s="182">
        <v>1499141</v>
      </c>
      <c r="G24" s="182">
        <f>16914037-14814613.35-1</f>
        <v>2099422.6500000004</v>
      </c>
      <c r="H24" s="182"/>
      <c r="I24" s="182"/>
      <c r="J24" s="182"/>
      <c r="K24" s="182"/>
      <c r="L24" s="182">
        <v>-2099423</v>
      </c>
      <c r="M24" s="182"/>
      <c r="N24" s="182"/>
      <c r="O24" s="182">
        <f>SUM(C24:N24)</f>
        <v>336139856.65</v>
      </c>
      <c r="P24" s="186"/>
      <c r="Q24" s="183"/>
      <c r="R24" s="182">
        <v>4886725</v>
      </c>
      <c r="S24" s="182">
        <v>253531850</v>
      </c>
      <c r="T24" s="182">
        <v>295313487</v>
      </c>
      <c r="U24" s="182">
        <v>255004276</v>
      </c>
      <c r="V24" s="182">
        <v>255004276</v>
      </c>
      <c r="W24" s="182">
        <v>255004276</v>
      </c>
      <c r="X24" s="182">
        <v>255004276</v>
      </c>
      <c r="Y24" s="182">
        <v>253685776</v>
      </c>
      <c r="Z24" s="182">
        <v>253685776</v>
      </c>
      <c r="AA24" s="182">
        <v>253685776</v>
      </c>
      <c r="AB24" s="182">
        <f>71343457+219586204-10771499-5613656</f>
        <v>274544506</v>
      </c>
      <c r="AC24" s="182">
        <f>SUM(Q24:AB24)</f>
        <v>2609351000</v>
      </c>
      <c r="AD24" s="190"/>
      <c r="AE24" s="4"/>
    </row>
    <row r="25" spans="1:31" s="325" customFormat="1" ht="32.25" customHeight="1" thickBot="1">
      <c r="A25" s="489" t="s">
        <v>381</v>
      </c>
      <c r="B25" s="490"/>
      <c r="C25" s="184">
        <v>30180671</v>
      </c>
      <c r="D25" s="301">
        <v>212225756</v>
      </c>
      <c r="E25" s="301">
        <v>92234288</v>
      </c>
      <c r="F25" s="301"/>
      <c r="G25" s="301">
        <f>1499141.7</f>
        <v>1499141.7</v>
      </c>
      <c r="H25" s="301"/>
      <c r="I25" s="301"/>
      <c r="J25" s="301"/>
      <c r="K25" s="301"/>
      <c r="L25" s="301"/>
      <c r="M25" s="301"/>
      <c r="N25" s="301"/>
      <c r="O25" s="293">
        <f>SUM(C25:N25)</f>
        <v>336139856.7</v>
      </c>
      <c r="P25" s="189">
        <f>_xlfn.IFERROR(O25/(SUMIF(C25:N25,"&gt;0",C24:N24))," ")</f>
        <v>0.9982173733359898</v>
      </c>
      <c r="Q25" s="184"/>
      <c r="R25" s="301">
        <v>6431659.25</v>
      </c>
      <c r="S25" s="301">
        <v>69143946.1</v>
      </c>
      <c r="T25" s="301">
        <v>221278333</v>
      </c>
      <c r="U25" s="301">
        <v>252793718</v>
      </c>
      <c r="V25" s="301">
        <v>253480249.5</v>
      </c>
      <c r="W25" s="301">
        <f>298983097.8-0.07</f>
        <v>298983097.73</v>
      </c>
      <c r="X25" s="301">
        <v>265647284.5</v>
      </c>
      <c r="Y25" s="301">
        <f>248646208.5-175800</f>
        <v>248470408.5</v>
      </c>
      <c r="Z25" s="301">
        <v>248123000</v>
      </c>
      <c r="AA25" s="301">
        <v>247270417</v>
      </c>
      <c r="AB25" s="301"/>
      <c r="AC25" s="293">
        <f>SUM(Q25:AB25)</f>
        <v>2111622113.58</v>
      </c>
      <c r="AD25" s="191">
        <f>_xlfn.IFERROR(AC25/(SUMIF(Q25:AB25,"&gt;0",Q24:AB24))," ")</f>
        <v>0.9044099024936153</v>
      </c>
      <c r="AE25" s="4"/>
    </row>
    <row r="26" spans="1:30" s="325" customFormat="1" ht="32.25" customHeight="1" thickBot="1">
      <c r="A26" s="328"/>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27"/>
      <c r="AD26" s="331"/>
    </row>
    <row r="27" spans="1:30" s="325" customFormat="1" ht="33.75" customHeight="1">
      <c r="A27" s="515" t="s">
        <v>76</v>
      </c>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8"/>
    </row>
    <row r="28" spans="1:30"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row>
    <row r="29" spans="1:30" ht="27" customHeight="1">
      <c r="A29" s="495"/>
      <c r="B29" s="443"/>
      <c r="C29" s="445"/>
      <c r="D29" s="208" t="s">
        <v>39</v>
      </c>
      <c r="E29" s="208" t="s">
        <v>40</v>
      </c>
      <c r="F29" s="208" t="s">
        <v>41</v>
      </c>
      <c r="G29" s="208" t="s">
        <v>42</v>
      </c>
      <c r="H29" s="208" t="s">
        <v>43</v>
      </c>
      <c r="I29" s="208" t="s">
        <v>44</v>
      </c>
      <c r="J29" s="208" t="s">
        <v>45</v>
      </c>
      <c r="K29" s="208" t="s">
        <v>46</v>
      </c>
      <c r="L29" s="208" t="s">
        <v>47</v>
      </c>
      <c r="M29" s="208" t="s">
        <v>48</v>
      </c>
      <c r="N29" s="208" t="s">
        <v>49</v>
      </c>
      <c r="O29" s="208" t="s">
        <v>50</v>
      </c>
      <c r="P29" s="425"/>
      <c r="Q29" s="426"/>
      <c r="R29" s="426"/>
      <c r="S29" s="426"/>
      <c r="T29" s="426"/>
      <c r="U29" s="426"/>
      <c r="V29" s="426"/>
      <c r="W29" s="426"/>
      <c r="X29" s="426"/>
      <c r="Y29" s="426"/>
      <c r="Z29" s="426"/>
      <c r="AA29" s="426"/>
      <c r="AB29" s="426"/>
      <c r="AC29" s="426"/>
      <c r="AD29" s="427"/>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368" t="s">
        <v>292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38" ht="23.25" customHeight="1">
      <c r="A32" s="441" t="s">
        <v>190</v>
      </c>
      <c r="B32" s="426" t="s">
        <v>62</v>
      </c>
      <c r="C32" s="426" t="s">
        <v>6</v>
      </c>
      <c r="D32" s="426" t="s">
        <v>60</v>
      </c>
      <c r="E32" s="426"/>
      <c r="F32" s="426"/>
      <c r="G32" s="426"/>
      <c r="H32" s="426"/>
      <c r="I32" s="426"/>
      <c r="J32" s="426"/>
      <c r="K32" s="426"/>
      <c r="L32" s="426"/>
      <c r="M32" s="426"/>
      <c r="N32" s="426"/>
      <c r="O32" s="426"/>
      <c r="P32" s="426"/>
      <c r="Q32" s="426" t="s">
        <v>85</v>
      </c>
      <c r="R32" s="426"/>
      <c r="S32" s="426"/>
      <c r="T32" s="426"/>
      <c r="U32" s="426"/>
      <c r="V32" s="426"/>
      <c r="W32" s="426"/>
      <c r="X32" s="426"/>
      <c r="Y32" s="426"/>
      <c r="Z32" s="426"/>
      <c r="AA32" s="426"/>
      <c r="AB32" s="426"/>
      <c r="AC32" s="426"/>
      <c r="AD32" s="427"/>
      <c r="AF32" s="90"/>
      <c r="AG32" s="90"/>
      <c r="AH32" s="90"/>
      <c r="AI32" s="90"/>
      <c r="AJ32" s="90"/>
      <c r="AK32" s="90"/>
      <c r="AL32" s="90"/>
    </row>
    <row r="33" spans="1:38" ht="27" customHeight="1">
      <c r="A33" s="441"/>
      <c r="B33" s="426"/>
      <c r="C33" s="442"/>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26" t="s">
        <v>402</v>
      </c>
      <c r="R33" s="426"/>
      <c r="S33" s="426"/>
      <c r="T33" s="426" t="s">
        <v>403</v>
      </c>
      <c r="U33" s="426"/>
      <c r="V33" s="426"/>
      <c r="W33" s="443" t="s">
        <v>81</v>
      </c>
      <c r="X33" s="444"/>
      <c r="Y33" s="444"/>
      <c r="Z33" s="445"/>
      <c r="AA33" s="443" t="s">
        <v>82</v>
      </c>
      <c r="AB33" s="444"/>
      <c r="AC33" s="444"/>
      <c r="AD33" s="446"/>
      <c r="AF33" s="90"/>
      <c r="AG33" s="90"/>
      <c r="AH33" s="90"/>
      <c r="AI33" s="90"/>
      <c r="AJ33" s="90"/>
      <c r="AK33" s="90"/>
      <c r="AL33" s="90"/>
    </row>
    <row r="34" spans="1:38" ht="171.75" customHeight="1">
      <c r="A34" s="453" t="s">
        <v>437</v>
      </c>
      <c r="B34" s="455">
        <v>0.05</v>
      </c>
      <c r="C34" s="93" t="s">
        <v>9</v>
      </c>
      <c r="D34" s="92">
        <v>5</v>
      </c>
      <c r="E34" s="92">
        <v>5</v>
      </c>
      <c r="F34" s="92">
        <v>5</v>
      </c>
      <c r="G34" s="92">
        <v>5</v>
      </c>
      <c r="H34" s="92">
        <v>5</v>
      </c>
      <c r="I34" s="92">
        <v>5</v>
      </c>
      <c r="J34" s="92">
        <v>5</v>
      </c>
      <c r="K34" s="92">
        <v>5</v>
      </c>
      <c r="L34" s="92">
        <v>5</v>
      </c>
      <c r="M34" s="92">
        <v>5</v>
      </c>
      <c r="N34" s="92">
        <v>5</v>
      </c>
      <c r="O34" s="92">
        <v>5</v>
      </c>
      <c r="P34" s="92">
        <v>5</v>
      </c>
      <c r="Q34" s="465" t="s">
        <v>565</v>
      </c>
      <c r="R34" s="466"/>
      <c r="S34" s="467"/>
      <c r="T34" s="465" t="s">
        <v>568</v>
      </c>
      <c r="U34" s="466"/>
      <c r="V34" s="467"/>
      <c r="W34" s="465" t="s">
        <v>543</v>
      </c>
      <c r="X34" s="466"/>
      <c r="Y34" s="466"/>
      <c r="Z34" s="467"/>
      <c r="AA34" s="457" t="s">
        <v>533</v>
      </c>
      <c r="AB34" s="458"/>
      <c r="AC34" s="458"/>
      <c r="AD34" s="463"/>
      <c r="AF34" s="90"/>
      <c r="AG34" s="90"/>
      <c r="AH34" s="90"/>
      <c r="AI34" s="90"/>
      <c r="AJ34" s="90"/>
      <c r="AK34" s="90"/>
      <c r="AL34" s="90"/>
    </row>
    <row r="35" spans="1:38" ht="198.75" customHeight="1" thickBot="1">
      <c r="A35" s="454"/>
      <c r="B35" s="456"/>
      <c r="C35" s="243" t="s">
        <v>10</v>
      </c>
      <c r="D35" s="243">
        <v>4</v>
      </c>
      <c r="E35" s="243">
        <v>4</v>
      </c>
      <c r="F35" s="242">
        <v>4</v>
      </c>
      <c r="G35" s="242">
        <v>4</v>
      </c>
      <c r="H35" s="242">
        <v>4</v>
      </c>
      <c r="I35" s="242">
        <v>4</v>
      </c>
      <c r="J35" s="242">
        <v>4</v>
      </c>
      <c r="K35" s="242">
        <v>4</v>
      </c>
      <c r="L35" s="242">
        <v>5</v>
      </c>
      <c r="M35" s="242">
        <v>5</v>
      </c>
      <c r="N35" s="242">
        <v>5</v>
      </c>
      <c r="O35" s="242"/>
      <c r="P35" s="243">
        <v>5</v>
      </c>
      <c r="Q35" s="468"/>
      <c r="R35" s="469"/>
      <c r="S35" s="470"/>
      <c r="T35" s="468"/>
      <c r="U35" s="469"/>
      <c r="V35" s="470"/>
      <c r="W35" s="468"/>
      <c r="X35" s="469"/>
      <c r="Y35" s="469"/>
      <c r="Z35" s="470"/>
      <c r="AA35" s="460"/>
      <c r="AB35" s="461"/>
      <c r="AC35" s="461"/>
      <c r="AD35" s="464"/>
      <c r="AE35" s="50"/>
      <c r="AF35" s="90"/>
      <c r="AG35" s="90"/>
      <c r="AH35" s="90"/>
      <c r="AI35" s="90"/>
      <c r="AJ35" s="90"/>
      <c r="AK35" s="90"/>
      <c r="AL35" s="90"/>
    </row>
    <row r="36" spans="1:38"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F36" s="90"/>
      <c r="AG36" s="90"/>
      <c r="AH36" s="90"/>
      <c r="AI36" s="90"/>
      <c r="AJ36" s="90"/>
      <c r="AK36" s="90"/>
      <c r="AL36" s="90"/>
    </row>
    <row r="37" spans="1:38" ht="26.25" customHeight="1">
      <c r="A37" s="441"/>
      <c r="B37" s="477"/>
      <c r="C37" s="283" t="s">
        <v>12</v>
      </c>
      <c r="D37" s="283" t="s">
        <v>36</v>
      </c>
      <c r="E37" s="283" t="s">
        <v>37</v>
      </c>
      <c r="F37" s="283" t="s">
        <v>38</v>
      </c>
      <c r="G37" s="283" t="s">
        <v>51</v>
      </c>
      <c r="H37" s="283" t="s">
        <v>52</v>
      </c>
      <c r="I37" s="283" t="s">
        <v>53</v>
      </c>
      <c r="J37" s="283" t="s">
        <v>54</v>
      </c>
      <c r="K37" s="283" t="s">
        <v>55</v>
      </c>
      <c r="L37" s="283" t="s">
        <v>56</v>
      </c>
      <c r="M37" s="283" t="s">
        <v>57</v>
      </c>
      <c r="N37" s="283" t="s">
        <v>58</v>
      </c>
      <c r="O37" s="283" t="s">
        <v>59</v>
      </c>
      <c r="P37" s="283" t="s">
        <v>63</v>
      </c>
      <c r="Q37" s="423" t="s">
        <v>83</v>
      </c>
      <c r="R37" s="424"/>
      <c r="S37" s="424"/>
      <c r="T37" s="424"/>
      <c r="U37" s="424"/>
      <c r="V37" s="424"/>
      <c r="W37" s="424"/>
      <c r="X37" s="424"/>
      <c r="Y37" s="424"/>
      <c r="Z37" s="424"/>
      <c r="AA37" s="424"/>
      <c r="AB37" s="424"/>
      <c r="AC37" s="424"/>
      <c r="AD37" s="482"/>
      <c r="AF37" s="98"/>
      <c r="AG37" s="98"/>
      <c r="AH37" s="98"/>
      <c r="AI37" s="98"/>
      <c r="AJ37" s="98"/>
      <c r="AK37" s="98"/>
      <c r="AL37" s="98"/>
    </row>
    <row r="38" spans="1:38" ht="69.75" customHeight="1">
      <c r="A38" s="483" t="s">
        <v>512</v>
      </c>
      <c r="B38" s="473">
        <v>0.01</v>
      </c>
      <c r="C38" s="93" t="s">
        <v>9</v>
      </c>
      <c r="D38" s="212">
        <v>0.08</v>
      </c>
      <c r="E38" s="212">
        <v>0.08</v>
      </c>
      <c r="F38" s="212">
        <v>0.08</v>
      </c>
      <c r="G38" s="212">
        <v>0.08</v>
      </c>
      <c r="H38" s="212">
        <v>0.08</v>
      </c>
      <c r="I38" s="212">
        <v>0.08</v>
      </c>
      <c r="J38" s="212">
        <v>0.08</v>
      </c>
      <c r="K38" s="212">
        <v>0.09</v>
      </c>
      <c r="L38" s="212">
        <v>0.09</v>
      </c>
      <c r="M38" s="212">
        <v>0.09</v>
      </c>
      <c r="N38" s="212">
        <v>0.09</v>
      </c>
      <c r="O38" s="212">
        <v>0.08</v>
      </c>
      <c r="P38" s="215">
        <f aca="true" t="shared" si="0" ref="P38:P43">SUM(D38:O38)</f>
        <v>0.9999999999999999</v>
      </c>
      <c r="Q38" s="447" t="s">
        <v>567</v>
      </c>
      <c r="R38" s="448"/>
      <c r="S38" s="448"/>
      <c r="T38" s="448"/>
      <c r="U38" s="448"/>
      <c r="V38" s="448"/>
      <c r="W38" s="448"/>
      <c r="X38" s="448"/>
      <c r="Y38" s="448"/>
      <c r="Z38" s="448"/>
      <c r="AA38" s="448"/>
      <c r="AB38" s="448"/>
      <c r="AC38" s="448"/>
      <c r="AD38" s="449"/>
      <c r="AE38" s="101"/>
      <c r="AF38" s="102"/>
      <c r="AG38" s="102"/>
      <c r="AH38" s="102"/>
      <c r="AI38" s="102"/>
      <c r="AJ38" s="102"/>
      <c r="AK38" s="102"/>
      <c r="AL38" s="102"/>
    </row>
    <row r="39" spans="1:31" ht="69.75" customHeight="1">
      <c r="A39" s="484"/>
      <c r="B39" s="491"/>
      <c r="C39" s="103" t="s">
        <v>10</v>
      </c>
      <c r="D39" s="104">
        <v>0.06</v>
      </c>
      <c r="E39" s="104">
        <v>0.06</v>
      </c>
      <c r="F39" s="104">
        <v>0.06</v>
      </c>
      <c r="G39" s="104">
        <v>0.06</v>
      </c>
      <c r="H39" s="104">
        <v>0.08</v>
      </c>
      <c r="I39" s="104">
        <v>0.08</v>
      </c>
      <c r="J39" s="104">
        <v>0.08</v>
      </c>
      <c r="K39" s="104">
        <v>0.09</v>
      </c>
      <c r="L39" s="104">
        <v>0.09</v>
      </c>
      <c r="M39" s="104">
        <v>0.09</v>
      </c>
      <c r="N39" s="104">
        <v>0.09</v>
      </c>
      <c r="O39" s="104"/>
      <c r="P39" s="105">
        <f t="shared" si="0"/>
        <v>0.84</v>
      </c>
      <c r="Q39" s="538"/>
      <c r="R39" s="539"/>
      <c r="S39" s="539"/>
      <c r="T39" s="539"/>
      <c r="U39" s="539"/>
      <c r="V39" s="539"/>
      <c r="W39" s="539"/>
      <c r="X39" s="539"/>
      <c r="Y39" s="539"/>
      <c r="Z39" s="539"/>
      <c r="AA39" s="539"/>
      <c r="AB39" s="539"/>
      <c r="AC39" s="539"/>
      <c r="AD39" s="540"/>
      <c r="AE39" s="101"/>
    </row>
    <row r="40" spans="1:31" ht="28.5" customHeight="1">
      <c r="A40" s="484" t="s">
        <v>438</v>
      </c>
      <c r="B40" s="473">
        <v>0.02</v>
      </c>
      <c r="C40" s="106" t="s">
        <v>9</v>
      </c>
      <c r="D40" s="212">
        <v>0.08</v>
      </c>
      <c r="E40" s="212">
        <v>0.08</v>
      </c>
      <c r="F40" s="212">
        <v>0.08</v>
      </c>
      <c r="G40" s="212">
        <v>0.08</v>
      </c>
      <c r="H40" s="212">
        <v>0.08</v>
      </c>
      <c r="I40" s="212">
        <v>0.08</v>
      </c>
      <c r="J40" s="212">
        <v>0.08</v>
      </c>
      <c r="K40" s="212">
        <v>0.09</v>
      </c>
      <c r="L40" s="212">
        <v>0.09</v>
      </c>
      <c r="M40" s="212">
        <v>0.09</v>
      </c>
      <c r="N40" s="212">
        <v>0.09</v>
      </c>
      <c r="O40" s="212">
        <v>0.08</v>
      </c>
      <c r="P40" s="215">
        <f t="shared" si="0"/>
        <v>0.9999999999999999</v>
      </c>
      <c r="Q40" s="534" t="s">
        <v>583</v>
      </c>
      <c r="R40" s="534"/>
      <c r="S40" s="534"/>
      <c r="T40" s="534"/>
      <c r="U40" s="534"/>
      <c r="V40" s="534"/>
      <c r="W40" s="534"/>
      <c r="X40" s="534"/>
      <c r="Y40" s="534"/>
      <c r="Z40" s="534"/>
      <c r="AA40" s="534"/>
      <c r="AB40" s="534"/>
      <c r="AC40" s="534"/>
      <c r="AD40" s="535"/>
      <c r="AE40" s="101"/>
    </row>
    <row r="41" spans="1:31" ht="44.25" customHeight="1">
      <c r="A41" s="484"/>
      <c r="B41" s="491"/>
      <c r="C41" s="103" t="s">
        <v>10</v>
      </c>
      <c r="D41" s="104">
        <v>0.08</v>
      </c>
      <c r="E41" s="104">
        <v>0.08</v>
      </c>
      <c r="F41" s="104">
        <v>0.08</v>
      </c>
      <c r="G41" s="104">
        <v>0.08</v>
      </c>
      <c r="H41" s="104">
        <v>0.08</v>
      </c>
      <c r="I41" s="104">
        <v>0.08</v>
      </c>
      <c r="J41" s="104">
        <v>0.08</v>
      </c>
      <c r="K41" s="104">
        <v>0.09</v>
      </c>
      <c r="L41" s="104">
        <v>0.09</v>
      </c>
      <c r="M41" s="104">
        <v>0.09</v>
      </c>
      <c r="N41" s="104">
        <v>0.09</v>
      </c>
      <c r="O41" s="108"/>
      <c r="P41" s="105">
        <f t="shared" si="0"/>
        <v>0.9199999999999999</v>
      </c>
      <c r="Q41" s="534"/>
      <c r="R41" s="534"/>
      <c r="S41" s="534"/>
      <c r="T41" s="534"/>
      <c r="U41" s="534"/>
      <c r="V41" s="534"/>
      <c r="W41" s="534"/>
      <c r="X41" s="534"/>
      <c r="Y41" s="534"/>
      <c r="Z41" s="534"/>
      <c r="AA41" s="534"/>
      <c r="AB41" s="534"/>
      <c r="AC41" s="534"/>
      <c r="AD41" s="535"/>
      <c r="AE41" s="101"/>
    </row>
    <row r="42" spans="1:31" ht="28.5" customHeight="1">
      <c r="A42" s="536" t="s">
        <v>439</v>
      </c>
      <c r="B42" s="473">
        <v>0.02</v>
      </c>
      <c r="C42" s="106" t="s">
        <v>9</v>
      </c>
      <c r="D42" s="212">
        <v>0.08</v>
      </c>
      <c r="E42" s="212">
        <v>0.08</v>
      </c>
      <c r="F42" s="212">
        <v>0.08</v>
      </c>
      <c r="G42" s="212">
        <v>0.08</v>
      </c>
      <c r="H42" s="212">
        <v>0.08</v>
      </c>
      <c r="I42" s="212">
        <v>0.08</v>
      </c>
      <c r="J42" s="212">
        <v>0.08</v>
      </c>
      <c r="K42" s="212">
        <v>0.09</v>
      </c>
      <c r="L42" s="212">
        <v>0.09</v>
      </c>
      <c r="M42" s="212">
        <v>0.09</v>
      </c>
      <c r="N42" s="212">
        <v>0.09</v>
      </c>
      <c r="O42" s="212">
        <v>0.08</v>
      </c>
      <c r="P42" s="215">
        <f t="shared" si="0"/>
        <v>0.9999999999999999</v>
      </c>
      <c r="Q42" s="534" t="s">
        <v>603</v>
      </c>
      <c r="R42" s="534"/>
      <c r="S42" s="534"/>
      <c r="T42" s="534"/>
      <c r="U42" s="534"/>
      <c r="V42" s="534"/>
      <c r="W42" s="534"/>
      <c r="X42" s="534"/>
      <c r="Y42" s="534"/>
      <c r="Z42" s="534"/>
      <c r="AA42" s="534"/>
      <c r="AB42" s="534"/>
      <c r="AC42" s="534"/>
      <c r="AD42" s="535"/>
      <c r="AE42" s="101"/>
    </row>
    <row r="43" spans="1:31" ht="87.75" customHeight="1" thickBot="1">
      <c r="A43" s="537"/>
      <c r="B43" s="474"/>
      <c r="C43" s="94" t="s">
        <v>10</v>
      </c>
      <c r="D43" s="110">
        <v>0.08</v>
      </c>
      <c r="E43" s="110">
        <v>0.08</v>
      </c>
      <c r="F43" s="110">
        <v>0.08</v>
      </c>
      <c r="G43" s="235">
        <v>0.08</v>
      </c>
      <c r="H43" s="110">
        <v>0.08</v>
      </c>
      <c r="I43" s="110">
        <v>0.08</v>
      </c>
      <c r="J43" s="110">
        <v>0.08</v>
      </c>
      <c r="K43" s="110">
        <v>0.09</v>
      </c>
      <c r="L43" s="110">
        <v>0.09</v>
      </c>
      <c r="M43" s="110">
        <v>0.09</v>
      </c>
      <c r="N43" s="110">
        <v>0.09</v>
      </c>
      <c r="O43" s="111"/>
      <c r="P43" s="112">
        <f t="shared" si="0"/>
        <v>0.9199999999999999</v>
      </c>
      <c r="Q43" s="727"/>
      <c r="R43" s="727"/>
      <c r="S43" s="727"/>
      <c r="T43" s="727"/>
      <c r="U43" s="727"/>
      <c r="V43" s="727"/>
      <c r="W43" s="727"/>
      <c r="X43" s="727"/>
      <c r="Y43" s="727"/>
      <c r="Z43" s="727"/>
      <c r="AA43" s="727"/>
      <c r="AB43" s="727"/>
      <c r="AC43" s="727"/>
      <c r="AD43" s="728"/>
      <c r="AE43" s="101"/>
    </row>
    <row r="44" ht="15">
      <c r="A44" s="52"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7"/>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61"/>
      <c r="B1" s="615" t="s">
        <v>16</v>
      </c>
      <c r="C1" s="616"/>
      <c r="D1" s="616"/>
      <c r="E1" s="616"/>
      <c r="F1" s="616"/>
      <c r="G1" s="616"/>
      <c r="H1" s="616"/>
      <c r="I1" s="616"/>
      <c r="J1" s="616"/>
      <c r="K1" s="616"/>
      <c r="L1" s="616"/>
      <c r="M1" s="616"/>
      <c r="N1" s="616"/>
      <c r="O1" s="616"/>
      <c r="P1" s="616"/>
      <c r="Q1" s="616"/>
      <c r="R1" s="616"/>
      <c r="S1" s="616"/>
      <c r="T1" s="616"/>
      <c r="U1" s="616"/>
      <c r="V1" s="616"/>
      <c r="W1" s="616"/>
      <c r="X1" s="616"/>
      <c r="Y1" s="617"/>
      <c r="Z1" s="610" t="s">
        <v>18</v>
      </c>
      <c r="AA1" s="611"/>
      <c r="AB1" s="612"/>
    </row>
    <row r="2" spans="1:28" ht="30.75" customHeight="1">
      <c r="A2" s="562"/>
      <c r="B2" s="618" t="s">
        <v>17</v>
      </c>
      <c r="C2" s="619"/>
      <c r="D2" s="619"/>
      <c r="E2" s="619"/>
      <c r="F2" s="619"/>
      <c r="G2" s="619"/>
      <c r="H2" s="619"/>
      <c r="I2" s="619"/>
      <c r="J2" s="619"/>
      <c r="K2" s="619"/>
      <c r="L2" s="619"/>
      <c r="M2" s="619"/>
      <c r="N2" s="619"/>
      <c r="O2" s="619"/>
      <c r="P2" s="619"/>
      <c r="Q2" s="619"/>
      <c r="R2" s="619"/>
      <c r="S2" s="619"/>
      <c r="T2" s="619"/>
      <c r="U2" s="619"/>
      <c r="V2" s="619"/>
      <c r="W2" s="619"/>
      <c r="X2" s="619"/>
      <c r="Y2" s="620"/>
      <c r="Z2" s="564" t="s">
        <v>180</v>
      </c>
      <c r="AA2" s="565"/>
      <c r="AB2" s="566"/>
    </row>
    <row r="3" spans="1:28" ht="24" customHeight="1">
      <c r="A3" s="562"/>
      <c r="B3" s="593" t="s">
        <v>295</v>
      </c>
      <c r="C3" s="594"/>
      <c r="D3" s="594"/>
      <c r="E3" s="594"/>
      <c r="F3" s="594"/>
      <c r="G3" s="594"/>
      <c r="H3" s="594"/>
      <c r="I3" s="594"/>
      <c r="J3" s="594"/>
      <c r="K3" s="594"/>
      <c r="L3" s="594"/>
      <c r="M3" s="594"/>
      <c r="N3" s="594"/>
      <c r="O3" s="594"/>
      <c r="P3" s="594"/>
      <c r="Q3" s="594"/>
      <c r="R3" s="594"/>
      <c r="S3" s="594"/>
      <c r="T3" s="594"/>
      <c r="U3" s="594"/>
      <c r="V3" s="594"/>
      <c r="W3" s="594"/>
      <c r="X3" s="594"/>
      <c r="Y3" s="595"/>
      <c r="Z3" s="564" t="s">
        <v>181</v>
      </c>
      <c r="AA3" s="565"/>
      <c r="AB3" s="566"/>
    </row>
    <row r="4" spans="1:28" ht="15.75" customHeight="1" thickBot="1">
      <c r="A4" s="563"/>
      <c r="B4" s="596"/>
      <c r="C4" s="597"/>
      <c r="D4" s="597"/>
      <c r="E4" s="597"/>
      <c r="F4" s="597"/>
      <c r="G4" s="597"/>
      <c r="H4" s="597"/>
      <c r="I4" s="597"/>
      <c r="J4" s="597"/>
      <c r="K4" s="597"/>
      <c r="L4" s="597"/>
      <c r="M4" s="597"/>
      <c r="N4" s="597"/>
      <c r="O4" s="597"/>
      <c r="P4" s="597"/>
      <c r="Q4" s="597"/>
      <c r="R4" s="597"/>
      <c r="S4" s="597"/>
      <c r="T4" s="597"/>
      <c r="U4" s="597"/>
      <c r="V4" s="597"/>
      <c r="W4" s="597"/>
      <c r="X4" s="597"/>
      <c r="Y4" s="598"/>
      <c r="Z4" s="567" t="s">
        <v>175</v>
      </c>
      <c r="AA4" s="568"/>
      <c r="AB4" s="56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77" t="s">
        <v>0</v>
      </c>
      <c r="B7" s="378"/>
      <c r="C7" s="341"/>
      <c r="D7" s="342"/>
      <c r="E7" s="342"/>
      <c r="F7" s="342"/>
      <c r="G7" s="342"/>
      <c r="H7" s="342"/>
      <c r="I7" s="342"/>
      <c r="J7" s="342"/>
      <c r="K7" s="343"/>
      <c r="L7" s="64"/>
      <c r="M7" s="65"/>
      <c r="N7" s="65"/>
      <c r="O7" s="65"/>
      <c r="P7" s="65"/>
      <c r="Q7" s="66"/>
      <c r="R7" s="570" t="s">
        <v>71</v>
      </c>
      <c r="S7" s="571"/>
      <c r="T7" s="572"/>
      <c r="U7" s="629" t="s">
        <v>74</v>
      </c>
      <c r="V7" s="630"/>
      <c r="W7" s="570" t="s">
        <v>67</v>
      </c>
      <c r="X7" s="572"/>
      <c r="Y7" s="404" t="s">
        <v>70</v>
      </c>
      <c r="Z7" s="405"/>
      <c r="AA7" s="574"/>
      <c r="AB7" s="575"/>
    </row>
    <row r="8" spans="1:28" ht="15" customHeight="1">
      <c r="A8" s="379"/>
      <c r="B8" s="380"/>
      <c r="C8" s="344"/>
      <c r="D8" s="345"/>
      <c r="E8" s="345"/>
      <c r="F8" s="345"/>
      <c r="G8" s="345"/>
      <c r="H8" s="345"/>
      <c r="I8" s="345"/>
      <c r="J8" s="345"/>
      <c r="K8" s="346"/>
      <c r="L8" s="64"/>
      <c r="M8" s="65"/>
      <c r="N8" s="65"/>
      <c r="O8" s="65"/>
      <c r="P8" s="65"/>
      <c r="Q8" s="66"/>
      <c r="R8" s="433"/>
      <c r="S8" s="573"/>
      <c r="T8" s="435"/>
      <c r="U8" s="631"/>
      <c r="V8" s="632"/>
      <c r="W8" s="433"/>
      <c r="X8" s="435"/>
      <c r="Y8" s="394" t="s">
        <v>68</v>
      </c>
      <c r="Z8" s="395"/>
      <c r="AA8" s="396"/>
      <c r="AB8" s="397"/>
    </row>
    <row r="9" spans="1:28" ht="15" customHeight="1" thickBot="1">
      <c r="A9" s="381"/>
      <c r="B9" s="382"/>
      <c r="C9" s="347"/>
      <c r="D9" s="348"/>
      <c r="E9" s="348"/>
      <c r="F9" s="348"/>
      <c r="G9" s="348"/>
      <c r="H9" s="348"/>
      <c r="I9" s="348"/>
      <c r="J9" s="348"/>
      <c r="K9" s="349"/>
      <c r="L9" s="64"/>
      <c r="M9" s="65"/>
      <c r="N9" s="65"/>
      <c r="O9" s="65"/>
      <c r="P9" s="65"/>
      <c r="Q9" s="66"/>
      <c r="R9" s="436"/>
      <c r="S9" s="437"/>
      <c r="T9" s="438"/>
      <c r="U9" s="633"/>
      <c r="V9" s="634"/>
      <c r="W9" s="436"/>
      <c r="X9" s="438"/>
      <c r="Y9" s="400" t="s">
        <v>69</v>
      </c>
      <c r="Z9" s="401"/>
      <c r="AA9" s="613"/>
      <c r="AB9" s="61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98" t="s">
        <v>77</v>
      </c>
      <c r="B11" s="399"/>
      <c r="C11" s="365"/>
      <c r="D11" s="366"/>
      <c r="E11" s="366"/>
      <c r="F11" s="366"/>
      <c r="G11" s="366"/>
      <c r="H11" s="366"/>
      <c r="I11" s="366"/>
      <c r="J11" s="366"/>
      <c r="K11" s="367"/>
      <c r="L11" s="74"/>
      <c r="M11" s="350" t="s">
        <v>73</v>
      </c>
      <c r="N11" s="351"/>
      <c r="O11" s="351"/>
      <c r="P11" s="351"/>
      <c r="Q11" s="352"/>
      <c r="R11" s="428"/>
      <c r="S11" s="429"/>
      <c r="T11" s="429"/>
      <c r="U11" s="429"/>
      <c r="V11" s="430"/>
      <c r="W11" s="350" t="s">
        <v>72</v>
      </c>
      <c r="X11" s="352"/>
      <c r="Y11" s="410"/>
      <c r="Z11" s="411"/>
      <c r="AA11" s="411"/>
      <c r="AB11" s="412"/>
    </row>
    <row r="12" spans="1:28" ht="9" customHeight="1" thickBot="1">
      <c r="A12" s="61"/>
      <c r="B12" s="56"/>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75"/>
      <c r="AB12" s="76"/>
    </row>
    <row r="13" spans="1:28" s="78" customFormat="1" ht="37.5" customHeight="1" thickBot="1">
      <c r="A13" s="398" t="s">
        <v>79</v>
      </c>
      <c r="B13" s="399"/>
      <c r="C13" s="414"/>
      <c r="D13" s="415"/>
      <c r="E13" s="415"/>
      <c r="F13" s="415"/>
      <c r="G13" s="415"/>
      <c r="H13" s="415"/>
      <c r="I13" s="415"/>
      <c r="J13" s="415"/>
      <c r="K13" s="415"/>
      <c r="L13" s="415"/>
      <c r="M13" s="415"/>
      <c r="N13" s="415"/>
      <c r="O13" s="415"/>
      <c r="P13" s="415"/>
      <c r="Q13" s="416"/>
      <c r="R13" s="56"/>
      <c r="S13" s="579" t="s">
        <v>14</v>
      </c>
      <c r="T13" s="579"/>
      <c r="U13" s="77"/>
      <c r="V13" s="578" t="s">
        <v>15</v>
      </c>
      <c r="W13" s="579"/>
      <c r="X13" s="579"/>
      <c r="Y13" s="579"/>
      <c r="Z13" s="56"/>
      <c r="AA13" s="333"/>
      <c r="AB13" s="334"/>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17" t="s">
        <v>293</v>
      </c>
      <c r="B15" s="418"/>
      <c r="C15" s="591" t="s">
        <v>321</v>
      </c>
      <c r="D15" s="82"/>
      <c r="E15" s="82"/>
      <c r="F15" s="82"/>
      <c r="G15" s="82"/>
      <c r="H15" s="82"/>
      <c r="I15" s="82"/>
      <c r="J15" s="83"/>
      <c r="K15" s="84"/>
      <c r="L15" s="83"/>
      <c r="M15" s="62"/>
      <c r="N15" s="62"/>
      <c r="O15" s="62"/>
      <c r="P15" s="62"/>
      <c r="Q15" s="580" t="s">
        <v>1</v>
      </c>
      <c r="R15" s="581"/>
      <c r="S15" s="581"/>
      <c r="T15" s="581"/>
      <c r="U15" s="581"/>
      <c r="V15" s="581"/>
      <c r="W15" s="581"/>
      <c r="X15" s="581"/>
      <c r="Y15" s="581"/>
      <c r="Z15" s="581"/>
      <c r="AA15" s="581"/>
      <c r="AB15" s="582"/>
    </row>
    <row r="16" spans="1:28" ht="35.25" customHeight="1" thickBot="1">
      <c r="A16" s="421"/>
      <c r="B16" s="422"/>
      <c r="C16" s="592"/>
      <c r="D16" s="82"/>
      <c r="E16" s="82"/>
      <c r="F16" s="82"/>
      <c r="G16" s="82"/>
      <c r="H16" s="82"/>
      <c r="I16" s="82"/>
      <c r="J16" s="83"/>
      <c r="K16" s="83"/>
      <c r="L16" s="83"/>
      <c r="M16" s="62"/>
      <c r="N16" s="62"/>
      <c r="O16" s="62"/>
      <c r="P16" s="62"/>
      <c r="Q16" s="623" t="s">
        <v>2</v>
      </c>
      <c r="R16" s="624"/>
      <c r="S16" s="624"/>
      <c r="T16" s="624"/>
      <c r="U16" s="624"/>
      <c r="V16" s="625"/>
      <c r="W16" s="627" t="s">
        <v>3</v>
      </c>
      <c r="X16" s="624"/>
      <c r="Y16" s="624"/>
      <c r="Z16" s="624"/>
      <c r="AA16" s="624"/>
      <c r="AB16" s="628"/>
    </row>
    <row r="17" spans="1:30" ht="27" customHeight="1">
      <c r="A17" s="85"/>
      <c r="B17" s="62"/>
      <c r="C17" s="62"/>
      <c r="D17" s="82"/>
      <c r="E17" s="82"/>
      <c r="F17" s="82"/>
      <c r="G17" s="82"/>
      <c r="H17" s="82"/>
      <c r="I17" s="82"/>
      <c r="J17" s="82"/>
      <c r="K17" s="82"/>
      <c r="L17" s="82"/>
      <c r="M17" s="62"/>
      <c r="N17" s="62"/>
      <c r="O17" s="62"/>
      <c r="P17" s="62"/>
      <c r="Q17" s="557" t="s">
        <v>4</v>
      </c>
      <c r="R17" s="558"/>
      <c r="S17" s="552"/>
      <c r="T17" s="546" t="s">
        <v>188</v>
      </c>
      <c r="U17" s="547"/>
      <c r="V17" s="548"/>
      <c r="W17" s="551" t="s">
        <v>4</v>
      </c>
      <c r="X17" s="552"/>
      <c r="Y17" s="551" t="s">
        <v>5</v>
      </c>
      <c r="Z17" s="552"/>
      <c r="AA17" s="546" t="s">
        <v>89</v>
      </c>
      <c r="AB17" s="553"/>
      <c r="AC17" s="86"/>
      <c r="AD17" s="86"/>
    </row>
    <row r="18" spans="1:30" ht="27" customHeight="1">
      <c r="A18" s="85"/>
      <c r="B18" s="62"/>
      <c r="C18" s="62"/>
      <c r="D18" s="82"/>
      <c r="E18" s="82"/>
      <c r="F18" s="82"/>
      <c r="G18" s="82"/>
      <c r="H18" s="82"/>
      <c r="I18" s="82"/>
      <c r="J18" s="82"/>
      <c r="K18" s="82"/>
      <c r="L18" s="82"/>
      <c r="M18" s="62"/>
      <c r="N18" s="62"/>
      <c r="O18" s="62"/>
      <c r="P18" s="62"/>
      <c r="Q18" s="170"/>
      <c r="R18" s="171"/>
      <c r="S18" s="172"/>
      <c r="T18" s="546"/>
      <c r="U18" s="547"/>
      <c r="V18" s="548"/>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554"/>
      <c r="R19" s="555"/>
      <c r="S19" s="556"/>
      <c r="T19" s="609"/>
      <c r="U19" s="555"/>
      <c r="V19" s="556"/>
      <c r="W19" s="583"/>
      <c r="X19" s="584"/>
      <c r="Y19" s="549"/>
      <c r="Z19" s="550"/>
      <c r="AA19" s="559"/>
      <c r="AB19" s="56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06" t="s">
        <v>76</v>
      </c>
      <c r="B21" s="407"/>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9"/>
    </row>
    <row r="22" spans="1:28" ht="15" customHeight="1">
      <c r="A22" s="494" t="s">
        <v>189</v>
      </c>
      <c r="B22" s="496" t="s">
        <v>6</v>
      </c>
      <c r="C22" s="497"/>
      <c r="D22" s="423" t="s">
        <v>7</v>
      </c>
      <c r="E22" s="424"/>
      <c r="F22" s="424"/>
      <c r="G22" s="424"/>
      <c r="H22" s="424"/>
      <c r="I22" s="424"/>
      <c r="J22" s="424"/>
      <c r="K22" s="424"/>
      <c r="L22" s="424"/>
      <c r="M22" s="424"/>
      <c r="N22" s="424"/>
      <c r="O22" s="425"/>
      <c r="P22" s="426" t="s">
        <v>8</v>
      </c>
      <c r="Q22" s="426" t="s">
        <v>84</v>
      </c>
      <c r="R22" s="426"/>
      <c r="S22" s="426"/>
      <c r="T22" s="426"/>
      <c r="U22" s="426"/>
      <c r="V22" s="426"/>
      <c r="W22" s="426"/>
      <c r="X22" s="426"/>
      <c r="Y22" s="426"/>
      <c r="Z22" s="426"/>
      <c r="AA22" s="426"/>
      <c r="AB22" s="427"/>
    </row>
    <row r="23" spans="1:28" ht="27" customHeight="1">
      <c r="A23" s="495"/>
      <c r="B23" s="443"/>
      <c r="C23" s="445"/>
      <c r="D23" s="150" t="s">
        <v>39</v>
      </c>
      <c r="E23" s="150" t="s">
        <v>40</v>
      </c>
      <c r="F23" s="150" t="s">
        <v>41</v>
      </c>
      <c r="G23" s="150" t="s">
        <v>42</v>
      </c>
      <c r="H23" s="150" t="s">
        <v>43</v>
      </c>
      <c r="I23" s="150" t="s">
        <v>44</v>
      </c>
      <c r="J23" s="150" t="s">
        <v>45</v>
      </c>
      <c r="K23" s="150" t="s">
        <v>46</v>
      </c>
      <c r="L23" s="150" t="s">
        <v>47</v>
      </c>
      <c r="M23" s="150" t="s">
        <v>48</v>
      </c>
      <c r="N23" s="150" t="s">
        <v>49</v>
      </c>
      <c r="O23" s="150" t="s">
        <v>50</v>
      </c>
      <c r="P23" s="425"/>
      <c r="Q23" s="426"/>
      <c r="R23" s="426"/>
      <c r="S23" s="426"/>
      <c r="T23" s="426"/>
      <c r="U23" s="426"/>
      <c r="V23" s="426"/>
      <c r="W23" s="426"/>
      <c r="X23" s="426"/>
      <c r="Y23" s="426"/>
      <c r="Z23" s="426"/>
      <c r="AA23" s="426"/>
      <c r="AB23" s="427"/>
    </row>
    <row r="24" spans="1:28" ht="42" customHeight="1" thickBot="1">
      <c r="A24" s="88"/>
      <c r="B24" s="492"/>
      <c r="C24" s="493"/>
      <c r="D24" s="92"/>
      <c r="E24" s="92"/>
      <c r="F24" s="92"/>
      <c r="G24" s="92"/>
      <c r="H24" s="92"/>
      <c r="I24" s="92"/>
      <c r="J24" s="92"/>
      <c r="K24" s="92"/>
      <c r="L24" s="92"/>
      <c r="M24" s="92"/>
      <c r="N24" s="92"/>
      <c r="O24" s="92"/>
      <c r="P24" s="89">
        <f>SUM(D24:O24)</f>
        <v>0</v>
      </c>
      <c r="Q24" s="439" t="s">
        <v>296</v>
      </c>
      <c r="R24" s="439"/>
      <c r="S24" s="439"/>
      <c r="T24" s="439"/>
      <c r="U24" s="439"/>
      <c r="V24" s="439"/>
      <c r="W24" s="439"/>
      <c r="X24" s="439"/>
      <c r="Y24" s="439"/>
      <c r="Z24" s="439"/>
      <c r="AA24" s="439"/>
      <c r="AB24" s="440"/>
    </row>
    <row r="25" spans="1:28" ht="21.75" customHeight="1">
      <c r="A25" s="368" t="s">
        <v>292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70"/>
    </row>
    <row r="26" spans="1:39" ht="23.25" customHeight="1">
      <c r="A26" s="441" t="s">
        <v>190</v>
      </c>
      <c r="B26" s="426" t="s">
        <v>62</v>
      </c>
      <c r="C26" s="426" t="s">
        <v>6</v>
      </c>
      <c r="D26" s="426" t="s">
        <v>60</v>
      </c>
      <c r="E26" s="426"/>
      <c r="F26" s="426"/>
      <c r="G26" s="426"/>
      <c r="H26" s="426"/>
      <c r="I26" s="426"/>
      <c r="J26" s="426"/>
      <c r="K26" s="426"/>
      <c r="L26" s="426"/>
      <c r="M26" s="426"/>
      <c r="N26" s="426"/>
      <c r="O26" s="426"/>
      <c r="P26" s="426"/>
      <c r="Q26" s="426" t="s">
        <v>85</v>
      </c>
      <c r="R26" s="426"/>
      <c r="S26" s="426"/>
      <c r="T26" s="426"/>
      <c r="U26" s="426"/>
      <c r="V26" s="426"/>
      <c r="W26" s="426"/>
      <c r="X26" s="426"/>
      <c r="Y26" s="426"/>
      <c r="Z26" s="426"/>
      <c r="AA26" s="426"/>
      <c r="AB26" s="427"/>
      <c r="AE26" s="90"/>
      <c r="AF26" s="90"/>
      <c r="AG26" s="90"/>
      <c r="AH26" s="90"/>
      <c r="AI26" s="90"/>
      <c r="AJ26" s="90"/>
      <c r="AK26" s="90"/>
      <c r="AL26" s="90"/>
      <c r="AM26" s="90"/>
    </row>
    <row r="27" spans="1:39" ht="23.25" customHeight="1">
      <c r="A27" s="441"/>
      <c r="B27" s="426"/>
      <c r="C27" s="44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43" t="s">
        <v>80</v>
      </c>
      <c r="R27" s="444"/>
      <c r="S27" s="444"/>
      <c r="T27" s="445"/>
      <c r="U27" s="443" t="s">
        <v>81</v>
      </c>
      <c r="V27" s="444"/>
      <c r="W27" s="444"/>
      <c r="X27" s="445"/>
      <c r="Y27" s="443" t="s">
        <v>82</v>
      </c>
      <c r="Z27" s="444"/>
      <c r="AA27" s="444"/>
      <c r="AB27" s="446"/>
      <c r="AE27" s="90"/>
      <c r="AF27" s="90"/>
      <c r="AG27" s="90"/>
      <c r="AH27" s="90"/>
      <c r="AI27" s="90"/>
      <c r="AJ27" s="90"/>
      <c r="AK27" s="90"/>
      <c r="AL27" s="90"/>
      <c r="AM27" s="90"/>
    </row>
    <row r="28" spans="1:39" ht="33" customHeight="1">
      <c r="A28" s="453"/>
      <c r="B28" s="626"/>
      <c r="C28" s="93" t="s">
        <v>9</v>
      </c>
      <c r="D28" s="92"/>
      <c r="E28" s="92"/>
      <c r="F28" s="92"/>
      <c r="G28" s="92"/>
      <c r="H28" s="92"/>
      <c r="I28" s="92"/>
      <c r="J28" s="92"/>
      <c r="K28" s="92"/>
      <c r="L28" s="92"/>
      <c r="M28" s="92"/>
      <c r="N28" s="92"/>
      <c r="O28" s="92"/>
      <c r="P28" s="168">
        <f>SUM(D28:O28)</f>
        <v>0</v>
      </c>
      <c r="Q28" s="509" t="s">
        <v>192</v>
      </c>
      <c r="R28" s="510"/>
      <c r="S28" s="510"/>
      <c r="T28" s="511"/>
      <c r="U28" s="509" t="s">
        <v>193</v>
      </c>
      <c r="V28" s="510"/>
      <c r="W28" s="510"/>
      <c r="X28" s="511"/>
      <c r="Y28" s="509" t="s">
        <v>194</v>
      </c>
      <c r="Z28" s="510"/>
      <c r="AA28" s="510"/>
      <c r="AB28" s="621"/>
      <c r="AE28" s="90"/>
      <c r="AF28" s="90"/>
      <c r="AG28" s="90"/>
      <c r="AH28" s="90"/>
      <c r="AI28" s="90"/>
      <c r="AJ28" s="90"/>
      <c r="AK28" s="90"/>
      <c r="AL28" s="90"/>
      <c r="AM28" s="90"/>
    </row>
    <row r="29" spans="1:39" ht="33.75" customHeight="1" thickBot="1">
      <c r="A29" s="454"/>
      <c r="B29" s="456"/>
      <c r="C29" s="94" t="s">
        <v>10</v>
      </c>
      <c r="D29" s="95"/>
      <c r="E29" s="95"/>
      <c r="F29" s="95"/>
      <c r="G29" s="96"/>
      <c r="H29" s="96"/>
      <c r="I29" s="96"/>
      <c r="J29" s="96"/>
      <c r="K29" s="96"/>
      <c r="L29" s="96"/>
      <c r="M29" s="96"/>
      <c r="N29" s="96"/>
      <c r="O29" s="96"/>
      <c r="P29" s="169">
        <f>SUM(D29:O29)</f>
        <v>0</v>
      </c>
      <c r="Q29" s="512"/>
      <c r="R29" s="513"/>
      <c r="S29" s="513"/>
      <c r="T29" s="514"/>
      <c r="U29" s="512"/>
      <c r="V29" s="513"/>
      <c r="W29" s="513"/>
      <c r="X29" s="514"/>
      <c r="Y29" s="512"/>
      <c r="Z29" s="513"/>
      <c r="AA29" s="513"/>
      <c r="AB29" s="622"/>
      <c r="AC29" s="50"/>
      <c r="AD29" s="97"/>
      <c r="AE29" s="90"/>
      <c r="AF29" s="90"/>
      <c r="AG29" s="90"/>
      <c r="AH29" s="90"/>
      <c r="AI29" s="90"/>
      <c r="AJ29" s="90"/>
      <c r="AK29" s="90"/>
      <c r="AL29" s="90"/>
      <c r="AM29" s="90"/>
    </row>
    <row r="30" spans="1:39" ht="26.25" customHeight="1">
      <c r="A30" s="475" t="s">
        <v>191</v>
      </c>
      <c r="B30" s="476" t="s">
        <v>61</v>
      </c>
      <c r="C30" s="478" t="s">
        <v>11</v>
      </c>
      <c r="D30" s="478"/>
      <c r="E30" s="478"/>
      <c r="F30" s="478"/>
      <c r="G30" s="478"/>
      <c r="H30" s="478"/>
      <c r="I30" s="478"/>
      <c r="J30" s="478"/>
      <c r="K30" s="478"/>
      <c r="L30" s="478"/>
      <c r="M30" s="478"/>
      <c r="N30" s="478"/>
      <c r="O30" s="478"/>
      <c r="P30" s="478"/>
      <c r="Q30" s="479" t="s">
        <v>78</v>
      </c>
      <c r="R30" s="480"/>
      <c r="S30" s="480"/>
      <c r="T30" s="480"/>
      <c r="U30" s="480"/>
      <c r="V30" s="480"/>
      <c r="W30" s="480"/>
      <c r="X30" s="480"/>
      <c r="Y30" s="480"/>
      <c r="Z30" s="480"/>
      <c r="AA30" s="480"/>
      <c r="AB30" s="481"/>
      <c r="AE30" s="90"/>
      <c r="AF30" s="90"/>
      <c r="AG30" s="90"/>
      <c r="AH30" s="90"/>
      <c r="AI30" s="90"/>
      <c r="AJ30" s="90"/>
      <c r="AK30" s="90"/>
      <c r="AL30" s="90"/>
      <c r="AM30" s="90"/>
    </row>
    <row r="31" spans="1:39" ht="26.25" customHeight="1">
      <c r="A31" s="441"/>
      <c r="B31" s="47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23" t="s">
        <v>83</v>
      </c>
      <c r="R31" s="424"/>
      <c r="S31" s="424"/>
      <c r="T31" s="424"/>
      <c r="U31" s="424"/>
      <c r="V31" s="424"/>
      <c r="W31" s="424"/>
      <c r="X31" s="424"/>
      <c r="Y31" s="424"/>
      <c r="Z31" s="424"/>
      <c r="AA31" s="424"/>
      <c r="AB31" s="482"/>
      <c r="AE31" s="98"/>
      <c r="AF31" s="98"/>
      <c r="AG31" s="98"/>
      <c r="AH31" s="98"/>
      <c r="AI31" s="98"/>
      <c r="AJ31" s="98"/>
      <c r="AK31" s="98"/>
      <c r="AL31" s="98"/>
      <c r="AM31" s="98"/>
    </row>
    <row r="32" spans="1:39" ht="28.5" customHeight="1">
      <c r="A32" s="483"/>
      <c r="B32" s="543"/>
      <c r="C32" s="93" t="s">
        <v>9</v>
      </c>
      <c r="D32" s="99"/>
      <c r="E32" s="99"/>
      <c r="F32" s="99"/>
      <c r="G32" s="99"/>
      <c r="H32" s="99"/>
      <c r="I32" s="99"/>
      <c r="J32" s="99"/>
      <c r="K32" s="99"/>
      <c r="L32" s="99"/>
      <c r="M32" s="99"/>
      <c r="N32" s="99"/>
      <c r="O32" s="99"/>
      <c r="P32" s="100">
        <f aca="true" t="shared" si="0" ref="P32:P39">SUM(D32:O32)</f>
        <v>0</v>
      </c>
      <c r="Q32" s="585" t="s">
        <v>286</v>
      </c>
      <c r="R32" s="586"/>
      <c r="S32" s="586"/>
      <c r="T32" s="586"/>
      <c r="U32" s="586"/>
      <c r="V32" s="586"/>
      <c r="W32" s="586"/>
      <c r="X32" s="586"/>
      <c r="Y32" s="586"/>
      <c r="Z32" s="586"/>
      <c r="AA32" s="586"/>
      <c r="AB32" s="587"/>
      <c r="AC32" s="101"/>
      <c r="AE32" s="102"/>
      <c r="AF32" s="102"/>
      <c r="AG32" s="102"/>
      <c r="AH32" s="102"/>
      <c r="AI32" s="102"/>
      <c r="AJ32" s="102"/>
      <c r="AK32" s="102"/>
      <c r="AL32" s="102"/>
      <c r="AM32" s="102"/>
    </row>
    <row r="33" spans="1:29" ht="28.5" customHeight="1">
      <c r="A33" s="484"/>
      <c r="B33" s="544"/>
      <c r="C33" s="103" t="s">
        <v>10</v>
      </c>
      <c r="D33" s="104"/>
      <c r="E33" s="104"/>
      <c r="F33" s="104"/>
      <c r="G33" s="104"/>
      <c r="H33" s="104"/>
      <c r="I33" s="104"/>
      <c r="J33" s="104"/>
      <c r="K33" s="104"/>
      <c r="L33" s="104"/>
      <c r="M33" s="104"/>
      <c r="N33" s="104"/>
      <c r="O33" s="104"/>
      <c r="P33" s="105">
        <f t="shared" si="0"/>
        <v>0</v>
      </c>
      <c r="Q33" s="588"/>
      <c r="R33" s="589"/>
      <c r="S33" s="589"/>
      <c r="T33" s="589"/>
      <c r="U33" s="589"/>
      <c r="V33" s="589"/>
      <c r="W33" s="589"/>
      <c r="X33" s="589"/>
      <c r="Y33" s="589"/>
      <c r="Z33" s="589"/>
      <c r="AA33" s="589"/>
      <c r="AB33" s="590"/>
      <c r="AC33" s="101"/>
    </row>
    <row r="34" spans="1:29" ht="28.5" customHeight="1">
      <c r="A34" s="484"/>
      <c r="B34" s="545"/>
      <c r="C34" s="106" t="s">
        <v>9</v>
      </c>
      <c r="D34" s="107"/>
      <c r="E34" s="107"/>
      <c r="F34" s="107"/>
      <c r="G34" s="107"/>
      <c r="H34" s="107"/>
      <c r="I34" s="107"/>
      <c r="J34" s="107"/>
      <c r="K34" s="107"/>
      <c r="L34" s="107"/>
      <c r="M34" s="107"/>
      <c r="N34" s="107"/>
      <c r="O34" s="107"/>
      <c r="P34" s="105">
        <f t="shared" si="0"/>
        <v>0</v>
      </c>
      <c r="Q34" s="600"/>
      <c r="R34" s="601"/>
      <c r="S34" s="601"/>
      <c r="T34" s="601"/>
      <c r="U34" s="601"/>
      <c r="V34" s="601"/>
      <c r="W34" s="601"/>
      <c r="X34" s="601"/>
      <c r="Y34" s="601"/>
      <c r="Z34" s="601"/>
      <c r="AA34" s="601"/>
      <c r="AB34" s="602"/>
      <c r="AC34" s="101"/>
    </row>
    <row r="35" spans="1:29" ht="28.5" customHeight="1">
      <c r="A35" s="484"/>
      <c r="B35" s="544"/>
      <c r="C35" s="103" t="s">
        <v>10</v>
      </c>
      <c r="D35" s="104"/>
      <c r="E35" s="104"/>
      <c r="F35" s="104"/>
      <c r="G35" s="104"/>
      <c r="H35" s="104"/>
      <c r="I35" s="104"/>
      <c r="J35" s="104"/>
      <c r="K35" s="104"/>
      <c r="L35" s="108"/>
      <c r="M35" s="108"/>
      <c r="N35" s="108"/>
      <c r="O35" s="108"/>
      <c r="P35" s="105">
        <f t="shared" si="0"/>
        <v>0</v>
      </c>
      <c r="Q35" s="606"/>
      <c r="R35" s="607"/>
      <c r="S35" s="607"/>
      <c r="T35" s="607"/>
      <c r="U35" s="607"/>
      <c r="V35" s="607"/>
      <c r="W35" s="607"/>
      <c r="X35" s="607"/>
      <c r="Y35" s="607"/>
      <c r="Z35" s="607"/>
      <c r="AA35" s="607"/>
      <c r="AB35" s="608"/>
      <c r="AC35" s="101"/>
    </row>
    <row r="36" spans="1:29" ht="28.5" customHeight="1">
      <c r="A36" s="541"/>
      <c r="B36" s="545"/>
      <c r="C36" s="106" t="s">
        <v>9</v>
      </c>
      <c r="D36" s="107"/>
      <c r="E36" s="107"/>
      <c r="F36" s="107"/>
      <c r="G36" s="107"/>
      <c r="H36" s="107"/>
      <c r="I36" s="107"/>
      <c r="J36" s="107"/>
      <c r="K36" s="107"/>
      <c r="L36" s="107"/>
      <c r="M36" s="107"/>
      <c r="N36" s="107"/>
      <c r="O36" s="107"/>
      <c r="P36" s="105">
        <f t="shared" si="0"/>
        <v>0</v>
      </c>
      <c r="Q36" s="600"/>
      <c r="R36" s="601"/>
      <c r="S36" s="601"/>
      <c r="T36" s="601"/>
      <c r="U36" s="601"/>
      <c r="V36" s="601"/>
      <c r="W36" s="601"/>
      <c r="X36" s="601"/>
      <c r="Y36" s="601"/>
      <c r="Z36" s="601"/>
      <c r="AA36" s="601"/>
      <c r="AB36" s="602"/>
      <c r="AC36" s="101"/>
    </row>
    <row r="37" spans="1:29" ht="28.5" customHeight="1">
      <c r="A37" s="542"/>
      <c r="B37" s="544"/>
      <c r="C37" s="103" t="s">
        <v>10</v>
      </c>
      <c r="D37" s="104"/>
      <c r="E37" s="104"/>
      <c r="F37" s="104"/>
      <c r="G37" s="109"/>
      <c r="H37" s="104"/>
      <c r="I37" s="104"/>
      <c r="J37" s="104"/>
      <c r="K37" s="104"/>
      <c r="L37" s="108"/>
      <c r="M37" s="108"/>
      <c r="N37" s="108"/>
      <c r="O37" s="108"/>
      <c r="P37" s="105">
        <f t="shared" si="0"/>
        <v>0</v>
      </c>
      <c r="Q37" s="606"/>
      <c r="R37" s="607"/>
      <c r="S37" s="607"/>
      <c r="T37" s="607"/>
      <c r="U37" s="607"/>
      <c r="V37" s="607"/>
      <c r="W37" s="607"/>
      <c r="X37" s="607"/>
      <c r="Y37" s="607"/>
      <c r="Z37" s="607"/>
      <c r="AA37" s="607"/>
      <c r="AB37" s="608"/>
      <c r="AC37" s="101"/>
    </row>
    <row r="38" spans="1:29" ht="28.5" customHeight="1">
      <c r="A38" s="576"/>
      <c r="B38" s="545"/>
      <c r="C38" s="106" t="s">
        <v>9</v>
      </c>
      <c r="D38" s="107"/>
      <c r="E38" s="107"/>
      <c r="F38" s="107"/>
      <c r="G38" s="107"/>
      <c r="H38" s="107"/>
      <c r="I38" s="107"/>
      <c r="J38" s="107"/>
      <c r="K38" s="107"/>
      <c r="L38" s="107"/>
      <c r="M38" s="107"/>
      <c r="N38" s="107"/>
      <c r="O38" s="107"/>
      <c r="P38" s="105">
        <f t="shared" si="0"/>
        <v>0</v>
      </c>
      <c r="Q38" s="600"/>
      <c r="R38" s="601"/>
      <c r="S38" s="601"/>
      <c r="T38" s="601"/>
      <c r="U38" s="601"/>
      <c r="V38" s="601"/>
      <c r="W38" s="601"/>
      <c r="X38" s="601"/>
      <c r="Y38" s="601"/>
      <c r="Z38" s="601"/>
      <c r="AA38" s="601"/>
      <c r="AB38" s="602"/>
      <c r="AC38" s="101"/>
    </row>
    <row r="39" spans="1:29" ht="28.5" customHeight="1" thickBot="1">
      <c r="A39" s="577"/>
      <c r="B39" s="599"/>
      <c r="C39" s="94" t="s">
        <v>10</v>
      </c>
      <c r="D39" s="110"/>
      <c r="E39" s="110"/>
      <c r="F39" s="110"/>
      <c r="G39" s="110"/>
      <c r="H39" s="110"/>
      <c r="I39" s="110"/>
      <c r="J39" s="110"/>
      <c r="K39" s="110"/>
      <c r="L39" s="111"/>
      <c r="M39" s="111"/>
      <c r="N39" s="111"/>
      <c r="O39" s="111"/>
      <c r="P39" s="112">
        <f t="shared" si="0"/>
        <v>0</v>
      </c>
      <c r="Q39" s="603"/>
      <c r="R39" s="604"/>
      <c r="S39" s="604"/>
      <c r="T39" s="604"/>
      <c r="U39" s="604"/>
      <c r="V39" s="604"/>
      <c r="W39" s="604"/>
      <c r="X39" s="604"/>
      <c r="Y39" s="604"/>
      <c r="Z39" s="604"/>
      <c r="AA39" s="604"/>
      <c r="AB39" s="605"/>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75" zoomScaleNormal="7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53"/>
      <c r="B1" s="356" t="s">
        <v>16</v>
      </c>
      <c r="C1" s="357"/>
      <c r="D1" s="357"/>
      <c r="E1" s="357"/>
      <c r="F1" s="357"/>
      <c r="G1" s="357"/>
      <c r="H1" s="357"/>
      <c r="I1" s="357"/>
      <c r="J1" s="357"/>
      <c r="K1" s="357"/>
      <c r="L1" s="357"/>
      <c r="M1" s="357"/>
      <c r="N1" s="357"/>
      <c r="O1" s="357"/>
      <c r="P1" s="357"/>
      <c r="Q1" s="357"/>
      <c r="R1" s="357"/>
      <c r="S1" s="357"/>
      <c r="T1" s="357"/>
      <c r="U1" s="357"/>
      <c r="V1" s="357"/>
      <c r="W1" s="357"/>
      <c r="X1" s="357"/>
      <c r="Y1" s="357"/>
      <c r="Z1" s="357"/>
      <c r="AA1" s="358"/>
      <c r="AB1" s="359" t="s">
        <v>418</v>
      </c>
      <c r="AC1" s="360"/>
      <c r="AD1" s="361"/>
    </row>
    <row r="2" spans="1:30" ht="30.75" customHeight="1" thickBot="1">
      <c r="A2" s="354"/>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62" t="s">
        <v>413</v>
      </c>
      <c r="AC2" s="363"/>
      <c r="AD2" s="364"/>
    </row>
    <row r="3" spans="1:30" ht="24" customHeight="1">
      <c r="A3" s="354"/>
      <c r="B3" s="368" t="s">
        <v>295</v>
      </c>
      <c r="C3" s="369"/>
      <c r="D3" s="369"/>
      <c r="E3" s="369"/>
      <c r="F3" s="369"/>
      <c r="G3" s="369"/>
      <c r="H3" s="369"/>
      <c r="I3" s="369"/>
      <c r="J3" s="369"/>
      <c r="K3" s="369"/>
      <c r="L3" s="369"/>
      <c r="M3" s="369"/>
      <c r="N3" s="369"/>
      <c r="O3" s="369"/>
      <c r="P3" s="369"/>
      <c r="Q3" s="369"/>
      <c r="R3" s="369"/>
      <c r="S3" s="369"/>
      <c r="T3" s="369"/>
      <c r="U3" s="369"/>
      <c r="V3" s="369"/>
      <c r="W3" s="369"/>
      <c r="X3" s="369"/>
      <c r="Y3" s="369"/>
      <c r="Z3" s="369"/>
      <c r="AA3" s="370"/>
      <c r="AB3" s="362" t="s">
        <v>419</v>
      </c>
      <c r="AC3" s="363"/>
      <c r="AD3" s="364"/>
    </row>
    <row r="4" spans="1:30" ht="21.75" customHeight="1" thickBot="1">
      <c r="A4" s="355"/>
      <c r="B4" s="371"/>
      <c r="C4" s="372"/>
      <c r="D4" s="372"/>
      <c r="E4" s="372"/>
      <c r="F4" s="372"/>
      <c r="G4" s="372"/>
      <c r="H4" s="372"/>
      <c r="I4" s="372"/>
      <c r="J4" s="372"/>
      <c r="K4" s="372"/>
      <c r="L4" s="372"/>
      <c r="M4" s="372"/>
      <c r="N4" s="372"/>
      <c r="O4" s="372"/>
      <c r="P4" s="372"/>
      <c r="Q4" s="372"/>
      <c r="R4" s="372"/>
      <c r="S4" s="372"/>
      <c r="T4" s="372"/>
      <c r="U4" s="372"/>
      <c r="V4" s="372"/>
      <c r="W4" s="372"/>
      <c r="X4" s="372"/>
      <c r="Y4" s="372"/>
      <c r="Z4" s="372"/>
      <c r="AA4" s="373"/>
      <c r="AB4" s="374" t="s">
        <v>175</v>
      </c>
      <c r="AC4" s="375"/>
      <c r="AD4" s="37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17" t="s">
        <v>293</v>
      </c>
      <c r="B7" s="418"/>
      <c r="C7" s="335" t="s">
        <v>558</v>
      </c>
      <c r="D7" s="377" t="s">
        <v>71</v>
      </c>
      <c r="E7" s="383"/>
      <c r="F7" s="383"/>
      <c r="G7" s="383"/>
      <c r="H7" s="378"/>
      <c r="I7" s="386">
        <v>45266</v>
      </c>
      <c r="J7" s="387"/>
      <c r="K7" s="377" t="s">
        <v>67</v>
      </c>
      <c r="L7" s="378"/>
      <c r="M7" s="404" t="s">
        <v>70</v>
      </c>
      <c r="N7" s="405"/>
      <c r="O7" s="392"/>
      <c r="P7" s="393"/>
      <c r="Q7" s="56"/>
      <c r="R7" s="56"/>
      <c r="S7" s="56"/>
      <c r="T7" s="56"/>
      <c r="U7" s="56"/>
      <c r="V7" s="56"/>
      <c r="W7" s="56"/>
      <c r="X7" s="56"/>
      <c r="Y7" s="56"/>
      <c r="Z7" s="57"/>
      <c r="AA7" s="56"/>
      <c r="AB7" s="56"/>
      <c r="AC7" s="62"/>
      <c r="AD7" s="63"/>
    </row>
    <row r="8" spans="1:30" ht="15">
      <c r="A8" s="419"/>
      <c r="B8" s="420"/>
      <c r="C8" s="336"/>
      <c r="D8" s="379"/>
      <c r="E8" s="384"/>
      <c r="F8" s="384"/>
      <c r="G8" s="384"/>
      <c r="H8" s="380"/>
      <c r="I8" s="388"/>
      <c r="J8" s="389"/>
      <c r="K8" s="379"/>
      <c r="L8" s="380"/>
      <c r="M8" s="394" t="s">
        <v>68</v>
      </c>
      <c r="N8" s="395"/>
      <c r="O8" s="396"/>
      <c r="P8" s="397"/>
      <c r="Q8" s="56"/>
      <c r="R8" s="56"/>
      <c r="S8" s="56"/>
      <c r="T8" s="56"/>
      <c r="U8" s="56"/>
      <c r="V8" s="56"/>
      <c r="W8" s="56"/>
      <c r="X8" s="56"/>
      <c r="Y8" s="56"/>
      <c r="Z8" s="57"/>
      <c r="AA8" s="56"/>
      <c r="AB8" s="56"/>
      <c r="AC8" s="62"/>
      <c r="AD8" s="63"/>
    </row>
    <row r="9" spans="1:30" ht="15.75" thickBot="1">
      <c r="A9" s="421"/>
      <c r="B9" s="422"/>
      <c r="C9" s="337"/>
      <c r="D9" s="381"/>
      <c r="E9" s="385"/>
      <c r="F9" s="385"/>
      <c r="G9" s="385"/>
      <c r="H9" s="382"/>
      <c r="I9" s="390"/>
      <c r="J9" s="391"/>
      <c r="K9" s="381"/>
      <c r="L9" s="382"/>
      <c r="M9" s="400" t="s">
        <v>69</v>
      </c>
      <c r="N9" s="401"/>
      <c r="O9" s="402" t="s">
        <v>420</v>
      </c>
      <c r="P9" s="403"/>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77" t="s">
        <v>0</v>
      </c>
      <c r="B11" s="378"/>
      <c r="C11" s="341" t="s">
        <v>421</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3"/>
    </row>
    <row r="12" spans="1:30" ht="15" customHeight="1">
      <c r="A12" s="379"/>
      <c r="B12" s="380"/>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1:30" ht="15" customHeight="1" thickBot="1">
      <c r="A13" s="381"/>
      <c r="B13" s="382"/>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8" t="s">
        <v>77</v>
      </c>
      <c r="B15" s="399"/>
      <c r="C15" s="365" t="s">
        <v>422</v>
      </c>
      <c r="D15" s="366"/>
      <c r="E15" s="366"/>
      <c r="F15" s="366"/>
      <c r="G15" s="366"/>
      <c r="H15" s="366"/>
      <c r="I15" s="366"/>
      <c r="J15" s="366"/>
      <c r="K15" s="367"/>
      <c r="L15" s="350" t="s">
        <v>73</v>
      </c>
      <c r="M15" s="351"/>
      <c r="N15" s="351"/>
      <c r="O15" s="351"/>
      <c r="P15" s="351"/>
      <c r="Q15" s="352"/>
      <c r="R15" s="428" t="s">
        <v>423</v>
      </c>
      <c r="S15" s="429"/>
      <c r="T15" s="429"/>
      <c r="U15" s="429"/>
      <c r="V15" s="429"/>
      <c r="W15" s="429"/>
      <c r="X15" s="430"/>
      <c r="Y15" s="350" t="s">
        <v>72</v>
      </c>
      <c r="Z15" s="352"/>
      <c r="AA15" s="410" t="s">
        <v>424</v>
      </c>
      <c r="AB15" s="411"/>
      <c r="AC15" s="411"/>
      <c r="AD15" s="412"/>
    </row>
    <row r="16" spans="1:30" ht="9" customHeight="1" thickBot="1">
      <c r="A16" s="61"/>
      <c r="B16" s="56"/>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75"/>
      <c r="AD16" s="76"/>
    </row>
    <row r="17" spans="1:30" s="78" customFormat="1" ht="37.5" customHeight="1" thickBot="1">
      <c r="A17" s="398" t="s">
        <v>79</v>
      </c>
      <c r="B17" s="399"/>
      <c r="C17" s="414" t="s">
        <v>440</v>
      </c>
      <c r="D17" s="415"/>
      <c r="E17" s="415"/>
      <c r="F17" s="415"/>
      <c r="G17" s="415"/>
      <c r="H17" s="415"/>
      <c r="I17" s="415"/>
      <c r="J17" s="415"/>
      <c r="K17" s="415"/>
      <c r="L17" s="415"/>
      <c r="M17" s="415"/>
      <c r="N17" s="415"/>
      <c r="O17" s="415"/>
      <c r="P17" s="415"/>
      <c r="Q17" s="416"/>
      <c r="R17" s="338" t="s">
        <v>374</v>
      </c>
      <c r="S17" s="339"/>
      <c r="T17" s="339"/>
      <c r="U17" s="339"/>
      <c r="V17" s="340"/>
      <c r="W17" s="431">
        <v>1</v>
      </c>
      <c r="X17" s="432"/>
      <c r="Y17" s="339" t="s">
        <v>15</v>
      </c>
      <c r="Z17" s="339"/>
      <c r="AA17" s="339"/>
      <c r="AB17" s="340"/>
      <c r="AC17" s="333">
        <v>0.05</v>
      </c>
      <c r="AD17" s="33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25" customFormat="1" ht="32.25" customHeight="1" thickBot="1">
      <c r="A19" s="350" t="s">
        <v>1</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324"/>
      <c r="AF19" s="324"/>
    </row>
    <row r="20" spans="1:32" s="325" customFormat="1" ht="32.25" customHeight="1" thickBot="1">
      <c r="A20" s="326"/>
      <c r="B20" s="327"/>
      <c r="C20" s="436" t="s">
        <v>376</v>
      </c>
      <c r="D20" s="437"/>
      <c r="E20" s="437"/>
      <c r="F20" s="437"/>
      <c r="G20" s="437"/>
      <c r="H20" s="437"/>
      <c r="I20" s="437"/>
      <c r="J20" s="437"/>
      <c r="K20" s="437"/>
      <c r="L20" s="437"/>
      <c r="M20" s="437"/>
      <c r="N20" s="437"/>
      <c r="O20" s="437"/>
      <c r="P20" s="438"/>
      <c r="Q20" s="433" t="s">
        <v>377</v>
      </c>
      <c r="R20" s="434"/>
      <c r="S20" s="434"/>
      <c r="T20" s="434"/>
      <c r="U20" s="434"/>
      <c r="V20" s="434"/>
      <c r="W20" s="434"/>
      <c r="X20" s="434"/>
      <c r="Y20" s="434"/>
      <c r="Z20" s="434"/>
      <c r="AA20" s="434"/>
      <c r="AB20" s="434"/>
      <c r="AC20" s="434"/>
      <c r="AD20" s="435"/>
      <c r="AE20" s="324"/>
      <c r="AF20" s="324"/>
    </row>
    <row r="21" spans="1:32" s="325" customFormat="1" ht="32.25" customHeight="1" thickBot="1">
      <c r="A21" s="328"/>
      <c r="B21" s="329"/>
      <c r="C21" s="313" t="s">
        <v>39</v>
      </c>
      <c r="D21" s="314" t="s">
        <v>40</v>
      </c>
      <c r="E21" s="314" t="s">
        <v>41</v>
      </c>
      <c r="F21" s="314" t="s">
        <v>42</v>
      </c>
      <c r="G21" s="314" t="s">
        <v>43</v>
      </c>
      <c r="H21" s="314" t="s">
        <v>44</v>
      </c>
      <c r="I21" s="314" t="s">
        <v>45</v>
      </c>
      <c r="J21" s="314" t="s">
        <v>46</v>
      </c>
      <c r="K21" s="314" t="s">
        <v>47</v>
      </c>
      <c r="L21" s="314" t="s">
        <v>48</v>
      </c>
      <c r="M21" s="314" t="s">
        <v>49</v>
      </c>
      <c r="N21" s="314" t="s">
        <v>50</v>
      </c>
      <c r="O21" s="314" t="s">
        <v>8</v>
      </c>
      <c r="P21" s="315" t="s">
        <v>382</v>
      </c>
      <c r="Q21" s="313" t="s">
        <v>39</v>
      </c>
      <c r="R21" s="314" t="s">
        <v>40</v>
      </c>
      <c r="S21" s="314" t="s">
        <v>41</v>
      </c>
      <c r="T21" s="314" t="s">
        <v>42</v>
      </c>
      <c r="U21" s="314" t="s">
        <v>43</v>
      </c>
      <c r="V21" s="314" t="s">
        <v>44</v>
      </c>
      <c r="W21" s="314" t="s">
        <v>45</v>
      </c>
      <c r="X21" s="314" t="s">
        <v>46</v>
      </c>
      <c r="Y21" s="314" t="s">
        <v>47</v>
      </c>
      <c r="Z21" s="314" t="s">
        <v>48</v>
      </c>
      <c r="AA21" s="314" t="s">
        <v>49</v>
      </c>
      <c r="AB21" s="314" t="s">
        <v>50</v>
      </c>
      <c r="AC21" s="314" t="s">
        <v>8</v>
      </c>
      <c r="AD21" s="315" t="s">
        <v>382</v>
      </c>
      <c r="AE21" s="4"/>
      <c r="AF21" s="4"/>
    </row>
    <row r="22" spans="1:32" s="325" customFormat="1" ht="32.25" customHeight="1">
      <c r="A22" s="485" t="s">
        <v>378</v>
      </c>
      <c r="B22" s="486"/>
      <c r="C22" s="251">
        <f>35873200</f>
        <v>35873200</v>
      </c>
      <c r="D22" s="237"/>
      <c r="E22" s="237"/>
      <c r="F22" s="237"/>
      <c r="G22" s="237">
        <v>-35873200</v>
      </c>
      <c r="H22" s="237"/>
      <c r="I22" s="237"/>
      <c r="J22" s="237"/>
      <c r="K22" s="237"/>
      <c r="L22" s="237"/>
      <c r="M22" s="237"/>
      <c r="N22" s="237"/>
      <c r="O22" s="237">
        <f>SUM(C22:N22)</f>
        <v>0</v>
      </c>
      <c r="P22" s="285"/>
      <c r="Q22" s="187">
        <v>85606500</v>
      </c>
      <c r="R22" s="185"/>
      <c r="S22" s="185"/>
      <c r="T22" s="185"/>
      <c r="U22" s="185"/>
      <c r="V22" s="185"/>
      <c r="W22" s="185">
        <v>4076500</v>
      </c>
      <c r="X22" s="185"/>
      <c r="Y22" s="185"/>
      <c r="Z22" s="185"/>
      <c r="AA22" s="185"/>
      <c r="AB22" s="185"/>
      <c r="AC22" s="185">
        <f>SUM(Q22:AB22)</f>
        <v>89683000</v>
      </c>
      <c r="AD22" s="190" t="str">
        <f>_xlfn.IFERROR(AC22/(SUMIF(Q22:AB22,"&gt;0",Q21:AB21))," ")</f>
        <v> </v>
      </c>
      <c r="AE22" s="4"/>
      <c r="AF22" s="4"/>
    </row>
    <row r="23" spans="1:32" s="325" customFormat="1" ht="32.25" customHeight="1">
      <c r="A23" s="487" t="s">
        <v>379</v>
      </c>
      <c r="B23" s="488"/>
      <c r="C23" s="183">
        <f>+C22</f>
        <v>35873200</v>
      </c>
      <c r="D23" s="182"/>
      <c r="E23" s="182"/>
      <c r="F23" s="182"/>
      <c r="G23" s="182">
        <v>-35873200</v>
      </c>
      <c r="H23" s="182"/>
      <c r="I23" s="182"/>
      <c r="J23" s="182"/>
      <c r="K23" s="182"/>
      <c r="L23" s="182"/>
      <c r="M23" s="182"/>
      <c r="N23" s="182"/>
      <c r="O23" s="240">
        <f>SUM(C23:N23)</f>
        <v>0</v>
      </c>
      <c r="P23" s="190">
        <f>_xlfn.IFERROR(O23/(SUMIF(C23:N23,"&gt;0",C22:N22))," ")</f>
        <v>0</v>
      </c>
      <c r="Q23" s="187">
        <v>85606500</v>
      </c>
      <c r="R23" s="182"/>
      <c r="S23" s="182"/>
      <c r="T23" s="182"/>
      <c r="U23" s="182"/>
      <c r="V23" s="182"/>
      <c r="W23" s="182"/>
      <c r="X23" s="182">
        <v>4076500</v>
      </c>
      <c r="Y23" s="182"/>
      <c r="Z23" s="182"/>
      <c r="AA23" s="182"/>
      <c r="AB23" s="182"/>
      <c r="AC23" s="240">
        <f>SUM(Q23:AB23)</f>
        <v>89683000</v>
      </c>
      <c r="AD23" s="190">
        <f>_xlfn.IFERROR(AC23/(SUMIF(Q23:AB23,"&gt;0",Q22:AB22))," ")</f>
        <v>1.0476190476190477</v>
      </c>
      <c r="AE23" s="4"/>
      <c r="AF23" s="4"/>
    </row>
    <row r="24" spans="1:32" s="325" customFormat="1" ht="32.25" customHeight="1">
      <c r="A24" s="487" t="s">
        <v>380</v>
      </c>
      <c r="B24" s="488"/>
      <c r="C24" s="183"/>
      <c r="D24" s="182"/>
      <c r="E24" s="186"/>
      <c r="F24" s="182">
        <f>35873200</f>
        <v>35873200</v>
      </c>
      <c r="G24" s="182">
        <v>-35873200</v>
      </c>
      <c r="H24" s="182"/>
      <c r="I24" s="182"/>
      <c r="J24" s="182"/>
      <c r="K24" s="182"/>
      <c r="L24" s="182"/>
      <c r="M24" s="182"/>
      <c r="N24" s="182"/>
      <c r="O24" s="240">
        <f>SUM(C24:N24)</f>
        <v>0</v>
      </c>
      <c r="P24" s="190" t="str">
        <f>_xlfn.IFERROR(O24/(SUMIF(C24:N24,"&gt;0",C23:N23))," ")</f>
        <v> </v>
      </c>
      <c r="Q24" s="183"/>
      <c r="R24" s="182"/>
      <c r="S24" s="182">
        <v>8153000</v>
      </c>
      <c r="T24" s="182">
        <v>8153000</v>
      </c>
      <c r="U24" s="182">
        <v>8153000</v>
      </c>
      <c r="V24" s="182">
        <v>8153000</v>
      </c>
      <c r="W24" s="182">
        <v>8153000</v>
      </c>
      <c r="X24" s="182">
        <v>8153000</v>
      </c>
      <c r="Y24" s="182">
        <v>8153000</v>
      </c>
      <c r="Z24" s="182">
        <v>8153000</v>
      </c>
      <c r="AA24" s="182">
        <v>8153000</v>
      </c>
      <c r="AB24" s="182">
        <f>12229500+4076500</f>
        <v>16306000</v>
      </c>
      <c r="AC24" s="240">
        <f>SUM(Q24:AB24)</f>
        <v>89683000</v>
      </c>
      <c r="AD24" s="190">
        <f>_xlfn.IFERROR(AC24/(SUMIF(Q24:AB24,"&gt;0",Q23:AB23))," ")</f>
        <v>22</v>
      </c>
      <c r="AE24" s="4"/>
      <c r="AF24" s="4"/>
    </row>
    <row r="25" spans="1:32" s="325" customFormat="1" ht="32.25" customHeight="1" thickBot="1">
      <c r="A25" s="489" t="s">
        <v>381</v>
      </c>
      <c r="B25" s="490"/>
      <c r="C25" s="184"/>
      <c r="D25" s="301"/>
      <c r="E25" s="301"/>
      <c r="F25" s="301"/>
      <c r="G25" s="301">
        <f>35873200-35873200</f>
        <v>0</v>
      </c>
      <c r="H25" s="301"/>
      <c r="I25" s="301"/>
      <c r="J25" s="301"/>
      <c r="K25" s="301"/>
      <c r="L25" s="301"/>
      <c r="M25" s="301"/>
      <c r="N25" s="301"/>
      <c r="O25" s="293">
        <f>SUM(C25:N25)</f>
        <v>0</v>
      </c>
      <c r="P25" s="191" t="str">
        <f>_xlfn.IFERROR(O25/(SUMIF(C25:N25,"&gt;0",C24:N24))," ")</f>
        <v> </v>
      </c>
      <c r="Q25" s="184"/>
      <c r="R25" s="301"/>
      <c r="S25" s="301">
        <v>8153000</v>
      </c>
      <c r="T25" s="301">
        <v>8153000</v>
      </c>
      <c r="U25" s="301">
        <v>8153000</v>
      </c>
      <c r="V25" s="301">
        <v>8153000</v>
      </c>
      <c r="W25" s="301">
        <v>8153000</v>
      </c>
      <c r="X25" s="301">
        <v>8153000</v>
      </c>
      <c r="Y25" s="301">
        <v>8153000</v>
      </c>
      <c r="Z25" s="301">
        <v>8153000</v>
      </c>
      <c r="AA25" s="301">
        <v>8153000</v>
      </c>
      <c r="AB25" s="301"/>
      <c r="AC25" s="293">
        <f>SUM(Q25:AB25)</f>
        <v>73377000</v>
      </c>
      <c r="AD25" s="191">
        <f>_xlfn.IFERROR(AC25/(SUMIF(Q25:AB25,"&gt;0",Q24:AB24))," ")</f>
        <v>1</v>
      </c>
      <c r="AE25" s="4"/>
      <c r="AF25" s="4"/>
    </row>
    <row r="26" spans="1:30" s="325" customFormat="1" ht="32.25" customHeight="1" thickBot="1">
      <c r="A26" s="328"/>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27"/>
      <c r="AD26" s="331"/>
    </row>
    <row r="27" spans="1:30" s="325" customFormat="1" ht="33.75" customHeight="1">
      <c r="A27" s="515" t="s">
        <v>76</v>
      </c>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8"/>
    </row>
    <row r="28" spans="1:30" ht="15" customHeight="1">
      <c r="A28" s="494" t="s">
        <v>189</v>
      </c>
      <c r="B28" s="496" t="s">
        <v>6</v>
      </c>
      <c r="C28" s="497"/>
      <c r="D28" s="423" t="s">
        <v>398</v>
      </c>
      <c r="E28" s="424"/>
      <c r="F28" s="424"/>
      <c r="G28" s="424"/>
      <c r="H28" s="424"/>
      <c r="I28" s="424"/>
      <c r="J28" s="424"/>
      <c r="K28" s="424"/>
      <c r="L28" s="424"/>
      <c r="M28" s="424"/>
      <c r="N28" s="424"/>
      <c r="O28" s="425"/>
      <c r="P28" s="426" t="s">
        <v>8</v>
      </c>
      <c r="Q28" s="426" t="s">
        <v>84</v>
      </c>
      <c r="R28" s="426"/>
      <c r="S28" s="426"/>
      <c r="T28" s="426"/>
      <c r="U28" s="426"/>
      <c r="V28" s="426"/>
      <c r="W28" s="426"/>
      <c r="X28" s="426"/>
      <c r="Y28" s="426"/>
      <c r="Z28" s="426"/>
      <c r="AA28" s="426"/>
      <c r="AB28" s="426"/>
      <c r="AC28" s="426"/>
      <c r="AD28" s="427"/>
    </row>
    <row r="29" spans="1:30" ht="27" customHeight="1">
      <c r="A29" s="495"/>
      <c r="B29" s="443"/>
      <c r="C29" s="445"/>
      <c r="D29" s="208" t="s">
        <v>39</v>
      </c>
      <c r="E29" s="208" t="s">
        <v>40</v>
      </c>
      <c r="F29" s="208" t="s">
        <v>41</v>
      </c>
      <c r="G29" s="208" t="s">
        <v>42</v>
      </c>
      <c r="H29" s="208" t="s">
        <v>43</v>
      </c>
      <c r="I29" s="208" t="s">
        <v>44</v>
      </c>
      <c r="J29" s="208" t="s">
        <v>45</v>
      </c>
      <c r="K29" s="208" t="s">
        <v>46</v>
      </c>
      <c r="L29" s="208" t="s">
        <v>47</v>
      </c>
      <c r="M29" s="208" t="s">
        <v>48</v>
      </c>
      <c r="N29" s="208" t="s">
        <v>49</v>
      </c>
      <c r="O29" s="208" t="s">
        <v>50</v>
      </c>
      <c r="P29" s="425"/>
      <c r="Q29" s="426"/>
      <c r="R29" s="426"/>
      <c r="S29" s="426"/>
      <c r="T29" s="426"/>
      <c r="U29" s="426"/>
      <c r="V29" s="426"/>
      <c r="W29" s="426"/>
      <c r="X29" s="426"/>
      <c r="Y29" s="426"/>
      <c r="Z29" s="426"/>
      <c r="AA29" s="426"/>
      <c r="AB29" s="426"/>
      <c r="AC29" s="426"/>
      <c r="AD29" s="427"/>
    </row>
    <row r="30" spans="1:30" ht="42" customHeight="1" thickBot="1">
      <c r="A30" s="88"/>
      <c r="B30" s="492"/>
      <c r="C30" s="493"/>
      <c r="D30" s="92"/>
      <c r="E30" s="92"/>
      <c r="F30" s="92"/>
      <c r="G30" s="92"/>
      <c r="H30" s="92"/>
      <c r="I30" s="92"/>
      <c r="J30" s="92"/>
      <c r="K30" s="92"/>
      <c r="L30" s="92"/>
      <c r="M30" s="92"/>
      <c r="N30" s="92"/>
      <c r="O30" s="92"/>
      <c r="P30" s="89">
        <f>SUM(D30:O30)</f>
        <v>0</v>
      </c>
      <c r="Q30" s="439"/>
      <c r="R30" s="439"/>
      <c r="S30" s="439"/>
      <c r="T30" s="439"/>
      <c r="U30" s="439"/>
      <c r="V30" s="439"/>
      <c r="W30" s="439"/>
      <c r="X30" s="439"/>
      <c r="Y30" s="439"/>
      <c r="Z30" s="439"/>
      <c r="AA30" s="439"/>
      <c r="AB30" s="439"/>
      <c r="AC30" s="439"/>
      <c r="AD30" s="440"/>
    </row>
    <row r="31" spans="1:30" ht="45" customHeight="1">
      <c r="A31" s="368" t="s">
        <v>292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41" ht="23.25" customHeight="1">
      <c r="A32" s="441" t="s">
        <v>190</v>
      </c>
      <c r="B32" s="426" t="s">
        <v>62</v>
      </c>
      <c r="C32" s="426" t="s">
        <v>6</v>
      </c>
      <c r="D32" s="426" t="s">
        <v>60</v>
      </c>
      <c r="E32" s="426"/>
      <c r="F32" s="426"/>
      <c r="G32" s="426"/>
      <c r="H32" s="426"/>
      <c r="I32" s="426"/>
      <c r="J32" s="426"/>
      <c r="K32" s="426"/>
      <c r="L32" s="426"/>
      <c r="M32" s="426"/>
      <c r="N32" s="426"/>
      <c r="O32" s="426"/>
      <c r="P32" s="426"/>
      <c r="Q32" s="426" t="s">
        <v>85</v>
      </c>
      <c r="R32" s="426"/>
      <c r="S32" s="426"/>
      <c r="T32" s="426"/>
      <c r="U32" s="426"/>
      <c r="V32" s="426"/>
      <c r="W32" s="426"/>
      <c r="X32" s="426"/>
      <c r="Y32" s="426"/>
      <c r="Z32" s="426"/>
      <c r="AA32" s="426"/>
      <c r="AB32" s="426"/>
      <c r="AC32" s="426"/>
      <c r="AD32" s="427"/>
      <c r="AG32" s="90"/>
      <c r="AH32" s="90"/>
      <c r="AI32" s="90"/>
      <c r="AJ32" s="90"/>
      <c r="AK32" s="90"/>
      <c r="AL32" s="90"/>
      <c r="AM32" s="90"/>
      <c r="AN32" s="90"/>
      <c r="AO32" s="90"/>
    </row>
    <row r="33" spans="1:41" ht="27" customHeight="1">
      <c r="A33" s="441"/>
      <c r="B33" s="426"/>
      <c r="C33" s="442"/>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26" t="s">
        <v>402</v>
      </c>
      <c r="R33" s="426"/>
      <c r="S33" s="426"/>
      <c r="T33" s="426" t="s">
        <v>403</v>
      </c>
      <c r="U33" s="426"/>
      <c r="V33" s="426"/>
      <c r="W33" s="443" t="s">
        <v>81</v>
      </c>
      <c r="X33" s="444"/>
      <c r="Y33" s="444"/>
      <c r="Z33" s="445"/>
      <c r="AA33" s="443" t="s">
        <v>82</v>
      </c>
      <c r="AB33" s="444"/>
      <c r="AC33" s="444"/>
      <c r="AD33" s="446"/>
      <c r="AG33" s="90"/>
      <c r="AH33" s="90"/>
      <c r="AI33" s="90"/>
      <c r="AJ33" s="90"/>
      <c r="AK33" s="90"/>
      <c r="AL33" s="90"/>
      <c r="AM33" s="90"/>
      <c r="AN33" s="90"/>
      <c r="AO33" s="90"/>
    </row>
    <row r="34" spans="1:41" ht="123" customHeight="1">
      <c r="A34" s="453" t="s">
        <v>440</v>
      </c>
      <c r="B34" s="455">
        <v>0.05</v>
      </c>
      <c r="C34" s="93" t="s">
        <v>9</v>
      </c>
      <c r="D34" s="92"/>
      <c r="E34" s="92"/>
      <c r="F34" s="216">
        <v>0.1</v>
      </c>
      <c r="G34" s="216">
        <v>0.1</v>
      </c>
      <c r="H34" s="216">
        <v>0.1</v>
      </c>
      <c r="I34" s="216">
        <v>0.1</v>
      </c>
      <c r="J34" s="216">
        <v>0.1</v>
      </c>
      <c r="K34" s="216">
        <v>0.1</v>
      </c>
      <c r="L34" s="216">
        <v>0.1</v>
      </c>
      <c r="M34" s="216">
        <v>0.1</v>
      </c>
      <c r="N34" s="216">
        <v>0.1</v>
      </c>
      <c r="O34" s="216">
        <v>0.1</v>
      </c>
      <c r="P34" s="213">
        <f>SUM(D34:O34)</f>
        <v>0.9999999999999999</v>
      </c>
      <c r="Q34" s="457" t="s">
        <v>561</v>
      </c>
      <c r="R34" s="458"/>
      <c r="S34" s="459"/>
      <c r="T34" s="457" t="s">
        <v>537</v>
      </c>
      <c r="U34" s="458"/>
      <c r="V34" s="459"/>
      <c r="W34" s="457"/>
      <c r="X34" s="458"/>
      <c r="Y34" s="458"/>
      <c r="Z34" s="459"/>
      <c r="AA34" s="457" t="s">
        <v>528</v>
      </c>
      <c r="AB34" s="458"/>
      <c r="AC34" s="458"/>
      <c r="AD34" s="463"/>
      <c r="AG34" s="90"/>
      <c r="AH34" s="90"/>
      <c r="AI34" s="90"/>
      <c r="AJ34" s="90"/>
      <c r="AK34" s="90"/>
      <c r="AL34" s="90"/>
      <c r="AM34" s="90"/>
      <c r="AN34" s="90"/>
      <c r="AO34" s="90"/>
    </row>
    <row r="35" spans="1:41" ht="114" customHeight="1" thickBot="1">
      <c r="A35" s="454"/>
      <c r="B35" s="456"/>
      <c r="C35" s="94" t="s">
        <v>10</v>
      </c>
      <c r="D35" s="95"/>
      <c r="E35" s="95"/>
      <c r="F35" s="273">
        <v>0.1</v>
      </c>
      <c r="G35" s="273">
        <v>0.1</v>
      </c>
      <c r="H35" s="273">
        <v>0.1</v>
      </c>
      <c r="I35" s="273">
        <v>0.1</v>
      </c>
      <c r="J35" s="273">
        <v>0.1</v>
      </c>
      <c r="K35" s="273">
        <v>0.1</v>
      </c>
      <c r="L35" s="273">
        <v>0.1</v>
      </c>
      <c r="M35" s="273">
        <v>0.1</v>
      </c>
      <c r="N35" s="273">
        <v>0.1</v>
      </c>
      <c r="O35" s="96"/>
      <c r="P35" s="169">
        <f>SUM(D35:O35)</f>
        <v>0.8999999999999999</v>
      </c>
      <c r="Q35" s="460"/>
      <c r="R35" s="461"/>
      <c r="S35" s="462"/>
      <c r="T35" s="460"/>
      <c r="U35" s="461"/>
      <c r="V35" s="462"/>
      <c r="W35" s="460"/>
      <c r="X35" s="461"/>
      <c r="Y35" s="461"/>
      <c r="Z35" s="462"/>
      <c r="AA35" s="460"/>
      <c r="AB35" s="461"/>
      <c r="AC35" s="461"/>
      <c r="AD35" s="464"/>
      <c r="AE35" s="50"/>
      <c r="AF35" s="97"/>
      <c r="AG35" s="90"/>
      <c r="AH35" s="90"/>
      <c r="AI35" s="90"/>
      <c r="AJ35" s="90"/>
      <c r="AK35" s="90"/>
      <c r="AL35" s="90"/>
      <c r="AM35" s="90"/>
      <c r="AN35" s="90"/>
      <c r="AO35" s="90"/>
    </row>
    <row r="36" spans="1:41" ht="26.25" customHeight="1">
      <c r="A36" s="475" t="s">
        <v>191</v>
      </c>
      <c r="B36" s="476" t="s">
        <v>61</v>
      </c>
      <c r="C36" s="478" t="s">
        <v>11</v>
      </c>
      <c r="D36" s="478"/>
      <c r="E36" s="478"/>
      <c r="F36" s="478"/>
      <c r="G36" s="478"/>
      <c r="H36" s="478"/>
      <c r="I36" s="478"/>
      <c r="J36" s="478"/>
      <c r="K36" s="478"/>
      <c r="L36" s="478"/>
      <c r="M36" s="478"/>
      <c r="N36" s="478"/>
      <c r="O36" s="478"/>
      <c r="P36" s="478"/>
      <c r="Q36" s="479" t="s">
        <v>78</v>
      </c>
      <c r="R36" s="480"/>
      <c r="S36" s="480"/>
      <c r="T36" s="480"/>
      <c r="U36" s="480"/>
      <c r="V36" s="480"/>
      <c r="W36" s="480"/>
      <c r="X36" s="480"/>
      <c r="Y36" s="480"/>
      <c r="Z36" s="480"/>
      <c r="AA36" s="480"/>
      <c r="AB36" s="480"/>
      <c r="AC36" s="480"/>
      <c r="AD36" s="481"/>
      <c r="AG36" s="90"/>
      <c r="AH36" s="90"/>
      <c r="AI36" s="90"/>
      <c r="AJ36" s="90"/>
      <c r="AK36" s="90"/>
      <c r="AL36" s="90"/>
      <c r="AM36" s="90"/>
      <c r="AN36" s="90"/>
      <c r="AO36" s="90"/>
    </row>
    <row r="37" spans="1:41" ht="26.25" customHeight="1">
      <c r="A37" s="441"/>
      <c r="B37" s="477"/>
      <c r="C37" s="308" t="s">
        <v>12</v>
      </c>
      <c r="D37" s="308" t="s">
        <v>36</v>
      </c>
      <c r="E37" s="308" t="s">
        <v>37</v>
      </c>
      <c r="F37" s="308" t="s">
        <v>38</v>
      </c>
      <c r="G37" s="308" t="s">
        <v>51</v>
      </c>
      <c r="H37" s="308" t="s">
        <v>52</v>
      </c>
      <c r="I37" s="308" t="s">
        <v>53</v>
      </c>
      <c r="J37" s="308" t="s">
        <v>54</v>
      </c>
      <c r="K37" s="308" t="s">
        <v>55</v>
      </c>
      <c r="L37" s="308" t="s">
        <v>56</v>
      </c>
      <c r="M37" s="308" t="s">
        <v>57</v>
      </c>
      <c r="N37" s="308" t="s">
        <v>58</v>
      </c>
      <c r="O37" s="308" t="s">
        <v>59</v>
      </c>
      <c r="P37" s="308" t="s">
        <v>63</v>
      </c>
      <c r="Q37" s="423" t="s">
        <v>83</v>
      </c>
      <c r="R37" s="424"/>
      <c r="S37" s="424"/>
      <c r="T37" s="424"/>
      <c r="U37" s="424"/>
      <c r="V37" s="424"/>
      <c r="W37" s="424"/>
      <c r="X37" s="424"/>
      <c r="Y37" s="424"/>
      <c r="Z37" s="424"/>
      <c r="AA37" s="424"/>
      <c r="AB37" s="424"/>
      <c r="AC37" s="424"/>
      <c r="AD37" s="482"/>
      <c r="AG37" s="98"/>
      <c r="AH37" s="98"/>
      <c r="AI37" s="98"/>
      <c r="AJ37" s="98"/>
      <c r="AK37" s="98"/>
      <c r="AL37" s="98"/>
      <c r="AM37" s="98"/>
      <c r="AN37" s="98"/>
      <c r="AO37" s="98"/>
    </row>
    <row r="38" spans="1:41" ht="147.75" customHeight="1">
      <c r="A38" s="483" t="s">
        <v>441</v>
      </c>
      <c r="B38" s="636">
        <v>0.05</v>
      </c>
      <c r="C38" s="93" t="s">
        <v>9</v>
      </c>
      <c r="D38" s="99"/>
      <c r="E38" s="99"/>
      <c r="F38" s="168">
        <v>0.1</v>
      </c>
      <c r="G38" s="168">
        <v>0.1</v>
      </c>
      <c r="H38" s="168">
        <v>0.1</v>
      </c>
      <c r="I38" s="168">
        <v>0.1</v>
      </c>
      <c r="J38" s="168">
        <v>0.1</v>
      </c>
      <c r="K38" s="168">
        <v>0.1</v>
      </c>
      <c r="L38" s="168">
        <v>0.1</v>
      </c>
      <c r="M38" s="168">
        <v>0.1</v>
      </c>
      <c r="N38" s="168">
        <v>0.1</v>
      </c>
      <c r="O38" s="168">
        <v>0.1</v>
      </c>
      <c r="P38" s="100">
        <f>SUM(D38:O38)</f>
        <v>0.9999999999999999</v>
      </c>
      <c r="Q38" s="638" t="s">
        <v>559</v>
      </c>
      <c r="R38" s="639"/>
      <c r="S38" s="639"/>
      <c r="T38" s="639"/>
      <c r="U38" s="639"/>
      <c r="V38" s="639"/>
      <c r="W38" s="639"/>
      <c r="X38" s="639"/>
      <c r="Y38" s="639"/>
      <c r="Z38" s="639"/>
      <c r="AA38" s="639"/>
      <c r="AB38" s="639"/>
      <c r="AC38" s="639"/>
      <c r="AD38" s="640"/>
      <c r="AE38" s="101"/>
      <c r="AG38" s="102"/>
      <c r="AH38" s="102"/>
      <c r="AI38" s="102"/>
      <c r="AJ38" s="102"/>
      <c r="AK38" s="102"/>
      <c r="AL38" s="102"/>
      <c r="AM38" s="102"/>
      <c r="AN38" s="102"/>
      <c r="AO38" s="102"/>
    </row>
    <row r="39" spans="1:31" ht="129" customHeight="1" thickBot="1">
      <c r="A39" s="635"/>
      <c r="B39" s="637"/>
      <c r="C39" s="94" t="s">
        <v>10</v>
      </c>
      <c r="D39" s="110"/>
      <c r="E39" s="110"/>
      <c r="F39" s="110">
        <v>0.1</v>
      </c>
      <c r="G39" s="110">
        <v>0.1</v>
      </c>
      <c r="H39" s="110">
        <v>0.1</v>
      </c>
      <c r="I39" s="110">
        <v>0.1</v>
      </c>
      <c r="J39" s="110">
        <v>0.1</v>
      </c>
      <c r="K39" s="110">
        <v>0.1</v>
      </c>
      <c r="L39" s="110">
        <v>0.1</v>
      </c>
      <c r="M39" s="110">
        <v>0.1</v>
      </c>
      <c r="N39" s="110">
        <v>0.1</v>
      </c>
      <c r="O39" s="110"/>
      <c r="P39" s="112">
        <f>SUM(D39:O39)</f>
        <v>0.8999999999999999</v>
      </c>
      <c r="Q39" s="641" t="s">
        <v>560</v>
      </c>
      <c r="R39" s="641"/>
      <c r="S39" s="641"/>
      <c r="T39" s="641"/>
      <c r="U39" s="641"/>
      <c r="V39" s="641"/>
      <c r="W39" s="641"/>
      <c r="X39" s="641"/>
      <c r="Y39" s="641"/>
      <c r="Z39" s="641"/>
      <c r="AA39" s="641"/>
      <c r="AB39" s="641"/>
      <c r="AC39" s="641"/>
      <c r="AD39" s="642"/>
      <c r="AE39" s="101"/>
    </row>
    <row r="40" ht="15">
      <c r="A40" s="52" t="s">
        <v>294</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8"/>
    <mergeCell ref="Q39:AD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Z33"/>
  <sheetViews>
    <sheetView zoomScale="85" zoomScaleNormal="85"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44.28125" style="113" customWidth="1"/>
    <col min="10" max="10" width="29.28125" style="225" customWidth="1"/>
    <col min="11" max="11" width="16.8515625" style="113" customWidth="1"/>
    <col min="12" max="12" width="15.28125" style="113" customWidth="1"/>
    <col min="13" max="13" width="16.8515625" style="225"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2" width="5.8515625" style="113" customWidth="1"/>
    <col min="23" max="23" width="6.7109375" style="113" customWidth="1"/>
    <col min="24" max="33" width="5.8515625" style="270" customWidth="1"/>
    <col min="34" max="34" width="5.8515625" style="277" customWidth="1"/>
    <col min="35" max="36" width="5.8515625" style="270" customWidth="1"/>
    <col min="37" max="45" width="5.8515625" style="113" customWidth="1"/>
    <col min="46" max="46" width="17.140625" style="125" customWidth="1"/>
    <col min="47" max="47" width="15.8515625" style="201" customWidth="1"/>
    <col min="48" max="48" width="48.140625" style="278" customWidth="1"/>
    <col min="49" max="49" width="56.00390625" style="278" customWidth="1"/>
    <col min="50" max="50" width="41.421875" style="279" customWidth="1"/>
    <col min="51" max="51" width="24.421875" style="113" customWidth="1"/>
    <col min="52" max="16384" width="10.8515625" style="113" customWidth="1"/>
  </cols>
  <sheetData>
    <row r="1" spans="1:51" ht="15.75" customHeight="1">
      <c r="A1" s="683" t="s">
        <v>16</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5"/>
      <c r="AX1" s="610" t="s">
        <v>418</v>
      </c>
      <c r="AY1" s="611"/>
    </row>
    <row r="2" spans="1:51" ht="15.75" customHeight="1">
      <c r="A2" s="689" t="s">
        <v>17</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1"/>
      <c r="AX2" s="680" t="s">
        <v>413</v>
      </c>
      <c r="AY2" s="681"/>
    </row>
    <row r="3" spans="1:51" ht="15" customHeight="1">
      <c r="A3" s="692" t="s">
        <v>195</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4"/>
      <c r="AX3" s="680" t="s">
        <v>419</v>
      </c>
      <c r="AY3" s="681"/>
    </row>
    <row r="4" spans="1:51" ht="15.75" customHeight="1">
      <c r="A4" s="683"/>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5"/>
      <c r="AX4" s="682" t="s">
        <v>176</v>
      </c>
      <c r="AY4" s="682"/>
    </row>
    <row r="5" spans="1:51" ht="15" customHeight="1" thickBot="1">
      <c r="A5" s="646" t="s">
        <v>174</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8"/>
      <c r="AH5" s="650" t="s">
        <v>69</v>
      </c>
      <c r="AI5" s="670"/>
      <c r="AJ5" s="670"/>
      <c r="AK5" s="670"/>
      <c r="AL5" s="670"/>
      <c r="AM5" s="670"/>
      <c r="AN5" s="670"/>
      <c r="AO5" s="670"/>
      <c r="AP5" s="670"/>
      <c r="AQ5" s="670"/>
      <c r="AR5" s="670"/>
      <c r="AS5" s="670"/>
      <c r="AT5" s="670"/>
      <c r="AU5" s="651"/>
      <c r="AV5" s="643" t="s">
        <v>404</v>
      </c>
      <c r="AW5" s="643" t="s">
        <v>405</v>
      </c>
      <c r="AX5" s="643" t="s">
        <v>298</v>
      </c>
      <c r="AY5" s="665" t="s">
        <v>299</v>
      </c>
    </row>
    <row r="6" spans="1:51" ht="15" customHeight="1">
      <c r="A6" s="649" t="s">
        <v>71</v>
      </c>
      <c r="B6" s="649"/>
      <c r="C6" s="649"/>
      <c r="D6" s="386">
        <v>45266</v>
      </c>
      <c r="E6" s="387"/>
      <c r="F6" s="650" t="s">
        <v>67</v>
      </c>
      <c r="G6" s="651"/>
      <c r="H6" s="656" t="s">
        <v>70</v>
      </c>
      <c r="I6" s="656"/>
      <c r="J6" s="209"/>
      <c r="K6" s="650"/>
      <c r="L6" s="670"/>
      <c r="M6" s="670"/>
      <c r="N6" s="670"/>
      <c r="O6" s="670"/>
      <c r="P6" s="670"/>
      <c r="Q6" s="670"/>
      <c r="R6" s="670"/>
      <c r="S6" s="670"/>
      <c r="T6" s="670"/>
      <c r="U6" s="670"/>
      <c r="V6" s="114"/>
      <c r="W6" s="114"/>
      <c r="X6" s="114"/>
      <c r="Y6" s="114"/>
      <c r="Z6" s="114"/>
      <c r="AA6" s="114"/>
      <c r="AB6" s="114"/>
      <c r="AC6" s="114"/>
      <c r="AD6" s="114"/>
      <c r="AE6" s="114"/>
      <c r="AF6" s="114"/>
      <c r="AG6" s="114"/>
      <c r="AH6" s="652"/>
      <c r="AI6" s="671"/>
      <c r="AJ6" s="671"/>
      <c r="AK6" s="671"/>
      <c r="AL6" s="671"/>
      <c r="AM6" s="671"/>
      <c r="AN6" s="671"/>
      <c r="AO6" s="671"/>
      <c r="AP6" s="671"/>
      <c r="AQ6" s="671"/>
      <c r="AR6" s="671"/>
      <c r="AS6" s="671"/>
      <c r="AT6" s="671"/>
      <c r="AU6" s="653"/>
      <c r="AV6" s="644"/>
      <c r="AW6" s="644"/>
      <c r="AX6" s="644"/>
      <c r="AY6" s="668"/>
    </row>
    <row r="7" spans="1:51" ht="15" customHeight="1">
      <c r="A7" s="649"/>
      <c r="B7" s="649"/>
      <c r="C7" s="649"/>
      <c r="D7" s="388"/>
      <c r="E7" s="389"/>
      <c r="F7" s="652"/>
      <c r="G7" s="653"/>
      <c r="H7" s="656" t="s">
        <v>68</v>
      </c>
      <c r="I7" s="656"/>
      <c r="J7" s="224"/>
      <c r="K7" s="652"/>
      <c r="L7" s="671"/>
      <c r="M7" s="671"/>
      <c r="N7" s="671"/>
      <c r="O7" s="671"/>
      <c r="P7" s="671"/>
      <c r="Q7" s="671"/>
      <c r="R7" s="671"/>
      <c r="S7" s="671"/>
      <c r="T7" s="671"/>
      <c r="U7" s="671"/>
      <c r="V7" s="115"/>
      <c r="W7" s="115"/>
      <c r="X7" s="115"/>
      <c r="Y7" s="115"/>
      <c r="Z7" s="115"/>
      <c r="AA7" s="115"/>
      <c r="AB7" s="115"/>
      <c r="AC7" s="115"/>
      <c r="AD7" s="115"/>
      <c r="AE7" s="115"/>
      <c r="AF7" s="115"/>
      <c r="AG7" s="115"/>
      <c r="AH7" s="652"/>
      <c r="AI7" s="671"/>
      <c r="AJ7" s="671"/>
      <c r="AK7" s="671"/>
      <c r="AL7" s="671"/>
      <c r="AM7" s="671"/>
      <c r="AN7" s="671"/>
      <c r="AO7" s="671"/>
      <c r="AP7" s="671"/>
      <c r="AQ7" s="671"/>
      <c r="AR7" s="671"/>
      <c r="AS7" s="671"/>
      <c r="AT7" s="671"/>
      <c r="AU7" s="653"/>
      <c r="AV7" s="644"/>
      <c r="AW7" s="644"/>
      <c r="AX7" s="644"/>
      <c r="AY7" s="668"/>
    </row>
    <row r="8" spans="1:51" ht="15" customHeight="1" thickBot="1">
      <c r="A8" s="649"/>
      <c r="B8" s="649"/>
      <c r="C8" s="649"/>
      <c r="D8" s="390"/>
      <c r="E8" s="391"/>
      <c r="F8" s="654"/>
      <c r="G8" s="655"/>
      <c r="H8" s="656" t="s">
        <v>69</v>
      </c>
      <c r="I8" s="656"/>
      <c r="J8" s="241" t="s">
        <v>420</v>
      </c>
      <c r="K8" s="654"/>
      <c r="L8" s="672"/>
      <c r="M8" s="672"/>
      <c r="N8" s="672"/>
      <c r="O8" s="672"/>
      <c r="P8" s="672"/>
      <c r="Q8" s="672"/>
      <c r="R8" s="672"/>
      <c r="S8" s="672"/>
      <c r="T8" s="672"/>
      <c r="U8" s="672"/>
      <c r="V8" s="116"/>
      <c r="W8" s="116"/>
      <c r="X8" s="116"/>
      <c r="Y8" s="116"/>
      <c r="Z8" s="116"/>
      <c r="AA8" s="116"/>
      <c r="AB8" s="116"/>
      <c r="AC8" s="116"/>
      <c r="AD8" s="116"/>
      <c r="AE8" s="116"/>
      <c r="AF8" s="116"/>
      <c r="AG8" s="116"/>
      <c r="AH8" s="652"/>
      <c r="AI8" s="671"/>
      <c r="AJ8" s="671"/>
      <c r="AK8" s="671"/>
      <c r="AL8" s="671"/>
      <c r="AM8" s="671"/>
      <c r="AN8" s="671"/>
      <c r="AO8" s="671"/>
      <c r="AP8" s="671"/>
      <c r="AQ8" s="671"/>
      <c r="AR8" s="671"/>
      <c r="AS8" s="671"/>
      <c r="AT8" s="671"/>
      <c r="AU8" s="653"/>
      <c r="AV8" s="644"/>
      <c r="AW8" s="644"/>
      <c r="AX8" s="644"/>
      <c r="AY8" s="668"/>
    </row>
    <row r="9" spans="1:51" ht="15" customHeight="1">
      <c r="A9" s="686" t="s">
        <v>399</v>
      </c>
      <c r="B9" s="687"/>
      <c r="C9" s="688"/>
      <c r="D9" s="660" t="s">
        <v>117</v>
      </c>
      <c r="E9" s="661"/>
      <c r="F9" s="661"/>
      <c r="G9" s="661"/>
      <c r="H9" s="661"/>
      <c r="I9" s="661"/>
      <c r="J9" s="661"/>
      <c r="K9" s="662"/>
      <c r="L9" s="662"/>
      <c r="M9" s="662"/>
      <c r="N9" s="662"/>
      <c r="O9" s="662"/>
      <c r="P9" s="662"/>
      <c r="Q9" s="662"/>
      <c r="R9" s="662"/>
      <c r="S9" s="662"/>
      <c r="T9" s="662"/>
      <c r="U9" s="662"/>
      <c r="V9" s="662"/>
      <c r="W9" s="662"/>
      <c r="X9" s="662"/>
      <c r="Y9" s="662"/>
      <c r="Z9" s="662"/>
      <c r="AA9" s="662"/>
      <c r="AB9" s="662"/>
      <c r="AC9" s="662"/>
      <c r="AD9" s="662"/>
      <c r="AE9" s="662"/>
      <c r="AF9" s="662"/>
      <c r="AG9" s="663"/>
      <c r="AH9" s="652"/>
      <c r="AI9" s="671"/>
      <c r="AJ9" s="671"/>
      <c r="AK9" s="671"/>
      <c r="AL9" s="671"/>
      <c r="AM9" s="671"/>
      <c r="AN9" s="671"/>
      <c r="AO9" s="671"/>
      <c r="AP9" s="671"/>
      <c r="AQ9" s="671"/>
      <c r="AR9" s="671"/>
      <c r="AS9" s="671"/>
      <c r="AT9" s="671"/>
      <c r="AU9" s="653"/>
      <c r="AV9" s="644"/>
      <c r="AW9" s="644"/>
      <c r="AX9" s="644"/>
      <c r="AY9" s="668"/>
    </row>
    <row r="10" spans="1:51" ht="15" customHeight="1">
      <c r="A10" s="657" t="s">
        <v>287</v>
      </c>
      <c r="B10" s="658"/>
      <c r="C10" s="659"/>
      <c r="D10" s="664" t="s">
        <v>511</v>
      </c>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3"/>
      <c r="AH10" s="654"/>
      <c r="AI10" s="672"/>
      <c r="AJ10" s="672"/>
      <c r="AK10" s="672"/>
      <c r="AL10" s="672"/>
      <c r="AM10" s="672"/>
      <c r="AN10" s="672"/>
      <c r="AO10" s="672"/>
      <c r="AP10" s="672"/>
      <c r="AQ10" s="672"/>
      <c r="AR10" s="672"/>
      <c r="AS10" s="672"/>
      <c r="AT10" s="672"/>
      <c r="AU10" s="655"/>
      <c r="AV10" s="644"/>
      <c r="AW10" s="644"/>
      <c r="AX10" s="644"/>
      <c r="AY10" s="668"/>
    </row>
    <row r="11" spans="1:51" ht="39.75" customHeight="1">
      <c r="A11" s="677" t="s">
        <v>168</v>
      </c>
      <c r="B11" s="678"/>
      <c r="C11" s="678"/>
      <c r="D11" s="678"/>
      <c r="E11" s="678"/>
      <c r="F11" s="679"/>
      <c r="G11" s="677" t="s">
        <v>278</v>
      </c>
      <c r="H11" s="679"/>
      <c r="I11" s="665" t="s">
        <v>179</v>
      </c>
      <c r="J11" s="665" t="s">
        <v>279</v>
      </c>
      <c r="K11" s="665" t="s">
        <v>323</v>
      </c>
      <c r="L11" s="665" t="s">
        <v>363</v>
      </c>
      <c r="M11" s="665" t="s">
        <v>167</v>
      </c>
      <c r="N11" s="665" t="s">
        <v>182</v>
      </c>
      <c r="O11" s="677" t="s">
        <v>284</v>
      </c>
      <c r="P11" s="678"/>
      <c r="Q11" s="678"/>
      <c r="R11" s="678"/>
      <c r="S11" s="679"/>
      <c r="T11" s="665" t="s">
        <v>173</v>
      </c>
      <c r="U11" s="665" t="s">
        <v>285</v>
      </c>
      <c r="V11" s="646" t="s">
        <v>370</v>
      </c>
      <c r="W11" s="647"/>
      <c r="X11" s="647"/>
      <c r="Y11" s="647"/>
      <c r="Z11" s="647"/>
      <c r="AA11" s="647"/>
      <c r="AB11" s="647"/>
      <c r="AC11" s="647"/>
      <c r="AD11" s="647"/>
      <c r="AE11" s="647"/>
      <c r="AF11" s="647"/>
      <c r="AG11" s="648"/>
      <c r="AH11" s="646" t="s">
        <v>87</v>
      </c>
      <c r="AI11" s="647"/>
      <c r="AJ11" s="647"/>
      <c r="AK11" s="647"/>
      <c r="AL11" s="647"/>
      <c r="AM11" s="647"/>
      <c r="AN11" s="647"/>
      <c r="AO11" s="647"/>
      <c r="AP11" s="647"/>
      <c r="AQ11" s="647"/>
      <c r="AR11" s="647"/>
      <c r="AS11" s="648"/>
      <c r="AT11" s="677" t="s">
        <v>8</v>
      </c>
      <c r="AU11" s="679"/>
      <c r="AV11" s="644"/>
      <c r="AW11" s="644"/>
      <c r="AX11" s="644"/>
      <c r="AY11" s="668"/>
    </row>
    <row r="12" spans="1:51" ht="42.75">
      <c r="A12" s="117" t="s">
        <v>169</v>
      </c>
      <c r="B12" s="117" t="s">
        <v>170</v>
      </c>
      <c r="C12" s="117" t="s">
        <v>171</v>
      </c>
      <c r="D12" s="117" t="s">
        <v>178</v>
      </c>
      <c r="E12" s="117" t="s">
        <v>185</v>
      </c>
      <c r="F12" s="117" t="s">
        <v>186</v>
      </c>
      <c r="G12" s="117" t="s">
        <v>277</v>
      </c>
      <c r="H12" s="117" t="s">
        <v>184</v>
      </c>
      <c r="I12" s="666"/>
      <c r="J12" s="666"/>
      <c r="K12" s="666"/>
      <c r="L12" s="666"/>
      <c r="M12" s="666"/>
      <c r="N12" s="666"/>
      <c r="O12" s="117">
        <v>2020</v>
      </c>
      <c r="P12" s="117">
        <v>2021</v>
      </c>
      <c r="Q12" s="117">
        <v>2022</v>
      </c>
      <c r="R12" s="117">
        <v>2023</v>
      </c>
      <c r="S12" s="117">
        <v>2024</v>
      </c>
      <c r="T12" s="666"/>
      <c r="U12" s="666"/>
      <c r="V12" s="123" t="s">
        <v>39</v>
      </c>
      <c r="W12" s="123" t="s">
        <v>40</v>
      </c>
      <c r="X12" s="274" t="s">
        <v>41</v>
      </c>
      <c r="Y12" s="274" t="s">
        <v>42</v>
      </c>
      <c r="Z12" s="274" t="s">
        <v>43</v>
      </c>
      <c r="AA12" s="274" t="s">
        <v>44</v>
      </c>
      <c r="AB12" s="274" t="s">
        <v>45</v>
      </c>
      <c r="AC12" s="274" t="s">
        <v>46</v>
      </c>
      <c r="AD12" s="274" t="s">
        <v>47</v>
      </c>
      <c r="AE12" s="274" t="s">
        <v>48</v>
      </c>
      <c r="AF12" s="274" t="s">
        <v>49</v>
      </c>
      <c r="AG12" s="274" t="s">
        <v>50</v>
      </c>
      <c r="AH12" s="274" t="s">
        <v>39</v>
      </c>
      <c r="AI12" s="274" t="s">
        <v>40</v>
      </c>
      <c r="AJ12" s="274" t="s">
        <v>41</v>
      </c>
      <c r="AK12" s="123" t="s">
        <v>42</v>
      </c>
      <c r="AL12" s="123" t="s">
        <v>43</v>
      </c>
      <c r="AM12" s="123" t="s">
        <v>44</v>
      </c>
      <c r="AN12" s="123" t="s">
        <v>45</v>
      </c>
      <c r="AO12" s="123" t="s">
        <v>46</v>
      </c>
      <c r="AP12" s="123" t="s">
        <v>47</v>
      </c>
      <c r="AQ12" s="123" t="s">
        <v>48</v>
      </c>
      <c r="AR12" s="123" t="s">
        <v>49</v>
      </c>
      <c r="AS12" s="123" t="s">
        <v>50</v>
      </c>
      <c r="AT12" s="117" t="s">
        <v>408</v>
      </c>
      <c r="AU12" s="200" t="s">
        <v>88</v>
      </c>
      <c r="AV12" s="645"/>
      <c r="AW12" s="645"/>
      <c r="AX12" s="645"/>
      <c r="AY12" s="666"/>
    </row>
    <row r="13" spans="1:51" ht="313.5" customHeight="1">
      <c r="A13" s="118">
        <v>307</v>
      </c>
      <c r="B13" s="118"/>
      <c r="C13" s="118"/>
      <c r="D13" s="118"/>
      <c r="E13" s="118"/>
      <c r="F13" s="118"/>
      <c r="G13" s="118"/>
      <c r="H13" s="118"/>
      <c r="I13" s="217" t="s">
        <v>442</v>
      </c>
      <c r="J13" s="218" t="s">
        <v>444</v>
      </c>
      <c r="K13" s="119" t="s">
        <v>445</v>
      </c>
      <c r="L13" s="119">
        <v>7</v>
      </c>
      <c r="M13" s="219" t="s">
        <v>448</v>
      </c>
      <c r="N13" s="231" t="s">
        <v>492</v>
      </c>
      <c r="O13" s="118">
        <v>1</v>
      </c>
      <c r="P13" s="118">
        <v>3</v>
      </c>
      <c r="Q13" s="118">
        <v>3</v>
      </c>
      <c r="R13" s="118">
        <v>0</v>
      </c>
      <c r="S13" s="118">
        <v>0</v>
      </c>
      <c r="T13" s="120" t="s">
        <v>450</v>
      </c>
      <c r="U13" s="120"/>
      <c r="V13" s="121"/>
      <c r="W13" s="121"/>
      <c r="X13" s="275"/>
      <c r="Y13" s="275"/>
      <c r="Z13" s="275"/>
      <c r="AA13" s="275"/>
      <c r="AB13" s="275"/>
      <c r="AC13" s="275"/>
      <c r="AD13" s="275"/>
      <c r="AE13" s="275"/>
      <c r="AF13" s="275"/>
      <c r="AG13" s="275"/>
      <c r="AH13" s="248"/>
      <c r="AI13" s="275"/>
      <c r="AJ13" s="275"/>
      <c r="AK13" s="121"/>
      <c r="AL13" s="121"/>
      <c r="AM13" s="121"/>
      <c r="AN13" s="121"/>
      <c r="AO13" s="121"/>
      <c r="AP13" s="121"/>
      <c r="AQ13" s="121"/>
      <c r="AR13" s="121"/>
      <c r="AS13" s="121"/>
      <c r="AT13" s="118">
        <f>SUM(AH13:AS13)</f>
        <v>0</v>
      </c>
      <c r="AU13" s="122" t="e">
        <f>+AT13/R13</f>
        <v>#DIV/0!</v>
      </c>
      <c r="AV13" s="300" t="s">
        <v>554</v>
      </c>
      <c r="AW13" s="300" t="s">
        <v>535</v>
      </c>
      <c r="AX13" s="300" t="s">
        <v>534</v>
      </c>
      <c r="AY13" s="303" t="s">
        <v>531</v>
      </c>
    </row>
    <row r="14" spans="1:51" ht="388.5" customHeight="1">
      <c r="A14" s="118">
        <v>308</v>
      </c>
      <c r="B14" s="118"/>
      <c r="C14" s="118"/>
      <c r="D14" s="118"/>
      <c r="E14" s="118"/>
      <c r="F14" s="118"/>
      <c r="G14" s="118"/>
      <c r="H14" s="118"/>
      <c r="I14" s="217" t="s">
        <v>443</v>
      </c>
      <c r="J14" s="218" t="s">
        <v>447</v>
      </c>
      <c r="K14" s="119" t="s">
        <v>446</v>
      </c>
      <c r="L14" s="118">
        <v>5</v>
      </c>
      <c r="M14" s="219" t="s">
        <v>449</v>
      </c>
      <c r="N14" s="231" t="s">
        <v>493</v>
      </c>
      <c r="O14" s="118">
        <v>1</v>
      </c>
      <c r="P14" s="118">
        <v>5</v>
      </c>
      <c r="Q14" s="118">
        <v>5</v>
      </c>
      <c r="R14" s="118">
        <v>5</v>
      </c>
      <c r="S14" s="118">
        <v>5</v>
      </c>
      <c r="T14" s="118" t="s">
        <v>450</v>
      </c>
      <c r="U14" s="118"/>
      <c r="V14" s="121"/>
      <c r="W14" s="121"/>
      <c r="X14" s="275"/>
      <c r="Y14" s="275"/>
      <c r="Z14" s="275"/>
      <c r="AA14" s="275"/>
      <c r="AB14" s="275"/>
      <c r="AC14" s="275"/>
      <c r="AD14" s="275"/>
      <c r="AE14" s="275"/>
      <c r="AF14" s="275"/>
      <c r="AG14" s="275"/>
      <c r="AH14" s="248">
        <v>4</v>
      </c>
      <c r="AI14" s="275">
        <v>4</v>
      </c>
      <c r="AJ14" s="275">
        <v>4</v>
      </c>
      <c r="AK14" s="121">
        <v>4</v>
      </c>
      <c r="AL14" s="121">
        <v>4</v>
      </c>
      <c r="AM14" s="121">
        <v>4</v>
      </c>
      <c r="AN14" s="121">
        <v>4</v>
      </c>
      <c r="AO14" s="121">
        <v>4</v>
      </c>
      <c r="AP14" s="121">
        <v>5</v>
      </c>
      <c r="AQ14" s="121">
        <v>5</v>
      </c>
      <c r="AR14" s="121">
        <v>5</v>
      </c>
      <c r="AS14" s="121"/>
      <c r="AT14" s="118">
        <v>5</v>
      </c>
      <c r="AU14" s="122">
        <f aca="true" t="shared" si="0" ref="AU14:AU24">+AT14/R14</f>
        <v>1</v>
      </c>
      <c r="AV14" s="289" t="s">
        <v>567</v>
      </c>
      <c r="AW14" s="289" t="s">
        <v>557</v>
      </c>
      <c r="AX14" s="289" t="s">
        <v>538</v>
      </c>
      <c r="AY14" s="289" t="s">
        <v>551</v>
      </c>
    </row>
    <row r="15" spans="1:51" ht="199.5" customHeight="1">
      <c r="A15" s="118"/>
      <c r="B15" s="118"/>
      <c r="C15" s="118">
        <v>327</v>
      </c>
      <c r="D15" s="118">
        <v>35</v>
      </c>
      <c r="E15" s="118"/>
      <c r="F15" s="118"/>
      <c r="G15" s="118"/>
      <c r="H15" s="118"/>
      <c r="I15" s="220" t="s">
        <v>442</v>
      </c>
      <c r="J15" s="221" t="s">
        <v>451</v>
      </c>
      <c r="K15" s="119" t="s">
        <v>445</v>
      </c>
      <c r="L15" s="222">
        <v>39000</v>
      </c>
      <c r="M15" s="222" t="s">
        <v>453</v>
      </c>
      <c r="N15" s="233" t="s">
        <v>494</v>
      </c>
      <c r="O15" s="119">
        <v>4670</v>
      </c>
      <c r="P15" s="119">
        <v>8700</v>
      </c>
      <c r="Q15" s="119">
        <v>9986</v>
      </c>
      <c r="R15" s="119">
        <v>11400</v>
      </c>
      <c r="S15" s="119">
        <v>4244</v>
      </c>
      <c r="T15" s="118" t="s">
        <v>450</v>
      </c>
      <c r="U15" s="222" t="s">
        <v>455</v>
      </c>
      <c r="V15" s="288">
        <v>165</v>
      </c>
      <c r="W15" s="288">
        <v>742</v>
      </c>
      <c r="X15" s="288">
        <v>1106</v>
      </c>
      <c r="Y15" s="288">
        <v>855</v>
      </c>
      <c r="Z15" s="288">
        <v>1195</v>
      </c>
      <c r="AA15" s="288">
        <v>1077</v>
      </c>
      <c r="AB15" s="288">
        <v>1044</v>
      </c>
      <c r="AC15" s="288">
        <v>1144</v>
      </c>
      <c r="AD15" s="288">
        <v>1050</v>
      </c>
      <c r="AE15" s="288">
        <v>1022</v>
      </c>
      <c r="AF15" s="288">
        <v>1000</v>
      </c>
      <c r="AG15" s="288">
        <v>1000</v>
      </c>
      <c r="AH15" s="248">
        <v>165</v>
      </c>
      <c r="AI15" s="275">
        <v>742</v>
      </c>
      <c r="AJ15" s="275">
        <v>1106</v>
      </c>
      <c r="AK15" s="121">
        <v>855</v>
      </c>
      <c r="AL15" s="121">
        <v>1195</v>
      </c>
      <c r="AM15" s="121">
        <v>1077</v>
      </c>
      <c r="AN15" s="121">
        <v>1044</v>
      </c>
      <c r="AO15" s="121">
        <v>1144</v>
      </c>
      <c r="AP15" s="121">
        <v>1050</v>
      </c>
      <c r="AQ15" s="121">
        <v>1160</v>
      </c>
      <c r="AR15" s="121">
        <v>936</v>
      </c>
      <c r="AS15" s="121"/>
      <c r="AT15" s="248">
        <f>SUM(AH15:AS15)</f>
        <v>10474</v>
      </c>
      <c r="AU15" s="249">
        <f>+AT15/R15</f>
        <v>0.9187719298245614</v>
      </c>
      <c r="AV15" s="289" t="s">
        <v>569</v>
      </c>
      <c r="AW15" s="289" t="s">
        <v>570</v>
      </c>
      <c r="AX15" s="289"/>
      <c r="AY15" s="275"/>
    </row>
    <row r="16" spans="1:51" ht="294.75" customHeight="1">
      <c r="A16" s="118"/>
      <c r="B16" s="118"/>
      <c r="C16" s="118"/>
      <c r="D16" s="118">
        <v>31</v>
      </c>
      <c r="E16" s="118"/>
      <c r="F16" s="118"/>
      <c r="G16" s="118"/>
      <c r="H16" s="118"/>
      <c r="I16" s="220" t="s">
        <v>549</v>
      </c>
      <c r="J16" s="221" t="s">
        <v>452</v>
      </c>
      <c r="K16" s="119" t="s">
        <v>445</v>
      </c>
      <c r="L16" s="222">
        <v>3900</v>
      </c>
      <c r="M16" s="222" t="s">
        <v>454</v>
      </c>
      <c r="N16" s="233" t="s">
        <v>488</v>
      </c>
      <c r="O16" s="119">
        <v>445</v>
      </c>
      <c r="P16" s="119">
        <v>767</v>
      </c>
      <c r="Q16" s="119">
        <v>1036</v>
      </c>
      <c r="R16" s="119">
        <v>1300</v>
      </c>
      <c r="S16" s="119">
        <v>352</v>
      </c>
      <c r="T16" s="118" t="s">
        <v>450</v>
      </c>
      <c r="U16" s="222" t="s">
        <v>455</v>
      </c>
      <c r="V16" s="288">
        <v>24</v>
      </c>
      <c r="W16" s="288">
        <v>73</v>
      </c>
      <c r="X16" s="288">
        <v>133</v>
      </c>
      <c r="Y16" s="288">
        <v>99</v>
      </c>
      <c r="Z16" s="288">
        <v>164</v>
      </c>
      <c r="AA16" s="288">
        <v>144</v>
      </c>
      <c r="AB16" s="288">
        <v>137</v>
      </c>
      <c r="AC16" s="288">
        <v>121</v>
      </c>
      <c r="AD16" s="288">
        <v>110</v>
      </c>
      <c r="AE16" s="288">
        <v>110</v>
      </c>
      <c r="AF16" s="288">
        <v>100</v>
      </c>
      <c r="AG16" s="288">
        <v>85</v>
      </c>
      <c r="AH16" s="248">
        <v>24</v>
      </c>
      <c r="AI16" s="275">
        <v>73</v>
      </c>
      <c r="AJ16" s="275">
        <v>133</v>
      </c>
      <c r="AK16" s="121">
        <v>99</v>
      </c>
      <c r="AL16" s="121">
        <v>164</v>
      </c>
      <c r="AM16" s="275">
        <v>144</v>
      </c>
      <c r="AN16" s="121">
        <v>137</v>
      </c>
      <c r="AO16" s="121">
        <v>121</v>
      </c>
      <c r="AP16" s="121">
        <v>136</v>
      </c>
      <c r="AQ16" s="121">
        <v>139</v>
      </c>
      <c r="AR16" s="121">
        <v>77</v>
      </c>
      <c r="AS16" s="121"/>
      <c r="AT16" s="118">
        <f>SUM(AH16:AS16)</f>
        <v>1247</v>
      </c>
      <c r="AU16" s="122">
        <f t="shared" si="0"/>
        <v>0.9592307692307692</v>
      </c>
      <c r="AV16" s="289" t="s">
        <v>599</v>
      </c>
      <c r="AW16" s="289" t="s">
        <v>600</v>
      </c>
      <c r="AX16" s="304"/>
      <c r="AY16" s="275"/>
    </row>
    <row r="17" spans="1:51" ht="103.5" customHeight="1">
      <c r="A17" s="118"/>
      <c r="B17" s="118"/>
      <c r="C17" s="118"/>
      <c r="D17" s="118"/>
      <c r="E17" s="119" t="s">
        <v>456</v>
      </c>
      <c r="F17" s="118"/>
      <c r="G17" s="118"/>
      <c r="H17" s="118"/>
      <c r="I17" s="225" t="s">
        <v>458</v>
      </c>
      <c r="J17" s="219" t="s">
        <v>457</v>
      </c>
      <c r="K17" s="119" t="s">
        <v>446</v>
      </c>
      <c r="L17" s="121" t="s">
        <v>499</v>
      </c>
      <c r="M17" s="219" t="s">
        <v>459</v>
      </c>
      <c r="N17" s="227" t="s">
        <v>495</v>
      </c>
      <c r="O17" s="121"/>
      <c r="P17" s="121"/>
      <c r="Q17" s="121"/>
      <c r="R17" s="121"/>
      <c r="S17" s="121"/>
      <c r="T17" s="118" t="s">
        <v>450</v>
      </c>
      <c r="U17" s="118" t="s">
        <v>455</v>
      </c>
      <c r="V17" s="288"/>
      <c r="W17" s="288"/>
      <c r="X17" s="288"/>
      <c r="Y17" s="288"/>
      <c r="Z17" s="288"/>
      <c r="AA17" s="288"/>
      <c r="AB17" s="288"/>
      <c r="AC17" s="288"/>
      <c r="AD17" s="276"/>
      <c r="AE17" s="276"/>
      <c r="AF17" s="276"/>
      <c r="AG17" s="276"/>
      <c r="AH17" s="228">
        <v>451</v>
      </c>
      <c r="AI17" s="275">
        <v>1001</v>
      </c>
      <c r="AJ17" s="275">
        <v>1546</v>
      </c>
      <c r="AK17" s="275">
        <v>1176</v>
      </c>
      <c r="AL17" s="121">
        <v>1704</v>
      </c>
      <c r="AM17" s="121">
        <v>1569</v>
      </c>
      <c r="AN17" s="121">
        <v>1467</v>
      </c>
      <c r="AO17" s="121">
        <v>1608</v>
      </c>
      <c r="AP17" s="121">
        <v>1502</v>
      </c>
      <c r="AQ17" s="121">
        <v>1569</v>
      </c>
      <c r="AR17" s="121">
        <v>1306</v>
      </c>
      <c r="AS17" s="121"/>
      <c r="AT17" s="281">
        <v>14159</v>
      </c>
      <c r="AU17" s="249" t="e">
        <f>+AT17/R17</f>
        <v>#DIV/0!</v>
      </c>
      <c r="AV17" s="289" t="s">
        <v>590</v>
      </c>
      <c r="AW17" s="289" t="s">
        <v>591</v>
      </c>
      <c r="AX17" s="275"/>
      <c r="AY17" s="275"/>
    </row>
    <row r="18" spans="1:51" ht="63.75">
      <c r="A18" s="118"/>
      <c r="B18" s="118"/>
      <c r="C18" s="118"/>
      <c r="D18" s="118"/>
      <c r="E18" s="118">
        <v>4</v>
      </c>
      <c r="F18" s="118"/>
      <c r="G18" s="118"/>
      <c r="H18" s="118"/>
      <c r="I18" s="217" t="s">
        <v>460</v>
      </c>
      <c r="J18" s="218" t="s">
        <v>461</v>
      </c>
      <c r="K18" s="119" t="s">
        <v>445</v>
      </c>
      <c r="L18" s="121" t="s">
        <v>499</v>
      </c>
      <c r="M18" s="219" t="s">
        <v>462</v>
      </c>
      <c r="N18" s="227" t="s">
        <v>496</v>
      </c>
      <c r="O18" s="121"/>
      <c r="P18" s="121"/>
      <c r="Q18" s="121"/>
      <c r="R18" s="121"/>
      <c r="S18" s="121"/>
      <c r="T18" s="118" t="s">
        <v>450</v>
      </c>
      <c r="U18" s="118" t="s">
        <v>455</v>
      </c>
      <c r="V18" s="121"/>
      <c r="W18" s="230"/>
      <c r="X18" s="276"/>
      <c r="Y18" s="276"/>
      <c r="Z18" s="276"/>
      <c r="AA18" s="276"/>
      <c r="AB18" s="276"/>
      <c r="AC18" s="276"/>
      <c r="AD18" s="276"/>
      <c r="AE18" s="276"/>
      <c r="AF18" s="276"/>
      <c r="AG18" s="276"/>
      <c r="AH18" s="228">
        <v>12</v>
      </c>
      <c r="AI18" s="275">
        <v>38</v>
      </c>
      <c r="AJ18" s="275">
        <v>85</v>
      </c>
      <c r="AK18" s="121">
        <v>60</v>
      </c>
      <c r="AL18" s="121">
        <v>103</v>
      </c>
      <c r="AM18" s="275">
        <v>105</v>
      </c>
      <c r="AN18" s="121">
        <v>104</v>
      </c>
      <c r="AO18" s="121">
        <v>88</v>
      </c>
      <c r="AP18" s="121">
        <v>102</v>
      </c>
      <c r="AQ18" s="121">
        <v>104</v>
      </c>
      <c r="AR18" s="121">
        <v>56</v>
      </c>
      <c r="AS18" s="121"/>
      <c r="AT18" s="281">
        <f aca="true" t="shared" si="1" ref="AT18:AT24">SUM(AH18:AS18)</f>
        <v>857</v>
      </c>
      <c r="AU18" s="122" t="e">
        <f>+AT18/R18</f>
        <v>#DIV/0!</v>
      </c>
      <c r="AV18" s="289" t="s">
        <v>586</v>
      </c>
      <c r="AW18" s="289" t="s">
        <v>587</v>
      </c>
      <c r="AX18" s="275"/>
      <c r="AY18" s="275"/>
    </row>
    <row r="19" spans="1:51" ht="51">
      <c r="A19" s="118"/>
      <c r="B19" s="118"/>
      <c r="C19" s="118"/>
      <c r="D19" s="118"/>
      <c r="E19" s="118">
        <v>4</v>
      </c>
      <c r="F19" s="118"/>
      <c r="G19" s="118"/>
      <c r="H19" s="118"/>
      <c r="I19" s="217" t="s">
        <v>463</v>
      </c>
      <c r="J19" s="218" t="s">
        <v>464</v>
      </c>
      <c r="K19" s="119" t="s">
        <v>445</v>
      </c>
      <c r="L19" s="121" t="s">
        <v>499</v>
      </c>
      <c r="M19" s="219" t="s">
        <v>462</v>
      </c>
      <c r="N19" s="227" t="s">
        <v>498</v>
      </c>
      <c r="O19" s="121"/>
      <c r="P19" s="121"/>
      <c r="Q19" s="121"/>
      <c r="R19" s="121"/>
      <c r="S19" s="121"/>
      <c r="T19" s="118" t="s">
        <v>450</v>
      </c>
      <c r="U19" s="118" t="s">
        <v>455</v>
      </c>
      <c r="V19" s="121"/>
      <c r="W19" s="230"/>
      <c r="X19" s="276"/>
      <c r="Y19" s="276"/>
      <c r="Z19" s="276"/>
      <c r="AA19" s="276"/>
      <c r="AB19" s="276"/>
      <c r="AC19" s="276"/>
      <c r="AD19" s="276"/>
      <c r="AE19" s="276"/>
      <c r="AF19" s="276"/>
      <c r="AG19" s="276"/>
      <c r="AH19" s="228">
        <v>11</v>
      </c>
      <c r="AI19" s="275">
        <v>32</v>
      </c>
      <c r="AJ19" s="275">
        <v>45</v>
      </c>
      <c r="AK19" s="121">
        <v>35</v>
      </c>
      <c r="AL19" s="121">
        <v>61</v>
      </c>
      <c r="AM19" s="121">
        <v>35</v>
      </c>
      <c r="AN19" s="121">
        <v>29</v>
      </c>
      <c r="AO19" s="121">
        <v>31</v>
      </c>
      <c r="AP19" s="121">
        <v>32</v>
      </c>
      <c r="AQ19" s="121">
        <v>32</v>
      </c>
      <c r="AR19" s="121">
        <v>21</v>
      </c>
      <c r="AS19" s="121"/>
      <c r="AT19" s="281">
        <f t="shared" si="1"/>
        <v>364</v>
      </c>
      <c r="AU19" s="122" t="e">
        <f t="shared" si="0"/>
        <v>#DIV/0!</v>
      </c>
      <c r="AV19" s="289" t="s">
        <v>584</v>
      </c>
      <c r="AW19" s="289" t="s">
        <v>585</v>
      </c>
      <c r="AX19" s="275"/>
      <c r="AY19" s="275"/>
    </row>
    <row r="20" spans="1:51" ht="63.75">
      <c r="A20" s="118"/>
      <c r="B20" s="118"/>
      <c r="C20" s="118"/>
      <c r="D20" s="118"/>
      <c r="E20" s="118">
        <v>4</v>
      </c>
      <c r="F20" s="118"/>
      <c r="G20" s="118"/>
      <c r="H20" s="118"/>
      <c r="I20" s="217" t="s">
        <v>465</v>
      </c>
      <c r="J20" s="218" t="s">
        <v>466</v>
      </c>
      <c r="K20" s="119" t="s">
        <v>445</v>
      </c>
      <c r="L20" s="121" t="s">
        <v>499</v>
      </c>
      <c r="M20" s="219" t="s">
        <v>462</v>
      </c>
      <c r="N20" s="227" t="s">
        <v>497</v>
      </c>
      <c r="O20" s="121"/>
      <c r="P20" s="121"/>
      <c r="Q20" s="121"/>
      <c r="R20" s="121"/>
      <c r="S20" s="121"/>
      <c r="T20" s="118" t="s">
        <v>450</v>
      </c>
      <c r="U20" s="118" t="s">
        <v>455</v>
      </c>
      <c r="V20" s="121"/>
      <c r="W20" s="230"/>
      <c r="X20" s="276"/>
      <c r="Y20" s="276"/>
      <c r="Z20" s="276"/>
      <c r="AA20" s="276"/>
      <c r="AB20" s="276"/>
      <c r="AC20" s="276"/>
      <c r="AD20" s="276"/>
      <c r="AE20" s="276"/>
      <c r="AF20" s="276"/>
      <c r="AG20" s="276"/>
      <c r="AH20" s="228">
        <v>1</v>
      </c>
      <c r="AI20" s="275">
        <v>3</v>
      </c>
      <c r="AJ20" s="275">
        <v>3</v>
      </c>
      <c r="AK20" s="121">
        <v>4</v>
      </c>
      <c r="AL20" s="121">
        <v>0</v>
      </c>
      <c r="AM20" s="121">
        <v>4</v>
      </c>
      <c r="AN20" s="121">
        <v>4</v>
      </c>
      <c r="AO20" s="121">
        <v>2</v>
      </c>
      <c r="AP20" s="121">
        <v>2</v>
      </c>
      <c r="AQ20" s="121">
        <v>3</v>
      </c>
      <c r="AR20" s="121">
        <v>0</v>
      </c>
      <c r="AS20" s="121"/>
      <c r="AT20" s="281">
        <f t="shared" si="1"/>
        <v>26</v>
      </c>
      <c r="AU20" s="122" t="e">
        <f t="shared" si="0"/>
        <v>#DIV/0!</v>
      </c>
      <c r="AV20" s="289" t="s">
        <v>588</v>
      </c>
      <c r="AW20" s="289" t="s">
        <v>555</v>
      </c>
      <c r="AX20" s="275"/>
      <c r="AY20" s="275"/>
    </row>
    <row r="21" spans="1:51" ht="76.5">
      <c r="A21" s="118"/>
      <c r="B21" s="118"/>
      <c r="C21" s="118"/>
      <c r="D21" s="118"/>
      <c r="E21" s="118">
        <v>5</v>
      </c>
      <c r="F21" s="118"/>
      <c r="G21" s="118"/>
      <c r="H21" s="118"/>
      <c r="I21" s="219" t="s">
        <v>482</v>
      </c>
      <c r="J21" s="219" t="s">
        <v>467</v>
      </c>
      <c r="K21" s="119" t="s">
        <v>445</v>
      </c>
      <c r="L21" s="121" t="s">
        <v>499</v>
      </c>
      <c r="M21" s="219" t="s">
        <v>468</v>
      </c>
      <c r="N21" s="227" t="s">
        <v>502</v>
      </c>
      <c r="O21" s="121"/>
      <c r="P21" s="121"/>
      <c r="Q21" s="121"/>
      <c r="R21" s="230"/>
      <c r="S21" s="121"/>
      <c r="T21" s="118" t="s">
        <v>450</v>
      </c>
      <c r="U21" s="118" t="s">
        <v>455</v>
      </c>
      <c r="V21" s="228"/>
      <c r="W21" s="230"/>
      <c r="X21" s="276"/>
      <c r="Y21" s="276"/>
      <c r="Z21" s="276"/>
      <c r="AA21" s="276"/>
      <c r="AB21" s="276"/>
      <c r="AC21" s="276"/>
      <c r="AD21" s="276"/>
      <c r="AE21" s="276"/>
      <c r="AF21" s="276"/>
      <c r="AG21" s="276"/>
      <c r="AH21" s="248">
        <v>14</v>
      </c>
      <c r="AI21" s="275">
        <v>26</v>
      </c>
      <c r="AJ21" s="275">
        <v>31</v>
      </c>
      <c r="AK21" s="121">
        <v>37</v>
      </c>
      <c r="AL21" s="275">
        <v>52</v>
      </c>
      <c r="AM21" s="121">
        <v>59</v>
      </c>
      <c r="AN21" s="121">
        <v>46</v>
      </c>
      <c r="AO21" s="121">
        <v>50</v>
      </c>
      <c r="AP21" s="121">
        <v>90</v>
      </c>
      <c r="AQ21" s="121">
        <f>32+9</f>
        <v>41</v>
      </c>
      <c r="AR21" s="121">
        <v>12</v>
      </c>
      <c r="AS21" s="121"/>
      <c r="AT21" s="281">
        <f t="shared" si="1"/>
        <v>458</v>
      </c>
      <c r="AU21" s="122" t="e">
        <f>+AT21/R21</f>
        <v>#DIV/0!</v>
      </c>
      <c r="AV21" s="289" t="s">
        <v>571</v>
      </c>
      <c r="AW21" s="289" t="s">
        <v>572</v>
      </c>
      <c r="AX21" s="275"/>
      <c r="AY21" s="275"/>
    </row>
    <row r="22" spans="1:52" ht="115.5" customHeight="1">
      <c r="A22" s="118"/>
      <c r="B22" s="118"/>
      <c r="C22" s="118"/>
      <c r="D22" s="118"/>
      <c r="E22" s="118" t="s">
        <v>472</v>
      </c>
      <c r="F22" s="118"/>
      <c r="G22" s="118"/>
      <c r="H22" s="118"/>
      <c r="I22" s="219" t="s">
        <v>473</v>
      </c>
      <c r="J22" s="219" t="s">
        <v>484</v>
      </c>
      <c r="K22" s="119" t="s">
        <v>445</v>
      </c>
      <c r="L22" s="121" t="s">
        <v>499</v>
      </c>
      <c r="M22" s="219" t="s">
        <v>483</v>
      </c>
      <c r="N22" s="227" t="s">
        <v>503</v>
      </c>
      <c r="O22" s="121"/>
      <c r="P22" s="121"/>
      <c r="Q22" s="121"/>
      <c r="R22" s="230"/>
      <c r="S22" s="121"/>
      <c r="T22" s="118" t="s">
        <v>450</v>
      </c>
      <c r="U22" s="118" t="s">
        <v>455</v>
      </c>
      <c r="V22" s="121"/>
      <c r="W22" s="311"/>
      <c r="X22" s="312"/>
      <c r="Y22" s="312"/>
      <c r="Z22" s="312"/>
      <c r="AA22" s="312"/>
      <c r="AB22" s="312"/>
      <c r="AC22" s="312"/>
      <c r="AD22" s="312"/>
      <c r="AE22" s="276"/>
      <c r="AF22" s="276"/>
      <c r="AG22" s="276"/>
      <c r="AH22" s="248">
        <f>261+23</f>
        <v>284</v>
      </c>
      <c r="AI22" s="275">
        <f>178+143</f>
        <v>321</v>
      </c>
      <c r="AJ22" s="275">
        <f>286+243</f>
        <v>529</v>
      </c>
      <c r="AK22" s="121">
        <f>203+198</f>
        <v>401</v>
      </c>
      <c r="AL22" s="121">
        <f>332+209</f>
        <v>541</v>
      </c>
      <c r="AM22" s="275">
        <f>309+224</f>
        <v>533</v>
      </c>
      <c r="AN22" s="121">
        <v>488</v>
      </c>
      <c r="AO22" s="121">
        <f>292+246</f>
        <v>538</v>
      </c>
      <c r="AP22" s="121">
        <v>562</v>
      </c>
      <c r="AQ22" s="121">
        <f>244+275</f>
        <v>519</v>
      </c>
      <c r="AR22" s="121">
        <v>475</v>
      </c>
      <c r="AS22" s="121"/>
      <c r="AT22" s="281">
        <v>5186</v>
      </c>
      <c r="AU22" s="122" t="e">
        <f t="shared" si="0"/>
        <v>#DIV/0!</v>
      </c>
      <c r="AV22" s="289" t="s">
        <v>580</v>
      </c>
      <c r="AW22" s="289" t="s">
        <v>581</v>
      </c>
      <c r="AX22" s="289"/>
      <c r="AY22" s="275"/>
      <c r="AZ22" s="302"/>
    </row>
    <row r="23" spans="1:51" ht="150.75" customHeight="1">
      <c r="A23" s="118"/>
      <c r="B23" s="118"/>
      <c r="C23" s="118"/>
      <c r="D23" s="118"/>
      <c r="E23" s="118">
        <v>8</v>
      </c>
      <c r="F23" s="118"/>
      <c r="G23" s="118"/>
      <c r="H23" s="118"/>
      <c r="I23" s="219" t="s">
        <v>469</v>
      </c>
      <c r="J23" s="219" t="s">
        <v>485</v>
      </c>
      <c r="K23" s="119" t="s">
        <v>445</v>
      </c>
      <c r="L23" s="121" t="s">
        <v>499</v>
      </c>
      <c r="M23" s="219" t="s">
        <v>471</v>
      </c>
      <c r="N23" s="227" t="s">
        <v>504</v>
      </c>
      <c r="O23" s="121"/>
      <c r="P23" s="121"/>
      <c r="Q23" s="121"/>
      <c r="R23" s="121"/>
      <c r="S23" s="121"/>
      <c r="T23" s="118" t="s">
        <v>450</v>
      </c>
      <c r="U23" s="118" t="s">
        <v>455</v>
      </c>
      <c r="V23" s="121"/>
      <c r="W23" s="230"/>
      <c r="X23" s="276"/>
      <c r="Y23" s="276"/>
      <c r="Z23" s="276"/>
      <c r="AA23" s="276"/>
      <c r="AB23" s="276"/>
      <c r="AC23" s="276"/>
      <c r="AD23" s="276"/>
      <c r="AE23" s="276"/>
      <c r="AF23" s="276"/>
      <c r="AG23" s="276"/>
      <c r="AH23" s="248">
        <v>0</v>
      </c>
      <c r="AI23" s="275">
        <v>34</v>
      </c>
      <c r="AJ23" s="275">
        <v>29</v>
      </c>
      <c r="AK23" s="121">
        <v>22</v>
      </c>
      <c r="AL23" s="121">
        <v>22</v>
      </c>
      <c r="AM23" s="121">
        <v>24</v>
      </c>
      <c r="AN23" s="121">
        <v>21</v>
      </c>
      <c r="AO23" s="121">
        <v>21</v>
      </c>
      <c r="AP23" s="121">
        <v>20</v>
      </c>
      <c r="AQ23" s="121">
        <v>22</v>
      </c>
      <c r="AR23" s="121">
        <v>21</v>
      </c>
      <c r="AS23" s="121"/>
      <c r="AT23" s="118">
        <f t="shared" si="1"/>
        <v>236</v>
      </c>
      <c r="AU23" s="122" t="e">
        <f t="shared" si="0"/>
        <v>#DIV/0!</v>
      </c>
      <c r="AV23" s="289" t="s">
        <v>573</v>
      </c>
      <c r="AW23" s="289" t="s">
        <v>574</v>
      </c>
      <c r="AX23" s="275"/>
      <c r="AY23" s="275"/>
    </row>
    <row r="24" spans="1:51" ht="102" customHeight="1">
      <c r="A24" s="118"/>
      <c r="B24" s="118"/>
      <c r="C24" s="118"/>
      <c r="D24" s="118"/>
      <c r="E24" s="118">
        <v>11</v>
      </c>
      <c r="F24" s="118"/>
      <c r="G24" s="118"/>
      <c r="H24" s="118"/>
      <c r="I24" s="219" t="s">
        <v>470</v>
      </c>
      <c r="J24" s="219" t="s">
        <v>487</v>
      </c>
      <c r="K24" s="119" t="s">
        <v>445</v>
      </c>
      <c r="L24" s="121" t="s">
        <v>499</v>
      </c>
      <c r="M24" s="219" t="s">
        <v>486</v>
      </c>
      <c r="N24" s="227" t="s">
        <v>505</v>
      </c>
      <c r="O24" s="121"/>
      <c r="P24" s="121"/>
      <c r="Q24" s="121"/>
      <c r="R24" s="121"/>
      <c r="S24" s="121"/>
      <c r="T24" s="118" t="s">
        <v>450</v>
      </c>
      <c r="U24" s="118" t="s">
        <v>455</v>
      </c>
      <c r="V24" s="121"/>
      <c r="W24" s="230"/>
      <c r="X24" s="275"/>
      <c r="Y24" s="276"/>
      <c r="Z24" s="276"/>
      <c r="AA24" s="276"/>
      <c r="AB24" s="276"/>
      <c r="AC24" s="276"/>
      <c r="AD24" s="276"/>
      <c r="AE24" s="276"/>
      <c r="AF24" s="276"/>
      <c r="AG24" s="276"/>
      <c r="AH24" s="248">
        <v>0</v>
      </c>
      <c r="AI24" s="275">
        <v>253</v>
      </c>
      <c r="AJ24" s="275">
        <v>637</v>
      </c>
      <c r="AK24" s="121">
        <v>663</v>
      </c>
      <c r="AL24" s="121">
        <v>900</v>
      </c>
      <c r="AM24" s="121">
        <v>918</v>
      </c>
      <c r="AN24" s="121">
        <v>882</v>
      </c>
      <c r="AO24" s="121">
        <v>925</v>
      </c>
      <c r="AP24" s="121">
        <v>807</v>
      </c>
      <c r="AQ24" s="121">
        <v>788</v>
      </c>
      <c r="AR24" s="121">
        <v>695</v>
      </c>
      <c r="AS24" s="121"/>
      <c r="AT24" s="118">
        <f t="shared" si="1"/>
        <v>7468</v>
      </c>
      <c r="AU24" s="122" t="e">
        <f t="shared" si="0"/>
        <v>#DIV/0!</v>
      </c>
      <c r="AV24" s="289" t="s">
        <v>575</v>
      </c>
      <c r="AW24" s="289" t="s">
        <v>576</v>
      </c>
      <c r="AX24" s="289"/>
      <c r="AY24" s="275"/>
    </row>
    <row r="25" spans="1:51" ht="160.5" customHeight="1">
      <c r="A25" s="118"/>
      <c r="B25" s="118"/>
      <c r="C25" s="118"/>
      <c r="D25" s="118"/>
      <c r="E25" s="118"/>
      <c r="F25" s="118"/>
      <c r="G25" s="226" t="s">
        <v>202</v>
      </c>
      <c r="H25" s="118"/>
      <c r="I25" s="217" t="s">
        <v>500</v>
      </c>
      <c r="J25" s="221" t="s">
        <v>474</v>
      </c>
      <c r="K25" s="119"/>
      <c r="L25" s="229">
        <v>1</v>
      </c>
      <c r="M25" s="119" t="s">
        <v>506</v>
      </c>
      <c r="N25" s="231" t="s">
        <v>501</v>
      </c>
      <c r="O25" s="121"/>
      <c r="P25" s="121"/>
      <c r="Q25" s="121"/>
      <c r="R25" s="121"/>
      <c r="S25" s="121"/>
      <c r="T25" s="118" t="s">
        <v>509</v>
      </c>
      <c r="U25" s="118" t="s">
        <v>455</v>
      </c>
      <c r="V25" s="121"/>
      <c r="W25" s="230"/>
      <c r="X25" s="276">
        <v>1</v>
      </c>
      <c r="Y25" s="276"/>
      <c r="Z25" s="276"/>
      <c r="AA25" s="276">
        <v>1</v>
      </c>
      <c r="AB25" s="276"/>
      <c r="AC25" s="276"/>
      <c r="AD25" s="276">
        <v>1</v>
      </c>
      <c r="AE25" s="276"/>
      <c r="AF25" s="276"/>
      <c r="AG25" s="276">
        <v>1</v>
      </c>
      <c r="AH25" s="248"/>
      <c r="AI25" s="275"/>
      <c r="AJ25" s="276">
        <v>1</v>
      </c>
      <c r="AK25" s="121"/>
      <c r="AL25" s="121"/>
      <c r="AM25" s="276">
        <v>1</v>
      </c>
      <c r="AN25" s="121"/>
      <c r="AO25" s="121"/>
      <c r="AP25" s="230">
        <v>1</v>
      </c>
      <c r="AQ25" s="121"/>
      <c r="AR25" s="121"/>
      <c r="AS25" s="121"/>
      <c r="AT25" s="280">
        <v>1</v>
      </c>
      <c r="AU25" s="122"/>
      <c r="AV25" s="289" t="s">
        <v>556</v>
      </c>
      <c r="AW25" s="289" t="s">
        <v>546</v>
      </c>
      <c r="AX25" s="304"/>
      <c r="AY25" s="275"/>
    </row>
    <row r="26" spans="1:51" ht="327" customHeight="1">
      <c r="A26" s="118"/>
      <c r="B26" s="118"/>
      <c r="C26" s="118"/>
      <c r="D26" s="118"/>
      <c r="E26" s="118"/>
      <c r="F26" s="118"/>
      <c r="G26" s="226" t="s">
        <v>202</v>
      </c>
      <c r="H26" s="118"/>
      <c r="I26" s="217" t="s">
        <v>475</v>
      </c>
      <c r="J26" s="218" t="s">
        <v>476</v>
      </c>
      <c r="K26" s="119"/>
      <c r="L26" s="229">
        <v>1</v>
      </c>
      <c r="M26" s="119" t="s">
        <v>491</v>
      </c>
      <c r="N26" s="232" t="s">
        <v>477</v>
      </c>
      <c r="O26" s="121"/>
      <c r="P26" s="121"/>
      <c r="Q26" s="121"/>
      <c r="R26" s="121"/>
      <c r="S26" s="121"/>
      <c r="T26" s="118" t="s">
        <v>509</v>
      </c>
      <c r="U26" s="119" t="s">
        <v>513</v>
      </c>
      <c r="V26" s="121"/>
      <c r="W26" s="121"/>
      <c r="X26" s="276">
        <v>1</v>
      </c>
      <c r="Y26" s="276"/>
      <c r="Z26" s="276"/>
      <c r="AA26" s="276">
        <v>1</v>
      </c>
      <c r="AB26" s="276"/>
      <c r="AC26" s="276"/>
      <c r="AD26" s="276">
        <v>1</v>
      </c>
      <c r="AE26" s="276"/>
      <c r="AF26" s="276"/>
      <c r="AG26" s="276">
        <v>1</v>
      </c>
      <c r="AH26" s="248"/>
      <c r="AI26" s="275"/>
      <c r="AJ26" s="276">
        <v>1</v>
      </c>
      <c r="AK26" s="121"/>
      <c r="AL26" s="121"/>
      <c r="AM26" s="230">
        <v>1</v>
      </c>
      <c r="AN26" s="121"/>
      <c r="AO26" s="121"/>
      <c r="AP26" s="230">
        <v>1</v>
      </c>
      <c r="AQ26" s="121"/>
      <c r="AR26" s="121"/>
      <c r="AS26" s="121"/>
      <c r="AT26" s="280">
        <v>1</v>
      </c>
      <c r="AU26" s="122"/>
      <c r="AV26" s="289" t="s">
        <v>556</v>
      </c>
      <c r="AW26" s="289" t="s">
        <v>547</v>
      </c>
      <c r="AX26" s="304"/>
      <c r="AY26" s="275"/>
    </row>
    <row r="27" spans="1:51" ht="120">
      <c r="A27" s="118"/>
      <c r="B27" s="118"/>
      <c r="C27" s="118"/>
      <c r="D27" s="118"/>
      <c r="E27" s="118"/>
      <c r="F27" s="118"/>
      <c r="G27" s="226" t="s">
        <v>202</v>
      </c>
      <c r="H27" s="118"/>
      <c r="I27" s="217" t="s">
        <v>518</v>
      </c>
      <c r="J27" s="218" t="s">
        <v>480</v>
      </c>
      <c r="K27" s="119"/>
      <c r="L27" s="229">
        <v>1</v>
      </c>
      <c r="M27" s="119" t="s">
        <v>491</v>
      </c>
      <c r="N27" s="231" t="s">
        <v>481</v>
      </c>
      <c r="O27" s="121"/>
      <c r="P27" s="121"/>
      <c r="Q27" s="121"/>
      <c r="R27" s="121"/>
      <c r="S27" s="121"/>
      <c r="T27" s="118" t="s">
        <v>509</v>
      </c>
      <c r="U27" s="119" t="s">
        <v>514</v>
      </c>
      <c r="V27" s="121"/>
      <c r="W27" s="121"/>
      <c r="X27" s="276">
        <v>1</v>
      </c>
      <c r="Y27" s="276"/>
      <c r="Z27" s="276"/>
      <c r="AA27" s="276">
        <v>1</v>
      </c>
      <c r="AB27" s="276"/>
      <c r="AC27" s="276"/>
      <c r="AD27" s="276">
        <v>1</v>
      </c>
      <c r="AE27" s="276"/>
      <c r="AF27" s="276"/>
      <c r="AG27" s="276">
        <v>1</v>
      </c>
      <c r="AH27" s="248"/>
      <c r="AI27" s="275"/>
      <c r="AJ27" s="276">
        <v>1</v>
      </c>
      <c r="AK27" s="121"/>
      <c r="AL27" s="121"/>
      <c r="AM27" s="230">
        <v>1</v>
      </c>
      <c r="AN27" s="121"/>
      <c r="AO27" s="121"/>
      <c r="AP27" s="230">
        <v>1</v>
      </c>
      <c r="AQ27" s="121"/>
      <c r="AR27" s="121"/>
      <c r="AS27" s="121"/>
      <c r="AT27" s="280">
        <v>1</v>
      </c>
      <c r="AU27" s="122"/>
      <c r="AV27" s="289" t="s">
        <v>556</v>
      </c>
      <c r="AW27" s="289" t="s">
        <v>536</v>
      </c>
      <c r="AX27" s="304"/>
      <c r="AY27" s="275"/>
    </row>
    <row r="28" spans="1:51" ht="63.75">
      <c r="A28" s="118"/>
      <c r="B28" s="118"/>
      <c r="C28" s="118"/>
      <c r="D28" s="118"/>
      <c r="E28" s="118"/>
      <c r="F28" s="118"/>
      <c r="G28" s="226" t="s">
        <v>202</v>
      </c>
      <c r="H28" s="118"/>
      <c r="I28" s="217" t="s">
        <v>489</v>
      </c>
      <c r="J28" s="218" t="s">
        <v>490</v>
      </c>
      <c r="K28" s="121"/>
      <c r="L28" s="229">
        <v>1</v>
      </c>
      <c r="M28" s="119" t="s">
        <v>507</v>
      </c>
      <c r="N28" s="231" t="s">
        <v>508</v>
      </c>
      <c r="O28" s="121"/>
      <c r="P28" s="121"/>
      <c r="Q28" s="121"/>
      <c r="R28" s="121"/>
      <c r="S28" s="121"/>
      <c r="T28" s="118" t="s">
        <v>509</v>
      </c>
      <c r="U28" s="118" t="s">
        <v>515</v>
      </c>
      <c r="V28" s="121"/>
      <c r="W28" s="121"/>
      <c r="X28" s="276">
        <v>0.1</v>
      </c>
      <c r="Y28" s="276"/>
      <c r="Z28" s="276"/>
      <c r="AA28" s="276">
        <v>0.3</v>
      </c>
      <c r="AB28" s="276"/>
      <c r="AC28" s="276"/>
      <c r="AD28" s="276">
        <v>0.6</v>
      </c>
      <c r="AE28" s="276"/>
      <c r="AF28" s="276"/>
      <c r="AG28" s="276">
        <v>1</v>
      </c>
      <c r="AH28" s="248"/>
      <c r="AI28" s="275"/>
      <c r="AJ28" s="276">
        <v>0.1</v>
      </c>
      <c r="AK28" s="121"/>
      <c r="AL28" s="121"/>
      <c r="AM28" s="230">
        <v>0.3</v>
      </c>
      <c r="AN28" s="121"/>
      <c r="AO28" s="121"/>
      <c r="AP28" s="230">
        <v>0.6</v>
      </c>
      <c r="AQ28" s="121"/>
      <c r="AR28" s="121"/>
      <c r="AS28" s="121"/>
      <c r="AT28" s="280">
        <v>0.7</v>
      </c>
      <c r="AU28" s="122"/>
      <c r="AV28" s="289" t="s">
        <v>556</v>
      </c>
      <c r="AW28" s="289" t="s">
        <v>552</v>
      </c>
      <c r="AX28" s="304"/>
      <c r="AY28" s="275"/>
    </row>
    <row r="29" spans="1:51" ht="270">
      <c r="A29" s="118"/>
      <c r="B29" s="118"/>
      <c r="C29" s="118"/>
      <c r="D29" s="118"/>
      <c r="E29" s="118"/>
      <c r="F29" s="118"/>
      <c r="G29" s="226" t="s">
        <v>202</v>
      </c>
      <c r="H29" s="118"/>
      <c r="I29" s="223" t="s">
        <v>519</v>
      </c>
      <c r="J29" s="217" t="s">
        <v>478</v>
      </c>
      <c r="K29" s="119"/>
      <c r="L29" s="229">
        <v>1</v>
      </c>
      <c r="M29" s="119" t="s">
        <v>491</v>
      </c>
      <c r="N29" s="231" t="s">
        <v>479</v>
      </c>
      <c r="O29" s="121"/>
      <c r="P29" s="121"/>
      <c r="Q29" s="121"/>
      <c r="R29" s="121"/>
      <c r="S29" s="121"/>
      <c r="T29" s="118" t="s">
        <v>510</v>
      </c>
      <c r="U29" s="118" t="s">
        <v>516</v>
      </c>
      <c r="V29" s="121"/>
      <c r="W29" s="121"/>
      <c r="X29" s="275"/>
      <c r="Y29" s="275"/>
      <c r="Z29" s="275"/>
      <c r="AA29" s="276">
        <v>1</v>
      </c>
      <c r="AB29" s="275"/>
      <c r="AC29" s="275"/>
      <c r="AD29" s="276">
        <v>1</v>
      </c>
      <c r="AE29" s="275"/>
      <c r="AF29" s="275"/>
      <c r="AG29" s="276">
        <v>1</v>
      </c>
      <c r="AH29" s="248"/>
      <c r="AI29" s="275"/>
      <c r="AJ29" s="276">
        <v>0.25</v>
      </c>
      <c r="AK29" s="121"/>
      <c r="AL29" s="121"/>
      <c r="AM29" s="230">
        <v>0.25</v>
      </c>
      <c r="AN29" s="121"/>
      <c r="AO29" s="121"/>
      <c r="AP29" s="230">
        <v>0.25</v>
      </c>
      <c r="AQ29" s="121"/>
      <c r="AR29" s="121"/>
      <c r="AS29" s="121"/>
      <c r="AT29" s="280">
        <v>0.75</v>
      </c>
      <c r="AU29" s="122"/>
      <c r="AV29" s="289" t="s">
        <v>556</v>
      </c>
      <c r="AW29" s="289" t="s">
        <v>553</v>
      </c>
      <c r="AX29" s="304"/>
      <c r="AY29" s="275"/>
    </row>
    <row r="30" spans="1:51" ht="15">
      <c r="A30" s="674" t="s">
        <v>294</v>
      </c>
      <c r="B30" s="675"/>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6"/>
    </row>
    <row r="31" spans="1:51" ht="42" customHeight="1">
      <c r="A31" s="673" t="s">
        <v>64</v>
      </c>
      <c r="B31" s="673"/>
      <c r="C31" s="673"/>
      <c r="D31" s="669" t="s">
        <v>66</v>
      </c>
      <c r="E31" s="669"/>
      <c r="F31" s="669"/>
      <c r="G31" s="669"/>
      <c r="H31" s="669"/>
      <c r="I31" s="669"/>
      <c r="J31" s="667" t="s">
        <v>300</v>
      </c>
      <c r="K31" s="667"/>
      <c r="L31" s="667"/>
      <c r="M31" s="667"/>
      <c r="N31" s="667"/>
      <c r="O31" s="667"/>
      <c r="P31" s="669" t="s">
        <v>66</v>
      </c>
      <c r="Q31" s="669"/>
      <c r="R31" s="669"/>
      <c r="S31" s="669"/>
      <c r="T31" s="669"/>
      <c r="U31" s="669"/>
      <c r="V31" s="669" t="s">
        <v>66</v>
      </c>
      <c r="W31" s="669"/>
      <c r="X31" s="669"/>
      <c r="Y31" s="669"/>
      <c r="Z31" s="669"/>
      <c r="AA31" s="669"/>
      <c r="AB31" s="669"/>
      <c r="AC31" s="669"/>
      <c r="AD31" s="669" t="s">
        <v>66</v>
      </c>
      <c r="AE31" s="669"/>
      <c r="AF31" s="669"/>
      <c r="AG31" s="669"/>
      <c r="AH31" s="669"/>
      <c r="AI31" s="669"/>
      <c r="AJ31" s="669"/>
      <c r="AK31" s="669"/>
      <c r="AL31" s="669"/>
      <c r="AM31" s="669"/>
      <c r="AN31" s="669"/>
      <c r="AO31" s="669"/>
      <c r="AP31" s="667" t="s">
        <v>318</v>
      </c>
      <c r="AQ31" s="667"/>
      <c r="AR31" s="667"/>
      <c r="AS31" s="667"/>
      <c r="AT31" s="669" t="s">
        <v>13</v>
      </c>
      <c r="AU31" s="669"/>
      <c r="AV31" s="669"/>
      <c r="AW31" s="669"/>
      <c r="AX31" s="669"/>
      <c r="AY31" s="669"/>
    </row>
    <row r="32" spans="1:51" ht="15">
      <c r="A32" s="673"/>
      <c r="B32" s="673"/>
      <c r="C32" s="673"/>
      <c r="D32" s="669" t="s">
        <v>539</v>
      </c>
      <c r="E32" s="669"/>
      <c r="F32" s="669"/>
      <c r="G32" s="669"/>
      <c r="H32" s="669"/>
      <c r="I32" s="669"/>
      <c r="J32" s="667"/>
      <c r="K32" s="667"/>
      <c r="L32" s="667"/>
      <c r="M32" s="667"/>
      <c r="N32" s="667"/>
      <c r="O32" s="667"/>
      <c r="P32" s="669" t="s">
        <v>520</v>
      </c>
      <c r="Q32" s="669"/>
      <c r="R32" s="669"/>
      <c r="S32" s="669"/>
      <c r="T32" s="669"/>
      <c r="U32" s="669"/>
      <c r="V32" s="669" t="s">
        <v>522</v>
      </c>
      <c r="W32" s="669"/>
      <c r="X32" s="669"/>
      <c r="Y32" s="669"/>
      <c r="Z32" s="669"/>
      <c r="AA32" s="669"/>
      <c r="AB32" s="669"/>
      <c r="AC32" s="669"/>
      <c r="AD32" s="669" t="s">
        <v>65</v>
      </c>
      <c r="AE32" s="669"/>
      <c r="AF32" s="669"/>
      <c r="AG32" s="669"/>
      <c r="AH32" s="669"/>
      <c r="AI32" s="669"/>
      <c r="AJ32" s="669"/>
      <c r="AK32" s="669"/>
      <c r="AL32" s="669"/>
      <c r="AM32" s="669"/>
      <c r="AN32" s="669"/>
      <c r="AO32" s="669"/>
      <c r="AP32" s="667"/>
      <c r="AQ32" s="667"/>
      <c r="AR32" s="667"/>
      <c r="AS32" s="667"/>
      <c r="AT32" s="669" t="s">
        <v>65</v>
      </c>
      <c r="AU32" s="669"/>
      <c r="AV32" s="669"/>
      <c r="AW32" s="669"/>
      <c r="AX32" s="669"/>
      <c r="AY32" s="669"/>
    </row>
    <row r="33" spans="1:51" ht="29.25" customHeight="1">
      <c r="A33" s="673"/>
      <c r="B33" s="673"/>
      <c r="C33" s="673"/>
      <c r="D33" s="669" t="s">
        <v>540</v>
      </c>
      <c r="E33" s="669"/>
      <c r="F33" s="669"/>
      <c r="G33" s="669"/>
      <c r="H33" s="669"/>
      <c r="I33" s="669"/>
      <c r="J33" s="667"/>
      <c r="K33" s="667"/>
      <c r="L33" s="667"/>
      <c r="M33" s="667"/>
      <c r="N33" s="667"/>
      <c r="O33" s="667"/>
      <c r="P33" s="669" t="s">
        <v>521</v>
      </c>
      <c r="Q33" s="669"/>
      <c r="R33" s="669"/>
      <c r="S33" s="669"/>
      <c r="T33" s="669"/>
      <c r="U33" s="669"/>
      <c r="V33" s="669" t="s">
        <v>523</v>
      </c>
      <c r="W33" s="669"/>
      <c r="X33" s="669"/>
      <c r="Y33" s="669"/>
      <c r="Z33" s="669"/>
      <c r="AA33" s="669"/>
      <c r="AB33" s="669"/>
      <c r="AC33" s="669"/>
      <c r="AD33" s="669" t="s">
        <v>297</v>
      </c>
      <c r="AE33" s="669"/>
      <c r="AF33" s="669"/>
      <c r="AG33" s="669"/>
      <c r="AH33" s="669"/>
      <c r="AI33" s="669"/>
      <c r="AJ33" s="669"/>
      <c r="AK33" s="669"/>
      <c r="AL33" s="669"/>
      <c r="AM33" s="669"/>
      <c r="AN33" s="669"/>
      <c r="AO33" s="669"/>
      <c r="AP33" s="667"/>
      <c r="AQ33" s="667"/>
      <c r="AR33" s="667"/>
      <c r="AS33" s="667"/>
      <c r="AT33" s="669" t="s">
        <v>75</v>
      </c>
      <c r="AU33" s="669"/>
      <c r="AV33" s="669"/>
      <c r="AW33" s="669"/>
      <c r="AX33" s="669"/>
      <c r="AY33" s="669"/>
    </row>
  </sheetData>
  <sheetProtection/>
  <autoFilter ref="A12:AY33"/>
  <mergeCells count="57">
    <mergeCell ref="AX1:AY1"/>
    <mergeCell ref="AX2:AY2"/>
    <mergeCell ref="AX3:AY3"/>
    <mergeCell ref="AX4:AY4"/>
    <mergeCell ref="A1:AW1"/>
    <mergeCell ref="V11:AG11"/>
    <mergeCell ref="A9:C9"/>
    <mergeCell ref="A2:AW2"/>
    <mergeCell ref="A3:AW4"/>
    <mergeCell ref="AT11:AU11"/>
    <mergeCell ref="D32:I32"/>
    <mergeCell ref="D33:I33"/>
    <mergeCell ref="AD31:AO31"/>
    <mergeCell ref="AD32:AO32"/>
    <mergeCell ref="AD33:AO33"/>
    <mergeCell ref="AH11:AS11"/>
    <mergeCell ref="P31:U31"/>
    <mergeCell ref="I11:I12"/>
    <mergeCell ref="J11:J12"/>
    <mergeCell ref="K11:K12"/>
    <mergeCell ref="U11:U12"/>
    <mergeCell ref="O11:S11"/>
    <mergeCell ref="T11:T12"/>
    <mergeCell ref="N11:N12"/>
    <mergeCell ref="A11:F11"/>
    <mergeCell ref="G11:H11"/>
    <mergeCell ref="M11:M12"/>
    <mergeCell ref="A31:C33"/>
    <mergeCell ref="J31:O33"/>
    <mergeCell ref="P32:U32"/>
    <mergeCell ref="P33:U33"/>
    <mergeCell ref="V31:AC31"/>
    <mergeCell ref="A30:AY30"/>
    <mergeCell ref="AT32:AY32"/>
    <mergeCell ref="AT31:AY31"/>
    <mergeCell ref="AT33:AY33"/>
    <mergeCell ref="D31:I31"/>
    <mergeCell ref="AP31:AS33"/>
    <mergeCell ref="AX5:AX12"/>
    <mergeCell ref="AY5:AY12"/>
    <mergeCell ref="H7:I7"/>
    <mergeCell ref="H8:I8"/>
    <mergeCell ref="V32:AC32"/>
    <mergeCell ref="V33:AC33"/>
    <mergeCell ref="AW5:AW12"/>
    <mergeCell ref="AH5:AU10"/>
    <mergeCell ref="K6:U8"/>
    <mergeCell ref="AV5:AV12"/>
    <mergeCell ref="A5:AG5"/>
    <mergeCell ref="A6:C8"/>
    <mergeCell ref="D6:E8"/>
    <mergeCell ref="F6:G8"/>
    <mergeCell ref="H6:I6"/>
    <mergeCell ref="A10:C10"/>
    <mergeCell ref="D9:AG9"/>
    <mergeCell ref="D10:AG10"/>
    <mergeCell ref="L11:L12"/>
  </mergeCells>
  <dataValidations count="1">
    <dataValidation type="textLength" operator="lessThanOrEqual" allowBlank="1" showInputMessage="1" showErrorMessage="1" errorTitle="Máximo 2.000 caracteres" error="Máximo 2.000 caracteres" sqref="AZ21:AZ22">
      <formula1>2000</formula1>
    </dataValidation>
  </dataValidations>
  <printOptions/>
  <pageMargins left="0.75" right="0.75" top="1" bottom="1" header="0.3" footer="0.3"/>
  <pageSetup fitToHeight="1" fitToWidth="1" horizontalDpi="600" verticalDpi="600" orientation="landscape" scale="15"/>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80" zoomScaleNormal="80" zoomScalePageLayoutView="0" workbookViewId="0" topLeftCell="A9">
      <selection activeCell="AV36" sqref="AV36"/>
    </sheetView>
  </sheetViews>
  <sheetFormatPr defaultColWidth="19.421875" defaultRowHeight="15"/>
  <cols>
    <col min="1" max="1" width="29.421875" style="113" bestFit="1" customWidth="1"/>
    <col min="2" max="17" width="11.00390625" style="113" hidden="1" customWidth="1"/>
    <col min="18" max="19" width="12.140625" style="113" hidden="1" customWidth="1"/>
    <col min="20" max="23" width="8.140625" style="113" hidden="1" customWidth="1"/>
    <col min="24" max="24" width="9.421875" style="113" hidden="1" customWidth="1"/>
    <col min="25" max="25" width="8.140625" style="113" hidden="1" customWidth="1"/>
    <col min="26" max="30" width="7.8515625" style="113" hidden="1" customWidth="1"/>
    <col min="31" max="31" width="11.28125" style="113" hidden="1" customWidth="1"/>
    <col min="32" max="32" width="2.28125" style="113" hidden="1"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698" t="s">
        <v>16</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705" t="s">
        <v>18</v>
      </c>
      <c r="BJ1" s="705"/>
      <c r="BK1" s="705"/>
    </row>
    <row r="2" spans="1:63" ht="15.75" customHeight="1">
      <c r="A2" s="698" t="s">
        <v>17</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705" t="s">
        <v>413</v>
      </c>
      <c r="BJ2" s="705"/>
      <c r="BK2" s="705"/>
    </row>
    <row r="3" spans="1:63" ht="25.5" customHeight="1">
      <c r="A3" s="698" t="s">
        <v>187</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705" t="s">
        <v>419</v>
      </c>
      <c r="BJ3" s="705"/>
      <c r="BK3" s="705"/>
    </row>
    <row r="4" spans="1:63" ht="15.75" customHeight="1">
      <c r="A4" s="698" t="s">
        <v>172</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9" t="s">
        <v>183</v>
      </c>
      <c r="BJ4" s="700"/>
      <c r="BK4" s="701"/>
    </row>
    <row r="5" spans="1:63" ht="25.5" customHeight="1">
      <c r="A5" s="702" t="s">
        <v>319</v>
      </c>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G5" s="702" t="s">
        <v>320</v>
      </c>
      <c r="AH5" s="702"/>
      <c r="AI5" s="702"/>
      <c r="AJ5" s="702"/>
      <c r="AK5" s="702"/>
      <c r="AL5" s="702"/>
      <c r="AM5" s="702"/>
      <c r="AN5" s="702"/>
      <c r="AO5" s="702"/>
      <c r="AP5" s="702"/>
      <c r="AQ5" s="702"/>
      <c r="AR5" s="702"/>
      <c r="AS5" s="702"/>
      <c r="AT5" s="702"/>
      <c r="AU5" s="702"/>
      <c r="AV5" s="702"/>
      <c r="AW5" s="702"/>
      <c r="AX5" s="702"/>
      <c r="AY5" s="702"/>
      <c r="AZ5" s="702"/>
      <c r="BA5" s="702"/>
      <c r="BB5" s="702"/>
      <c r="BC5" s="702"/>
      <c r="BD5" s="702"/>
      <c r="BE5" s="702"/>
      <c r="BF5" s="702"/>
      <c r="BG5" s="702"/>
      <c r="BH5" s="702"/>
      <c r="BI5" s="703"/>
      <c r="BJ5" s="703"/>
      <c r="BK5" s="703"/>
    </row>
    <row r="6" spans="1:63" ht="31.5" customHeight="1">
      <c r="A6" s="163" t="s">
        <v>290</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row>
    <row r="7" spans="1:63" ht="31.5" customHeight="1">
      <c r="A7" s="164" t="s">
        <v>177</v>
      </c>
      <c r="B7" s="695"/>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6"/>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43" t="s">
        <v>90</v>
      </c>
      <c r="B9" s="292" t="s">
        <v>39</v>
      </c>
      <c r="C9" s="292" t="s">
        <v>40</v>
      </c>
      <c r="D9" s="695" t="s">
        <v>41</v>
      </c>
      <c r="E9" s="696"/>
      <c r="F9" s="292" t="s">
        <v>42</v>
      </c>
      <c r="G9" s="292" t="s">
        <v>43</v>
      </c>
      <c r="H9" s="695" t="s">
        <v>44</v>
      </c>
      <c r="I9" s="696"/>
      <c r="J9" s="292" t="s">
        <v>45</v>
      </c>
      <c r="K9" s="292" t="s">
        <v>46</v>
      </c>
      <c r="L9" s="695" t="s">
        <v>47</v>
      </c>
      <c r="M9" s="696"/>
      <c r="N9" s="292" t="s">
        <v>48</v>
      </c>
      <c r="O9" s="292" t="s">
        <v>49</v>
      </c>
      <c r="P9" s="695" t="s">
        <v>50</v>
      </c>
      <c r="Q9" s="696"/>
      <c r="R9" s="695" t="s">
        <v>91</v>
      </c>
      <c r="S9" s="696"/>
      <c r="T9" s="695" t="s">
        <v>289</v>
      </c>
      <c r="U9" s="697"/>
      <c r="V9" s="697"/>
      <c r="W9" s="697"/>
      <c r="X9" s="697"/>
      <c r="Y9" s="696"/>
      <c r="Z9" s="695" t="s">
        <v>288</v>
      </c>
      <c r="AA9" s="697"/>
      <c r="AB9" s="697"/>
      <c r="AC9" s="697"/>
      <c r="AD9" s="697"/>
      <c r="AE9" s="696"/>
      <c r="AG9" s="643" t="s">
        <v>90</v>
      </c>
      <c r="AH9" s="292" t="s">
        <v>39</v>
      </c>
      <c r="AI9" s="292" t="s">
        <v>40</v>
      </c>
      <c r="AJ9" s="695" t="s">
        <v>41</v>
      </c>
      <c r="AK9" s="696"/>
      <c r="AL9" s="292" t="s">
        <v>42</v>
      </c>
      <c r="AM9" s="292" t="s">
        <v>43</v>
      </c>
      <c r="AN9" s="695" t="s">
        <v>44</v>
      </c>
      <c r="AO9" s="696"/>
      <c r="AP9" s="292" t="s">
        <v>45</v>
      </c>
      <c r="AQ9" s="292" t="s">
        <v>46</v>
      </c>
      <c r="AR9" s="695" t="s">
        <v>47</v>
      </c>
      <c r="AS9" s="696"/>
      <c r="AT9" s="292" t="s">
        <v>48</v>
      </c>
      <c r="AU9" s="292" t="s">
        <v>49</v>
      </c>
      <c r="AV9" s="695" t="s">
        <v>50</v>
      </c>
      <c r="AW9" s="696"/>
      <c r="AX9" s="695" t="s">
        <v>91</v>
      </c>
      <c r="AY9" s="696"/>
      <c r="AZ9" s="695" t="s">
        <v>289</v>
      </c>
      <c r="BA9" s="697"/>
      <c r="BB9" s="697"/>
      <c r="BC9" s="697"/>
      <c r="BD9" s="697"/>
      <c r="BE9" s="696"/>
      <c r="BF9" s="695" t="s">
        <v>288</v>
      </c>
      <c r="BG9" s="697"/>
      <c r="BH9" s="697"/>
      <c r="BI9" s="697"/>
      <c r="BJ9" s="697"/>
      <c r="BK9" s="696"/>
    </row>
    <row r="10" spans="1:63" ht="36" customHeight="1">
      <c r="A10" s="645"/>
      <c r="B10" s="291" t="s">
        <v>372</v>
      </c>
      <c r="C10" s="291" t="s">
        <v>372</v>
      </c>
      <c r="D10" s="291" t="s">
        <v>372</v>
      </c>
      <c r="E10" s="291" t="s">
        <v>373</v>
      </c>
      <c r="F10" s="291" t="s">
        <v>372</v>
      </c>
      <c r="G10" s="291" t="s">
        <v>372</v>
      </c>
      <c r="H10" s="291" t="s">
        <v>372</v>
      </c>
      <c r="I10" s="291" t="s">
        <v>373</v>
      </c>
      <c r="J10" s="291" t="s">
        <v>372</v>
      </c>
      <c r="K10" s="291" t="s">
        <v>372</v>
      </c>
      <c r="L10" s="291" t="s">
        <v>372</v>
      </c>
      <c r="M10" s="291" t="s">
        <v>373</v>
      </c>
      <c r="N10" s="291" t="s">
        <v>372</v>
      </c>
      <c r="O10" s="291" t="s">
        <v>372</v>
      </c>
      <c r="P10" s="291" t="s">
        <v>372</v>
      </c>
      <c r="Q10" s="291" t="s">
        <v>373</v>
      </c>
      <c r="R10" s="291" t="s">
        <v>372</v>
      </c>
      <c r="S10" s="291" t="s">
        <v>373</v>
      </c>
      <c r="T10" s="194" t="s">
        <v>393</v>
      </c>
      <c r="U10" s="194" t="s">
        <v>394</v>
      </c>
      <c r="V10" s="194" t="s">
        <v>395</v>
      </c>
      <c r="W10" s="194" t="s">
        <v>305</v>
      </c>
      <c r="X10" s="195" t="s">
        <v>396</v>
      </c>
      <c r="Y10" s="194" t="s">
        <v>304</v>
      </c>
      <c r="Z10" s="291" t="s">
        <v>387</v>
      </c>
      <c r="AA10" s="157" t="s">
        <v>388</v>
      </c>
      <c r="AB10" s="291" t="s">
        <v>389</v>
      </c>
      <c r="AC10" s="291" t="s">
        <v>390</v>
      </c>
      <c r="AD10" s="291" t="s">
        <v>391</v>
      </c>
      <c r="AE10" s="291" t="s">
        <v>392</v>
      </c>
      <c r="AG10" s="645"/>
      <c r="AH10" s="291" t="s">
        <v>372</v>
      </c>
      <c r="AI10" s="291" t="s">
        <v>372</v>
      </c>
      <c r="AJ10" s="291" t="s">
        <v>372</v>
      </c>
      <c r="AK10" s="291" t="s">
        <v>373</v>
      </c>
      <c r="AL10" s="291" t="s">
        <v>372</v>
      </c>
      <c r="AM10" s="291" t="s">
        <v>372</v>
      </c>
      <c r="AN10" s="291" t="s">
        <v>372</v>
      </c>
      <c r="AO10" s="291" t="s">
        <v>373</v>
      </c>
      <c r="AP10" s="291" t="s">
        <v>372</v>
      </c>
      <c r="AQ10" s="291" t="s">
        <v>372</v>
      </c>
      <c r="AR10" s="291" t="s">
        <v>372</v>
      </c>
      <c r="AS10" s="291" t="s">
        <v>373</v>
      </c>
      <c r="AT10" s="291" t="s">
        <v>372</v>
      </c>
      <c r="AU10" s="291" t="s">
        <v>372</v>
      </c>
      <c r="AV10" s="291" t="s">
        <v>372</v>
      </c>
      <c r="AW10" s="291" t="s">
        <v>373</v>
      </c>
      <c r="AX10" s="291" t="s">
        <v>372</v>
      </c>
      <c r="AY10" s="291" t="s">
        <v>373</v>
      </c>
      <c r="AZ10" s="194" t="s">
        <v>393</v>
      </c>
      <c r="BA10" s="194" t="s">
        <v>394</v>
      </c>
      <c r="BB10" s="194" t="s">
        <v>395</v>
      </c>
      <c r="BC10" s="194" t="s">
        <v>305</v>
      </c>
      <c r="BD10" s="195" t="s">
        <v>396</v>
      </c>
      <c r="BE10" s="194" t="s">
        <v>304</v>
      </c>
      <c r="BF10" s="192" t="s">
        <v>387</v>
      </c>
      <c r="BG10" s="193" t="s">
        <v>388</v>
      </c>
      <c r="BH10" s="192" t="s">
        <v>389</v>
      </c>
      <c r="BI10" s="192" t="s">
        <v>390</v>
      </c>
      <c r="BJ10" s="192" t="s">
        <v>391</v>
      </c>
      <c r="BK10" s="192" t="s">
        <v>392</v>
      </c>
    </row>
    <row r="11" spans="1:63" ht="15">
      <c r="A11" s="158" t="s">
        <v>92</v>
      </c>
      <c r="B11" s="158"/>
      <c r="C11" s="158"/>
      <c r="D11" s="158"/>
      <c r="E11" s="205"/>
      <c r="F11" s="158"/>
      <c r="G11" s="158"/>
      <c r="H11" s="158"/>
      <c r="I11" s="205"/>
      <c r="J11" s="158"/>
      <c r="K11" s="158"/>
      <c r="L11" s="158"/>
      <c r="M11" s="205"/>
      <c r="N11" s="158"/>
      <c r="O11" s="158"/>
      <c r="P11" s="158"/>
      <c r="Q11" s="205"/>
      <c r="R11" s="197">
        <f aca="true" t="shared" si="0" ref="R11:R31">B11+C11+D11+F11+G11+H11+J11+K11+L11+N11+O11+P11</f>
        <v>0</v>
      </c>
      <c r="S11" s="165">
        <f aca="true" t="shared" si="1" ref="S11:S31">+E11+I11+M11+Q11</f>
        <v>0</v>
      </c>
      <c r="T11" s="196"/>
      <c r="U11" s="196"/>
      <c r="V11" s="196"/>
      <c r="W11" s="196"/>
      <c r="X11" s="196"/>
      <c r="Y11" s="160"/>
      <c r="Z11" s="160"/>
      <c r="AA11" s="160"/>
      <c r="AB11" s="160"/>
      <c r="AC11" s="160"/>
      <c r="AD11" s="160"/>
      <c r="AE11" s="161"/>
      <c r="AG11" s="158" t="s">
        <v>92</v>
      </c>
      <c r="AH11" s="246">
        <v>2</v>
      </c>
      <c r="AI11" s="246">
        <v>12</v>
      </c>
      <c r="AJ11" s="158">
        <v>29</v>
      </c>
      <c r="AK11" s="205"/>
      <c r="AL11" s="158">
        <v>18</v>
      </c>
      <c r="AM11" s="158">
        <v>20</v>
      </c>
      <c r="AN11" s="158">
        <v>14</v>
      </c>
      <c r="AO11" s="205"/>
      <c r="AP11" s="158">
        <v>17</v>
      </c>
      <c r="AQ11" s="158">
        <v>20</v>
      </c>
      <c r="AR11" s="158">
        <v>21</v>
      </c>
      <c r="AS11" s="205"/>
      <c r="AT11" s="158">
        <v>16</v>
      </c>
      <c r="AU11" s="158">
        <v>20</v>
      </c>
      <c r="AV11" s="158"/>
      <c r="AW11" s="205"/>
      <c r="AX11" s="197">
        <f>AH11+AI11+AJ11+AL11+AM11+AN11+AP11+AQ11+AR11+AT11+AU11+AV11</f>
        <v>189</v>
      </c>
      <c r="AY11" s="165">
        <f aca="true" t="shared" si="2" ref="AY11:AY31">+AK11+AO11+AS11+AW11</f>
        <v>0</v>
      </c>
      <c r="AZ11" s="246">
        <v>5</v>
      </c>
      <c r="BA11" s="246">
        <v>1</v>
      </c>
      <c r="BB11" s="309"/>
      <c r="BC11" s="246">
        <v>1</v>
      </c>
      <c r="BD11" s="246">
        <v>5</v>
      </c>
      <c r="BE11" s="246">
        <v>2</v>
      </c>
      <c r="BF11" s="246"/>
      <c r="BG11" s="246"/>
      <c r="BH11" s="246">
        <v>59</v>
      </c>
      <c r="BI11" s="246">
        <v>122</v>
      </c>
      <c r="BJ11" s="246">
        <v>10</v>
      </c>
      <c r="BK11" s="246"/>
    </row>
    <row r="12" spans="1:63" ht="15">
      <c r="A12" s="158" t="s">
        <v>93</v>
      </c>
      <c r="B12" s="158"/>
      <c r="C12" s="158"/>
      <c r="D12" s="158"/>
      <c r="E12" s="205"/>
      <c r="F12" s="158"/>
      <c r="G12" s="158"/>
      <c r="H12" s="158"/>
      <c r="I12" s="205"/>
      <c r="J12" s="158"/>
      <c r="K12" s="158"/>
      <c r="L12" s="158"/>
      <c r="M12" s="205"/>
      <c r="N12" s="158"/>
      <c r="O12" s="158"/>
      <c r="P12" s="158"/>
      <c r="Q12" s="205"/>
      <c r="R12" s="197">
        <f t="shared" si="0"/>
        <v>0</v>
      </c>
      <c r="S12" s="165">
        <f t="shared" si="1"/>
        <v>0</v>
      </c>
      <c r="T12" s="196"/>
      <c r="U12" s="196"/>
      <c r="V12" s="196"/>
      <c r="W12" s="196"/>
      <c r="X12" s="196"/>
      <c r="Y12" s="160"/>
      <c r="Z12" s="160"/>
      <c r="AA12" s="160"/>
      <c r="AB12" s="160"/>
      <c r="AC12" s="160"/>
      <c r="AD12" s="160"/>
      <c r="AE12" s="160"/>
      <c r="AG12" s="158" t="s">
        <v>93</v>
      </c>
      <c r="AH12" s="246"/>
      <c r="AI12" s="246">
        <v>21</v>
      </c>
      <c r="AJ12" s="158">
        <f>54-21</f>
        <v>33</v>
      </c>
      <c r="AK12" s="205"/>
      <c r="AL12" s="158">
        <v>33</v>
      </c>
      <c r="AM12" s="158">
        <v>50</v>
      </c>
      <c r="AN12" s="158">
        <v>29</v>
      </c>
      <c r="AO12" s="205"/>
      <c r="AP12" s="158">
        <v>40</v>
      </c>
      <c r="AQ12" s="158">
        <v>46</v>
      </c>
      <c r="AR12" s="158">
        <v>48</v>
      </c>
      <c r="AS12" s="205"/>
      <c r="AT12" s="158">
        <v>46</v>
      </c>
      <c r="AU12" s="158">
        <v>40</v>
      </c>
      <c r="AV12" s="158"/>
      <c r="AW12" s="205"/>
      <c r="AX12" s="197">
        <f aca="true" t="shared" si="3" ref="AX12:AX27">AH12+AI12+AJ12+AL12+AM12+AN12+AP12+AQ12+AR12+AT12+AU12+AV12</f>
        <v>386</v>
      </c>
      <c r="AY12" s="165">
        <f t="shared" si="2"/>
        <v>0</v>
      </c>
      <c r="AZ12" s="246">
        <v>2</v>
      </c>
      <c r="BA12" s="246">
        <v>2</v>
      </c>
      <c r="BB12" s="310">
        <v>1</v>
      </c>
      <c r="BC12" s="246">
        <v>2</v>
      </c>
      <c r="BD12" s="246">
        <v>12</v>
      </c>
      <c r="BE12" s="246">
        <v>9</v>
      </c>
      <c r="BF12" s="246"/>
      <c r="BG12" s="246"/>
      <c r="BH12" s="246">
        <v>82</v>
      </c>
      <c r="BI12" s="246">
        <v>258</v>
      </c>
      <c r="BJ12" s="246">
        <v>41</v>
      </c>
      <c r="BK12" s="247">
        <v>3</v>
      </c>
    </row>
    <row r="13" spans="1:63" ht="15">
      <c r="A13" s="158" t="s">
        <v>94</v>
      </c>
      <c r="B13" s="158"/>
      <c r="C13" s="158"/>
      <c r="D13" s="158"/>
      <c r="E13" s="205"/>
      <c r="F13" s="158"/>
      <c r="G13" s="158"/>
      <c r="H13" s="158"/>
      <c r="I13" s="205"/>
      <c r="J13" s="158"/>
      <c r="K13" s="158"/>
      <c r="L13" s="158"/>
      <c r="M13" s="205"/>
      <c r="N13" s="158"/>
      <c r="O13" s="158"/>
      <c r="P13" s="158"/>
      <c r="Q13" s="205"/>
      <c r="R13" s="197">
        <f t="shared" si="0"/>
        <v>0</v>
      </c>
      <c r="S13" s="165">
        <f t="shared" si="1"/>
        <v>0</v>
      </c>
      <c r="T13" s="196"/>
      <c r="U13" s="196"/>
      <c r="V13" s="196"/>
      <c r="W13" s="196"/>
      <c r="X13" s="196"/>
      <c r="Y13" s="160"/>
      <c r="Z13" s="160"/>
      <c r="AA13" s="160"/>
      <c r="AB13" s="160"/>
      <c r="AC13" s="160"/>
      <c r="AD13" s="160"/>
      <c r="AE13" s="160"/>
      <c r="AG13" s="158" t="s">
        <v>94</v>
      </c>
      <c r="AH13" s="246">
        <v>2</v>
      </c>
      <c r="AI13" s="246">
        <v>11</v>
      </c>
      <c r="AJ13" s="158">
        <f>29-13</f>
        <v>16</v>
      </c>
      <c r="AK13" s="205"/>
      <c r="AL13" s="158">
        <v>13</v>
      </c>
      <c r="AM13" s="158">
        <v>30</v>
      </c>
      <c r="AN13" s="158">
        <v>24</v>
      </c>
      <c r="AO13" s="205"/>
      <c r="AP13" s="158">
        <v>23</v>
      </c>
      <c r="AQ13" s="158">
        <v>26</v>
      </c>
      <c r="AR13" s="158">
        <v>23</v>
      </c>
      <c r="AS13" s="205"/>
      <c r="AT13" s="158">
        <v>21</v>
      </c>
      <c r="AU13" s="158">
        <v>8</v>
      </c>
      <c r="AV13" s="158"/>
      <c r="AW13" s="205"/>
      <c r="AX13" s="197">
        <f t="shared" si="3"/>
        <v>197</v>
      </c>
      <c r="AY13" s="165">
        <f t="shared" si="2"/>
        <v>0</v>
      </c>
      <c r="AZ13" s="246">
        <v>2</v>
      </c>
      <c r="BA13" s="246">
        <v>2</v>
      </c>
      <c r="BB13" s="310"/>
      <c r="BC13" s="246"/>
      <c r="BD13" s="246">
        <v>6</v>
      </c>
      <c r="BE13" s="246">
        <v>4</v>
      </c>
      <c r="BF13" s="246"/>
      <c r="BG13" s="246"/>
      <c r="BH13" s="246">
        <v>35</v>
      </c>
      <c r="BI13" s="246">
        <v>138</v>
      </c>
      <c r="BJ13" s="246">
        <v>24</v>
      </c>
      <c r="BK13" s="246"/>
    </row>
    <row r="14" spans="1:63" ht="15">
      <c r="A14" s="158" t="s">
        <v>95</v>
      </c>
      <c r="B14" s="158"/>
      <c r="C14" s="158"/>
      <c r="D14" s="158"/>
      <c r="E14" s="205"/>
      <c r="F14" s="158"/>
      <c r="G14" s="158"/>
      <c r="H14" s="158"/>
      <c r="I14" s="205"/>
      <c r="J14" s="158"/>
      <c r="K14" s="158"/>
      <c r="L14" s="158"/>
      <c r="M14" s="205"/>
      <c r="N14" s="158"/>
      <c r="O14" s="158"/>
      <c r="P14" s="158"/>
      <c r="Q14" s="205"/>
      <c r="R14" s="197">
        <f t="shared" si="0"/>
        <v>0</v>
      </c>
      <c r="S14" s="165">
        <f t="shared" si="1"/>
        <v>0</v>
      </c>
      <c r="T14" s="196"/>
      <c r="U14" s="196"/>
      <c r="V14" s="196"/>
      <c r="W14" s="196"/>
      <c r="X14" s="196"/>
      <c r="Y14" s="160"/>
      <c r="Z14" s="160"/>
      <c r="AA14" s="160"/>
      <c r="AB14" s="160"/>
      <c r="AC14" s="160"/>
      <c r="AD14" s="160"/>
      <c r="AE14" s="160"/>
      <c r="AG14" s="158" t="s">
        <v>95</v>
      </c>
      <c r="AH14" s="246"/>
      <c r="AI14" s="246">
        <v>3</v>
      </c>
      <c r="AJ14" s="158">
        <v>10</v>
      </c>
      <c r="AK14" s="205"/>
      <c r="AL14" s="158">
        <v>6</v>
      </c>
      <c r="AM14" s="158">
        <v>8</v>
      </c>
      <c r="AN14" s="158">
        <v>10</v>
      </c>
      <c r="AO14" s="205"/>
      <c r="AP14" s="158">
        <v>4</v>
      </c>
      <c r="AQ14" s="158">
        <v>7</v>
      </c>
      <c r="AR14" s="158">
        <v>5</v>
      </c>
      <c r="AS14" s="205"/>
      <c r="AT14" s="158">
        <v>9</v>
      </c>
      <c r="AU14" s="158">
        <v>10</v>
      </c>
      <c r="AV14" s="158"/>
      <c r="AW14" s="205"/>
      <c r="AX14" s="197">
        <f t="shared" si="3"/>
        <v>72</v>
      </c>
      <c r="AY14" s="165">
        <f t="shared" si="2"/>
        <v>0</v>
      </c>
      <c r="AZ14" s="246"/>
      <c r="BA14" s="246">
        <v>1</v>
      </c>
      <c r="BB14" s="310"/>
      <c r="BC14" s="246"/>
      <c r="BD14" s="246">
        <v>4</v>
      </c>
      <c r="BE14" s="246">
        <v>2</v>
      </c>
      <c r="BF14" s="246"/>
      <c r="BG14" s="246"/>
      <c r="BH14" s="246">
        <v>24</v>
      </c>
      <c r="BI14" s="246">
        <v>39</v>
      </c>
      <c r="BJ14" s="246">
        <v>8</v>
      </c>
      <c r="BK14" s="246">
        <v>1</v>
      </c>
    </row>
    <row r="15" spans="1:63" ht="15">
      <c r="A15" s="158" t="s">
        <v>96</v>
      </c>
      <c r="B15" s="158"/>
      <c r="C15" s="158"/>
      <c r="D15" s="158"/>
      <c r="E15" s="205"/>
      <c r="F15" s="158"/>
      <c r="G15" s="158"/>
      <c r="H15" s="158"/>
      <c r="I15" s="205"/>
      <c r="J15" s="158"/>
      <c r="K15" s="158"/>
      <c r="L15" s="158"/>
      <c r="M15" s="205"/>
      <c r="N15" s="158"/>
      <c r="O15" s="158"/>
      <c r="P15" s="158"/>
      <c r="Q15" s="205"/>
      <c r="R15" s="197">
        <f t="shared" si="0"/>
        <v>0</v>
      </c>
      <c r="S15" s="165">
        <f t="shared" si="1"/>
        <v>0</v>
      </c>
      <c r="T15" s="196"/>
      <c r="U15" s="196"/>
      <c r="V15" s="196"/>
      <c r="W15" s="196"/>
      <c r="X15" s="196"/>
      <c r="Y15" s="160"/>
      <c r="Z15" s="160"/>
      <c r="AA15" s="160"/>
      <c r="AB15" s="160"/>
      <c r="AC15" s="160"/>
      <c r="AD15" s="160"/>
      <c r="AE15" s="160"/>
      <c r="AG15" s="158" t="s">
        <v>96</v>
      </c>
      <c r="AH15" s="246">
        <v>42</v>
      </c>
      <c r="AI15" s="246">
        <v>90</v>
      </c>
      <c r="AJ15" s="158">
        <f>267-132</f>
        <v>135</v>
      </c>
      <c r="AK15" s="205"/>
      <c r="AL15" s="158">
        <v>101</v>
      </c>
      <c r="AM15" s="158">
        <v>128</v>
      </c>
      <c r="AN15" s="158">
        <v>131</v>
      </c>
      <c r="AO15" s="205"/>
      <c r="AP15" s="158">
        <v>105</v>
      </c>
      <c r="AQ15" s="158">
        <v>163</v>
      </c>
      <c r="AR15" s="158">
        <v>138</v>
      </c>
      <c r="AS15" s="205"/>
      <c r="AT15" s="158">
        <v>144</v>
      </c>
      <c r="AU15" s="158">
        <v>89</v>
      </c>
      <c r="AV15" s="158"/>
      <c r="AW15" s="205"/>
      <c r="AX15" s="197">
        <f t="shared" si="3"/>
        <v>1266</v>
      </c>
      <c r="AY15" s="165">
        <f t="shared" si="2"/>
        <v>0</v>
      </c>
      <c r="AZ15" s="246">
        <v>5</v>
      </c>
      <c r="BA15" s="246">
        <v>7</v>
      </c>
      <c r="BB15" s="310"/>
      <c r="BC15" s="246"/>
      <c r="BD15" s="246">
        <v>32</v>
      </c>
      <c r="BE15" s="246">
        <v>25</v>
      </c>
      <c r="BF15" s="246"/>
      <c r="BG15" s="246"/>
      <c r="BH15" s="246">
        <v>392</v>
      </c>
      <c r="BI15" s="246">
        <v>744</v>
      </c>
      <c r="BJ15" s="246">
        <v>120</v>
      </c>
      <c r="BK15" s="246">
        <v>5</v>
      </c>
    </row>
    <row r="16" spans="1:63" ht="15">
      <c r="A16" s="158" t="s">
        <v>97</v>
      </c>
      <c r="B16" s="158"/>
      <c r="C16" s="158"/>
      <c r="D16" s="158"/>
      <c r="E16" s="205"/>
      <c r="F16" s="158"/>
      <c r="G16" s="158"/>
      <c r="H16" s="158"/>
      <c r="I16" s="205"/>
      <c r="J16" s="158"/>
      <c r="K16" s="158"/>
      <c r="L16" s="158"/>
      <c r="M16" s="205"/>
      <c r="N16" s="158"/>
      <c r="O16" s="158"/>
      <c r="P16" s="158"/>
      <c r="Q16" s="205"/>
      <c r="R16" s="197">
        <f t="shared" si="0"/>
        <v>0</v>
      </c>
      <c r="S16" s="165">
        <f t="shared" si="1"/>
        <v>0</v>
      </c>
      <c r="T16" s="196"/>
      <c r="U16" s="196"/>
      <c r="V16" s="196"/>
      <c r="W16" s="196"/>
      <c r="X16" s="196"/>
      <c r="Y16" s="160"/>
      <c r="Z16" s="160"/>
      <c r="AA16" s="160"/>
      <c r="AB16" s="160"/>
      <c r="AC16" s="160"/>
      <c r="AD16" s="160"/>
      <c r="AE16" s="160"/>
      <c r="AG16" s="158" t="s">
        <v>97</v>
      </c>
      <c r="AH16" s="246">
        <v>1</v>
      </c>
      <c r="AI16" s="246">
        <v>50</v>
      </c>
      <c r="AJ16" s="158">
        <f>128-51</f>
        <v>77</v>
      </c>
      <c r="AK16" s="205"/>
      <c r="AL16" s="158">
        <v>81</v>
      </c>
      <c r="AM16" s="158">
        <v>102</v>
      </c>
      <c r="AN16" s="158">
        <v>82</v>
      </c>
      <c r="AO16" s="205"/>
      <c r="AP16" s="158">
        <v>82</v>
      </c>
      <c r="AQ16" s="158">
        <v>115</v>
      </c>
      <c r="AR16" s="158">
        <v>101</v>
      </c>
      <c r="AS16" s="205"/>
      <c r="AT16" s="158">
        <v>107</v>
      </c>
      <c r="AU16" s="158">
        <v>76</v>
      </c>
      <c r="AV16" s="158"/>
      <c r="AW16" s="205"/>
      <c r="AX16" s="197">
        <f t="shared" si="3"/>
        <v>874</v>
      </c>
      <c r="AY16" s="165">
        <f t="shared" si="2"/>
        <v>0</v>
      </c>
      <c r="AZ16" s="246">
        <v>8</v>
      </c>
      <c r="BA16" s="246">
        <v>11</v>
      </c>
      <c r="BB16" s="310"/>
      <c r="BC16" s="246">
        <v>1</v>
      </c>
      <c r="BD16" s="246">
        <v>57</v>
      </c>
      <c r="BE16" s="246">
        <v>19</v>
      </c>
      <c r="BF16" s="246"/>
      <c r="BG16" s="246"/>
      <c r="BH16" s="246">
        <v>219</v>
      </c>
      <c r="BI16" s="246">
        <v>552</v>
      </c>
      <c r="BJ16" s="246">
        <v>101</v>
      </c>
      <c r="BK16" s="246">
        <v>2</v>
      </c>
    </row>
    <row r="17" spans="1:63" ht="15">
      <c r="A17" s="158" t="s">
        <v>98</v>
      </c>
      <c r="B17" s="158"/>
      <c r="C17" s="158"/>
      <c r="D17" s="158"/>
      <c r="E17" s="205"/>
      <c r="F17" s="158"/>
      <c r="G17" s="158"/>
      <c r="H17" s="158"/>
      <c r="I17" s="205"/>
      <c r="J17" s="158"/>
      <c r="K17" s="158"/>
      <c r="L17" s="158"/>
      <c r="M17" s="205"/>
      <c r="N17" s="158"/>
      <c r="O17" s="158"/>
      <c r="P17" s="158"/>
      <c r="Q17" s="205"/>
      <c r="R17" s="197">
        <f t="shared" si="0"/>
        <v>0</v>
      </c>
      <c r="S17" s="165">
        <f t="shared" si="1"/>
        <v>0</v>
      </c>
      <c r="T17" s="196"/>
      <c r="U17" s="196"/>
      <c r="V17" s="196"/>
      <c r="W17" s="196"/>
      <c r="X17" s="196"/>
      <c r="Y17" s="160"/>
      <c r="Z17" s="160"/>
      <c r="AA17" s="160"/>
      <c r="AB17" s="160"/>
      <c r="AC17" s="160"/>
      <c r="AD17" s="160"/>
      <c r="AE17" s="160"/>
      <c r="AG17" s="158" t="s">
        <v>98</v>
      </c>
      <c r="AH17" s="246"/>
      <c r="AI17" s="246">
        <v>8</v>
      </c>
      <c r="AJ17" s="158">
        <f>26-8</f>
        <v>18</v>
      </c>
      <c r="AK17" s="205"/>
      <c r="AL17" s="158">
        <v>7</v>
      </c>
      <c r="AM17" s="158">
        <v>18</v>
      </c>
      <c r="AN17" s="158">
        <v>7</v>
      </c>
      <c r="AO17" s="205"/>
      <c r="AP17" s="158">
        <v>10</v>
      </c>
      <c r="AQ17" s="158">
        <v>10</v>
      </c>
      <c r="AR17" s="158">
        <v>16</v>
      </c>
      <c r="AS17" s="205"/>
      <c r="AT17" s="158">
        <v>10</v>
      </c>
      <c r="AU17" s="158">
        <v>8</v>
      </c>
      <c r="AV17" s="158"/>
      <c r="AW17" s="205"/>
      <c r="AX17" s="197">
        <f t="shared" si="3"/>
        <v>112</v>
      </c>
      <c r="AY17" s="165">
        <f t="shared" si="2"/>
        <v>0</v>
      </c>
      <c r="AZ17" s="246"/>
      <c r="BA17" s="246">
        <v>1</v>
      </c>
      <c r="BB17" s="310"/>
      <c r="BC17" s="246"/>
      <c r="BD17" s="246">
        <v>6</v>
      </c>
      <c r="BE17" s="246">
        <v>3</v>
      </c>
      <c r="BF17" s="246"/>
      <c r="BG17" s="246"/>
      <c r="BH17" s="246">
        <v>31</v>
      </c>
      <c r="BI17" s="246">
        <v>72</v>
      </c>
      <c r="BJ17" s="246">
        <v>8</v>
      </c>
      <c r="BK17" s="246"/>
    </row>
    <row r="18" spans="1:63" ht="15">
      <c r="A18" s="158" t="s">
        <v>99</v>
      </c>
      <c r="B18" s="158"/>
      <c r="C18" s="158"/>
      <c r="D18" s="158"/>
      <c r="E18" s="205"/>
      <c r="F18" s="158"/>
      <c r="G18" s="158"/>
      <c r="H18" s="158"/>
      <c r="I18" s="205"/>
      <c r="J18" s="158"/>
      <c r="K18" s="158"/>
      <c r="L18" s="158"/>
      <c r="M18" s="205"/>
      <c r="N18" s="158"/>
      <c r="O18" s="158"/>
      <c r="P18" s="158"/>
      <c r="Q18" s="205"/>
      <c r="R18" s="197">
        <f t="shared" si="0"/>
        <v>0</v>
      </c>
      <c r="S18" s="165">
        <f t="shared" si="1"/>
        <v>0</v>
      </c>
      <c r="T18" s="196"/>
      <c r="U18" s="196"/>
      <c r="V18" s="196"/>
      <c r="W18" s="196"/>
      <c r="X18" s="196"/>
      <c r="Y18" s="160"/>
      <c r="Z18" s="160"/>
      <c r="AA18" s="160"/>
      <c r="AB18" s="160"/>
      <c r="AC18" s="160"/>
      <c r="AD18" s="160"/>
      <c r="AE18" s="160"/>
      <c r="AG18" s="158" t="s">
        <v>99</v>
      </c>
      <c r="AH18" s="246">
        <v>33</v>
      </c>
      <c r="AI18" s="246">
        <v>118</v>
      </c>
      <c r="AJ18" s="158">
        <f>325-151</f>
        <v>174</v>
      </c>
      <c r="AK18" s="205"/>
      <c r="AL18" s="158">
        <v>138</v>
      </c>
      <c r="AM18" s="158">
        <v>210</v>
      </c>
      <c r="AN18" s="158">
        <v>160</v>
      </c>
      <c r="AO18" s="205"/>
      <c r="AP18" s="158">
        <v>153</v>
      </c>
      <c r="AQ18" s="158">
        <v>149</v>
      </c>
      <c r="AR18" s="158">
        <v>135</v>
      </c>
      <c r="AS18" s="205"/>
      <c r="AT18" s="158">
        <v>190</v>
      </c>
      <c r="AU18" s="158">
        <v>136</v>
      </c>
      <c r="AV18" s="158"/>
      <c r="AW18" s="205"/>
      <c r="AX18" s="197">
        <f t="shared" si="3"/>
        <v>1596</v>
      </c>
      <c r="AY18" s="165">
        <f t="shared" si="2"/>
        <v>0</v>
      </c>
      <c r="AZ18" s="246">
        <v>18</v>
      </c>
      <c r="BA18" s="246">
        <v>21</v>
      </c>
      <c r="BB18" s="310"/>
      <c r="BC18" s="246">
        <v>1</v>
      </c>
      <c r="BD18" s="246">
        <v>1</v>
      </c>
      <c r="BE18" s="246">
        <v>28</v>
      </c>
      <c r="BF18" s="246"/>
      <c r="BG18" s="246"/>
      <c r="BH18" s="246">
        <v>458</v>
      </c>
      <c r="BI18" s="246">
        <v>1025</v>
      </c>
      <c r="BJ18" s="246">
        <v>113</v>
      </c>
      <c r="BK18" s="246">
        <v>2</v>
      </c>
    </row>
    <row r="19" spans="1:63" ht="15">
      <c r="A19" s="158" t="s">
        <v>100</v>
      </c>
      <c r="B19" s="158"/>
      <c r="C19" s="158"/>
      <c r="D19" s="158"/>
      <c r="E19" s="205"/>
      <c r="F19" s="158"/>
      <c r="G19" s="158"/>
      <c r="H19" s="158"/>
      <c r="I19" s="205"/>
      <c r="J19" s="158"/>
      <c r="K19" s="158"/>
      <c r="L19" s="158"/>
      <c r="M19" s="205"/>
      <c r="N19" s="158"/>
      <c r="O19" s="158"/>
      <c r="P19" s="158"/>
      <c r="Q19" s="205"/>
      <c r="R19" s="197">
        <f t="shared" si="0"/>
        <v>0</v>
      </c>
      <c r="S19" s="165">
        <f t="shared" si="1"/>
        <v>0</v>
      </c>
      <c r="T19" s="196"/>
      <c r="U19" s="196"/>
      <c r="V19" s="196"/>
      <c r="W19" s="196"/>
      <c r="X19" s="196"/>
      <c r="Y19" s="160"/>
      <c r="Z19" s="160"/>
      <c r="AA19" s="160"/>
      <c r="AB19" s="160"/>
      <c r="AC19" s="160"/>
      <c r="AD19" s="160"/>
      <c r="AE19" s="160"/>
      <c r="AG19" s="158" t="s">
        <v>100</v>
      </c>
      <c r="AH19" s="246">
        <v>25</v>
      </c>
      <c r="AI19" s="246">
        <v>68</v>
      </c>
      <c r="AJ19" s="158">
        <f>188-93</f>
        <v>95</v>
      </c>
      <c r="AK19" s="205"/>
      <c r="AL19" s="158">
        <v>78</v>
      </c>
      <c r="AM19" s="158">
        <v>88</v>
      </c>
      <c r="AN19" s="158">
        <v>91</v>
      </c>
      <c r="AO19" s="205"/>
      <c r="AP19" s="158">
        <v>81</v>
      </c>
      <c r="AQ19" s="158">
        <v>88</v>
      </c>
      <c r="AR19" s="158">
        <v>76</v>
      </c>
      <c r="AS19" s="205"/>
      <c r="AT19" s="158">
        <v>118</v>
      </c>
      <c r="AU19" s="158">
        <v>96</v>
      </c>
      <c r="AV19" s="158"/>
      <c r="AW19" s="205"/>
      <c r="AX19" s="197">
        <f t="shared" si="3"/>
        <v>904</v>
      </c>
      <c r="AY19" s="165">
        <f t="shared" si="2"/>
        <v>0</v>
      </c>
      <c r="AZ19" s="246">
        <v>6</v>
      </c>
      <c r="BA19" s="246">
        <v>10</v>
      </c>
      <c r="BB19" s="310"/>
      <c r="BC19" s="246">
        <v>1</v>
      </c>
      <c r="BD19" s="246">
        <v>14</v>
      </c>
      <c r="BE19" s="246">
        <v>6</v>
      </c>
      <c r="BF19" s="246"/>
      <c r="BG19" s="246"/>
      <c r="BH19" s="246">
        <v>141</v>
      </c>
      <c r="BI19" s="246">
        <v>422</v>
      </c>
      <c r="BJ19" s="246">
        <v>68</v>
      </c>
      <c r="BK19" s="246">
        <v>1</v>
      </c>
    </row>
    <row r="20" spans="1:63" ht="15">
      <c r="A20" s="158" t="s">
        <v>101</v>
      </c>
      <c r="B20" s="158"/>
      <c r="C20" s="158"/>
      <c r="D20" s="158"/>
      <c r="E20" s="205"/>
      <c r="F20" s="158"/>
      <c r="G20" s="158"/>
      <c r="H20" s="158"/>
      <c r="I20" s="205"/>
      <c r="J20" s="158"/>
      <c r="K20" s="158"/>
      <c r="L20" s="158"/>
      <c r="M20" s="205"/>
      <c r="N20" s="158"/>
      <c r="O20" s="158"/>
      <c r="P20" s="158"/>
      <c r="Q20" s="205"/>
      <c r="R20" s="197">
        <f t="shared" si="0"/>
        <v>0</v>
      </c>
      <c r="S20" s="165">
        <f t="shared" si="1"/>
        <v>0</v>
      </c>
      <c r="T20" s="196"/>
      <c r="U20" s="196"/>
      <c r="V20" s="196"/>
      <c r="W20" s="196"/>
      <c r="X20" s="196"/>
      <c r="Y20" s="160"/>
      <c r="Z20" s="160"/>
      <c r="AA20" s="160"/>
      <c r="AB20" s="160"/>
      <c r="AC20" s="160"/>
      <c r="AD20" s="160"/>
      <c r="AE20" s="160"/>
      <c r="AG20" s="158" t="s">
        <v>101</v>
      </c>
      <c r="AH20" s="246"/>
      <c r="AI20" s="246">
        <v>48</v>
      </c>
      <c r="AJ20" s="158">
        <f>114-48</f>
        <v>66</v>
      </c>
      <c r="AK20" s="205"/>
      <c r="AL20" s="158">
        <v>38</v>
      </c>
      <c r="AM20" s="158">
        <v>44</v>
      </c>
      <c r="AN20" s="158">
        <v>64</v>
      </c>
      <c r="AO20" s="205"/>
      <c r="AP20" s="158">
        <v>50</v>
      </c>
      <c r="AQ20" s="158">
        <v>57</v>
      </c>
      <c r="AR20" s="158">
        <v>49</v>
      </c>
      <c r="AS20" s="205"/>
      <c r="AT20" s="158">
        <v>46</v>
      </c>
      <c r="AU20" s="158">
        <v>39</v>
      </c>
      <c r="AV20" s="158"/>
      <c r="AW20" s="205"/>
      <c r="AX20" s="197">
        <f t="shared" si="3"/>
        <v>501</v>
      </c>
      <c r="AY20" s="165">
        <f t="shared" si="2"/>
        <v>0</v>
      </c>
      <c r="AZ20" s="246">
        <v>2</v>
      </c>
      <c r="BA20" s="246">
        <v>3</v>
      </c>
      <c r="BB20" s="310"/>
      <c r="BC20" s="246"/>
      <c r="BD20" s="246">
        <v>29</v>
      </c>
      <c r="BE20" s="246">
        <v>12</v>
      </c>
      <c r="BF20" s="246"/>
      <c r="BG20" s="246"/>
      <c r="BH20" s="246">
        <v>186</v>
      </c>
      <c r="BI20" s="246">
        <v>540</v>
      </c>
      <c r="BJ20" s="246">
        <v>52</v>
      </c>
      <c r="BK20" s="246"/>
    </row>
    <row r="21" spans="1:63" ht="15">
      <c r="A21" s="158" t="s">
        <v>102</v>
      </c>
      <c r="B21" s="158"/>
      <c r="C21" s="158"/>
      <c r="D21" s="158"/>
      <c r="E21" s="205"/>
      <c r="F21" s="158"/>
      <c r="G21" s="158"/>
      <c r="H21" s="158"/>
      <c r="I21" s="205"/>
      <c r="J21" s="158"/>
      <c r="K21" s="158"/>
      <c r="L21" s="158"/>
      <c r="M21" s="205"/>
      <c r="N21" s="158"/>
      <c r="O21" s="158"/>
      <c r="P21" s="158"/>
      <c r="Q21" s="205"/>
      <c r="R21" s="197">
        <f t="shared" si="0"/>
        <v>0</v>
      </c>
      <c r="S21" s="165">
        <f t="shared" si="1"/>
        <v>0</v>
      </c>
      <c r="T21" s="196"/>
      <c r="U21" s="196"/>
      <c r="V21" s="196"/>
      <c r="W21" s="196"/>
      <c r="X21" s="196"/>
      <c r="Y21" s="160"/>
      <c r="Z21" s="160"/>
      <c r="AA21" s="160"/>
      <c r="AB21" s="160"/>
      <c r="AC21" s="160"/>
      <c r="AD21" s="160"/>
      <c r="AE21" s="160"/>
      <c r="AG21" s="158" t="s">
        <v>102</v>
      </c>
      <c r="AH21" s="246">
        <v>1</v>
      </c>
      <c r="AI21" s="246">
        <v>32</v>
      </c>
      <c r="AJ21" s="158">
        <f>100-33</f>
        <v>67</v>
      </c>
      <c r="AK21" s="205"/>
      <c r="AL21" s="158">
        <v>42</v>
      </c>
      <c r="AM21" s="158">
        <v>52</v>
      </c>
      <c r="AN21" s="158">
        <v>49</v>
      </c>
      <c r="AO21" s="205"/>
      <c r="AP21" s="158">
        <v>56</v>
      </c>
      <c r="AQ21" s="158">
        <v>41</v>
      </c>
      <c r="AR21" s="158">
        <v>47</v>
      </c>
      <c r="AS21" s="205"/>
      <c r="AT21" s="158">
        <v>43</v>
      </c>
      <c r="AU21" s="158">
        <v>41</v>
      </c>
      <c r="AV21" s="158"/>
      <c r="AW21" s="205"/>
      <c r="AX21" s="197">
        <f t="shared" si="3"/>
        <v>471</v>
      </c>
      <c r="AY21" s="165">
        <f t="shared" si="2"/>
        <v>0</v>
      </c>
      <c r="AZ21" s="246">
        <v>4</v>
      </c>
      <c r="BA21" s="246">
        <v>4</v>
      </c>
      <c r="BB21" s="310"/>
      <c r="BC21" s="246"/>
      <c r="BD21" s="246">
        <v>21</v>
      </c>
      <c r="BE21" s="246">
        <v>10</v>
      </c>
      <c r="BF21" s="246"/>
      <c r="BG21" s="246"/>
      <c r="BH21" s="246">
        <v>112</v>
      </c>
      <c r="BI21" s="246">
        <v>296</v>
      </c>
      <c r="BJ21" s="246">
        <v>62</v>
      </c>
      <c r="BK21" s="246">
        <v>1</v>
      </c>
    </row>
    <row r="22" spans="1:63" ht="15">
      <c r="A22" s="158" t="s">
        <v>103</v>
      </c>
      <c r="B22" s="158"/>
      <c r="C22" s="158"/>
      <c r="D22" s="158"/>
      <c r="E22" s="205"/>
      <c r="F22" s="158"/>
      <c r="G22" s="158"/>
      <c r="H22" s="158"/>
      <c r="I22" s="205"/>
      <c r="J22" s="158"/>
      <c r="K22" s="158"/>
      <c r="L22" s="158"/>
      <c r="M22" s="205"/>
      <c r="N22" s="158"/>
      <c r="O22" s="158"/>
      <c r="P22" s="158"/>
      <c r="Q22" s="205"/>
      <c r="R22" s="197">
        <f t="shared" si="0"/>
        <v>0</v>
      </c>
      <c r="S22" s="165">
        <f t="shared" si="1"/>
        <v>0</v>
      </c>
      <c r="T22" s="196"/>
      <c r="U22" s="196"/>
      <c r="V22" s="196"/>
      <c r="W22" s="196"/>
      <c r="X22" s="196"/>
      <c r="Y22" s="160"/>
      <c r="Z22" s="160"/>
      <c r="AA22" s="160"/>
      <c r="AB22" s="160"/>
      <c r="AC22" s="160"/>
      <c r="AD22" s="160"/>
      <c r="AE22" s="160"/>
      <c r="AG22" s="158" t="s">
        <v>103</v>
      </c>
      <c r="AH22" s="246">
        <v>4</v>
      </c>
      <c r="AI22" s="246">
        <v>63</v>
      </c>
      <c r="AJ22" s="158">
        <f>162-67</f>
        <v>95</v>
      </c>
      <c r="AK22" s="205"/>
      <c r="AL22" s="158">
        <v>91</v>
      </c>
      <c r="AM22" s="158">
        <v>127</v>
      </c>
      <c r="AN22" s="158">
        <v>129</v>
      </c>
      <c r="AO22" s="205"/>
      <c r="AP22" s="158">
        <v>108</v>
      </c>
      <c r="AQ22" s="158">
        <v>100</v>
      </c>
      <c r="AR22" s="158">
        <v>122</v>
      </c>
      <c r="AS22" s="205"/>
      <c r="AT22" s="158">
        <v>116</v>
      </c>
      <c r="AU22" s="158">
        <v>102</v>
      </c>
      <c r="AV22" s="158"/>
      <c r="AW22" s="205"/>
      <c r="AX22" s="197">
        <f t="shared" si="3"/>
        <v>1057</v>
      </c>
      <c r="AY22" s="165">
        <f t="shared" si="2"/>
        <v>0</v>
      </c>
      <c r="AZ22" s="246">
        <v>12</v>
      </c>
      <c r="BA22" s="246">
        <v>16</v>
      </c>
      <c r="BB22" s="310">
        <v>1</v>
      </c>
      <c r="BC22" s="246"/>
      <c r="BD22" s="246">
        <v>25</v>
      </c>
      <c r="BE22" s="246">
        <v>12</v>
      </c>
      <c r="BF22" s="246"/>
      <c r="BG22" s="246"/>
      <c r="BH22" s="246">
        <v>242</v>
      </c>
      <c r="BI22" s="246">
        <v>713</v>
      </c>
      <c r="BJ22" s="246">
        <v>97</v>
      </c>
      <c r="BK22" s="246">
        <v>4</v>
      </c>
    </row>
    <row r="23" spans="1:63" ht="15">
      <c r="A23" s="158" t="s">
        <v>104</v>
      </c>
      <c r="B23" s="158"/>
      <c r="C23" s="158"/>
      <c r="D23" s="158"/>
      <c r="E23" s="205"/>
      <c r="F23" s="158"/>
      <c r="G23" s="158"/>
      <c r="H23" s="158"/>
      <c r="I23" s="205"/>
      <c r="J23" s="158"/>
      <c r="K23" s="158"/>
      <c r="L23" s="158"/>
      <c r="M23" s="205"/>
      <c r="N23" s="158"/>
      <c r="O23" s="158"/>
      <c r="P23" s="158"/>
      <c r="Q23" s="205"/>
      <c r="R23" s="197">
        <f t="shared" si="0"/>
        <v>0</v>
      </c>
      <c r="S23" s="165">
        <f t="shared" si="1"/>
        <v>0</v>
      </c>
      <c r="T23" s="196"/>
      <c r="U23" s="196"/>
      <c r="V23" s="196"/>
      <c r="W23" s="196"/>
      <c r="X23" s="196"/>
      <c r="Y23" s="160"/>
      <c r="Z23" s="160"/>
      <c r="AA23" s="160"/>
      <c r="AB23" s="160"/>
      <c r="AC23" s="160"/>
      <c r="AD23" s="160"/>
      <c r="AE23" s="160"/>
      <c r="AG23" s="158" t="s">
        <v>104</v>
      </c>
      <c r="AH23" s="246">
        <v>5</v>
      </c>
      <c r="AI23" s="246">
        <v>30</v>
      </c>
      <c r="AJ23" s="158">
        <f>86-35</f>
        <v>51</v>
      </c>
      <c r="AK23" s="205"/>
      <c r="AL23" s="158">
        <v>26</v>
      </c>
      <c r="AM23" s="158">
        <v>38</v>
      </c>
      <c r="AN23" s="158">
        <v>36</v>
      </c>
      <c r="AO23" s="205"/>
      <c r="AP23" s="158">
        <v>27</v>
      </c>
      <c r="AQ23" s="158">
        <v>32</v>
      </c>
      <c r="AR23" s="158">
        <v>32</v>
      </c>
      <c r="AS23" s="205"/>
      <c r="AT23" s="158">
        <v>25</v>
      </c>
      <c r="AU23" s="158">
        <v>22</v>
      </c>
      <c r="AV23" s="158"/>
      <c r="AW23" s="205"/>
      <c r="AX23" s="197">
        <f t="shared" si="3"/>
        <v>324</v>
      </c>
      <c r="AY23" s="165">
        <f t="shared" si="2"/>
        <v>0</v>
      </c>
      <c r="AZ23" s="246">
        <v>2</v>
      </c>
      <c r="BA23" s="246">
        <v>0</v>
      </c>
      <c r="BB23" s="310"/>
      <c r="BC23" s="246"/>
      <c r="BD23" s="246">
        <v>10</v>
      </c>
      <c r="BE23" s="246">
        <v>6</v>
      </c>
      <c r="BF23" s="246"/>
      <c r="BG23" s="246"/>
      <c r="BH23" s="246">
        <v>77</v>
      </c>
      <c r="BI23" s="246">
        <v>214</v>
      </c>
      <c r="BJ23" s="246">
        <v>33</v>
      </c>
      <c r="BK23" s="246"/>
    </row>
    <row r="24" spans="1:63" ht="15">
      <c r="A24" s="158" t="s">
        <v>105</v>
      </c>
      <c r="B24" s="158"/>
      <c r="C24" s="158"/>
      <c r="D24" s="158"/>
      <c r="E24" s="205"/>
      <c r="F24" s="158"/>
      <c r="G24" s="158"/>
      <c r="H24" s="158"/>
      <c r="I24" s="205"/>
      <c r="J24" s="158"/>
      <c r="K24" s="158"/>
      <c r="L24" s="158"/>
      <c r="M24" s="205"/>
      <c r="N24" s="158"/>
      <c r="O24" s="158"/>
      <c r="P24" s="158"/>
      <c r="Q24" s="205"/>
      <c r="R24" s="197">
        <f t="shared" si="0"/>
        <v>0</v>
      </c>
      <c r="S24" s="165">
        <f t="shared" si="1"/>
        <v>0</v>
      </c>
      <c r="T24" s="196"/>
      <c r="U24" s="196"/>
      <c r="V24" s="196"/>
      <c r="W24" s="196"/>
      <c r="X24" s="196"/>
      <c r="Y24" s="160"/>
      <c r="Z24" s="160"/>
      <c r="AA24" s="160"/>
      <c r="AB24" s="160"/>
      <c r="AC24" s="160"/>
      <c r="AD24" s="160"/>
      <c r="AE24" s="160"/>
      <c r="AG24" s="158" t="s">
        <v>105</v>
      </c>
      <c r="AH24" s="246">
        <v>1</v>
      </c>
      <c r="AI24" s="246">
        <v>11</v>
      </c>
      <c r="AJ24" s="158">
        <v>6</v>
      </c>
      <c r="AK24" s="205"/>
      <c r="AL24" s="158">
        <v>3</v>
      </c>
      <c r="AM24" s="158">
        <v>7</v>
      </c>
      <c r="AN24" s="158">
        <v>4</v>
      </c>
      <c r="AO24" s="205"/>
      <c r="AP24" s="158">
        <v>14</v>
      </c>
      <c r="AQ24" s="158">
        <v>13</v>
      </c>
      <c r="AR24" s="158">
        <v>9</v>
      </c>
      <c r="AS24" s="205"/>
      <c r="AT24" s="158">
        <v>11</v>
      </c>
      <c r="AU24" s="158">
        <v>6</v>
      </c>
      <c r="AV24" s="158"/>
      <c r="AW24" s="205"/>
      <c r="AX24" s="197">
        <f t="shared" si="3"/>
        <v>85</v>
      </c>
      <c r="AY24" s="165">
        <f t="shared" si="2"/>
        <v>0</v>
      </c>
      <c r="AZ24" s="246">
        <v>5</v>
      </c>
      <c r="BA24" s="246">
        <v>0</v>
      </c>
      <c r="BB24" s="310"/>
      <c r="BC24" s="246"/>
      <c r="BD24" s="246">
        <v>2</v>
      </c>
      <c r="BE24" s="246">
        <v>6</v>
      </c>
      <c r="BF24" s="246"/>
      <c r="BG24" s="246"/>
      <c r="BH24" s="246">
        <v>19</v>
      </c>
      <c r="BI24" s="246">
        <v>51</v>
      </c>
      <c r="BJ24" s="246">
        <v>14</v>
      </c>
      <c r="BK24" s="246">
        <v>1</v>
      </c>
    </row>
    <row r="25" spans="1:63" ht="15">
      <c r="A25" s="158" t="s">
        <v>106</v>
      </c>
      <c r="B25" s="158"/>
      <c r="C25" s="158"/>
      <c r="D25" s="158"/>
      <c r="E25" s="205"/>
      <c r="F25" s="158"/>
      <c r="G25" s="158"/>
      <c r="H25" s="158"/>
      <c r="I25" s="205"/>
      <c r="J25" s="158"/>
      <c r="K25" s="158"/>
      <c r="L25" s="158"/>
      <c r="M25" s="205"/>
      <c r="N25" s="158"/>
      <c r="O25" s="158"/>
      <c r="P25" s="158"/>
      <c r="Q25" s="205"/>
      <c r="R25" s="197">
        <f t="shared" si="0"/>
        <v>0</v>
      </c>
      <c r="S25" s="165">
        <f t="shared" si="1"/>
        <v>0</v>
      </c>
      <c r="T25" s="196"/>
      <c r="U25" s="196"/>
      <c r="V25" s="196"/>
      <c r="W25" s="196"/>
      <c r="X25" s="196"/>
      <c r="Y25" s="160"/>
      <c r="Z25" s="160"/>
      <c r="AA25" s="160"/>
      <c r="AB25" s="160"/>
      <c r="AC25" s="160"/>
      <c r="AD25" s="160"/>
      <c r="AE25" s="160"/>
      <c r="AG25" s="158" t="s">
        <v>106</v>
      </c>
      <c r="AH25" s="246"/>
      <c r="AI25" s="246">
        <v>15</v>
      </c>
      <c r="AJ25" s="158">
        <v>10</v>
      </c>
      <c r="AK25" s="205"/>
      <c r="AL25" s="158">
        <v>17</v>
      </c>
      <c r="AM25" s="158">
        <v>18</v>
      </c>
      <c r="AN25" s="158">
        <v>14</v>
      </c>
      <c r="AO25" s="205"/>
      <c r="AP25" s="158">
        <v>19</v>
      </c>
      <c r="AQ25" s="158">
        <v>8</v>
      </c>
      <c r="AR25" s="158">
        <v>18</v>
      </c>
      <c r="AS25" s="205"/>
      <c r="AT25" s="158">
        <v>9</v>
      </c>
      <c r="AU25" s="158">
        <v>13</v>
      </c>
      <c r="AV25" s="158"/>
      <c r="AW25" s="205"/>
      <c r="AX25" s="197">
        <f t="shared" si="3"/>
        <v>141</v>
      </c>
      <c r="AY25" s="165">
        <f t="shared" si="2"/>
        <v>0</v>
      </c>
      <c r="AZ25" s="246">
        <v>4</v>
      </c>
      <c r="BA25" s="246">
        <v>1</v>
      </c>
      <c r="BB25" s="310"/>
      <c r="BC25" s="246"/>
      <c r="BD25" s="246">
        <v>7</v>
      </c>
      <c r="BE25" s="246">
        <v>3</v>
      </c>
      <c r="BF25" s="246"/>
      <c r="BG25" s="246"/>
      <c r="BH25" s="246">
        <v>38</v>
      </c>
      <c r="BI25" s="246">
        <v>91</v>
      </c>
      <c r="BJ25" s="246">
        <v>12</v>
      </c>
      <c r="BK25" s="246"/>
    </row>
    <row r="26" spans="1:63" ht="15">
      <c r="A26" s="158" t="s">
        <v>107</v>
      </c>
      <c r="B26" s="158"/>
      <c r="C26" s="158"/>
      <c r="D26" s="158"/>
      <c r="E26" s="205"/>
      <c r="F26" s="158"/>
      <c r="G26" s="158"/>
      <c r="H26" s="158"/>
      <c r="I26" s="205"/>
      <c r="J26" s="158"/>
      <c r="K26" s="158"/>
      <c r="L26" s="158"/>
      <c r="M26" s="205"/>
      <c r="N26" s="158"/>
      <c r="O26" s="158"/>
      <c r="P26" s="158"/>
      <c r="Q26" s="205"/>
      <c r="R26" s="197">
        <f t="shared" si="0"/>
        <v>0</v>
      </c>
      <c r="S26" s="165">
        <f t="shared" si="1"/>
        <v>0</v>
      </c>
      <c r="T26" s="196"/>
      <c r="U26" s="196"/>
      <c r="V26" s="196"/>
      <c r="W26" s="196"/>
      <c r="X26" s="196"/>
      <c r="Y26" s="160"/>
      <c r="Z26" s="160"/>
      <c r="AA26" s="160"/>
      <c r="AB26" s="160"/>
      <c r="AC26" s="160"/>
      <c r="AD26" s="160"/>
      <c r="AE26" s="160"/>
      <c r="AG26" s="158" t="s">
        <v>107</v>
      </c>
      <c r="AH26" s="246"/>
      <c r="AI26" s="246">
        <v>3</v>
      </c>
      <c r="AJ26" s="158">
        <v>10</v>
      </c>
      <c r="AK26" s="205"/>
      <c r="AL26" s="158">
        <v>5</v>
      </c>
      <c r="AM26" s="158">
        <v>3</v>
      </c>
      <c r="AN26" s="158">
        <v>3</v>
      </c>
      <c r="AO26" s="205"/>
      <c r="AP26" s="158">
        <v>5</v>
      </c>
      <c r="AQ26" s="158">
        <v>0</v>
      </c>
      <c r="AR26" s="158">
        <v>4</v>
      </c>
      <c r="AS26" s="205"/>
      <c r="AT26" s="158">
        <v>5</v>
      </c>
      <c r="AU26" s="158">
        <v>4</v>
      </c>
      <c r="AV26" s="158"/>
      <c r="AW26" s="205"/>
      <c r="AX26" s="197">
        <f t="shared" si="3"/>
        <v>42</v>
      </c>
      <c r="AY26" s="165">
        <f t="shared" si="2"/>
        <v>0</v>
      </c>
      <c r="BA26" s="246"/>
      <c r="BB26" s="310"/>
      <c r="BC26" s="246"/>
      <c r="BD26" s="246">
        <v>2</v>
      </c>
      <c r="BE26" s="246">
        <v>1</v>
      </c>
      <c r="BF26" s="246"/>
      <c r="BG26" s="246"/>
      <c r="BH26" s="246">
        <v>6</v>
      </c>
      <c r="BI26" s="246">
        <v>31</v>
      </c>
      <c r="BJ26" s="246">
        <v>5</v>
      </c>
      <c r="BK26" s="246"/>
    </row>
    <row r="27" spans="1:63" ht="15">
      <c r="A27" s="158" t="s">
        <v>108</v>
      </c>
      <c r="B27" s="158"/>
      <c r="C27" s="158"/>
      <c r="D27" s="158"/>
      <c r="E27" s="205"/>
      <c r="F27" s="158"/>
      <c r="G27" s="158"/>
      <c r="H27" s="158"/>
      <c r="I27" s="205"/>
      <c r="J27" s="158"/>
      <c r="K27" s="158"/>
      <c r="L27" s="158"/>
      <c r="M27" s="205"/>
      <c r="N27" s="158"/>
      <c r="O27" s="158"/>
      <c r="P27" s="158"/>
      <c r="Q27" s="205"/>
      <c r="R27" s="197">
        <f t="shared" si="0"/>
        <v>0</v>
      </c>
      <c r="S27" s="165">
        <f t="shared" si="1"/>
        <v>0</v>
      </c>
      <c r="T27" s="196"/>
      <c r="U27" s="196"/>
      <c r="V27" s="196"/>
      <c r="W27" s="196"/>
      <c r="X27" s="196"/>
      <c r="Y27" s="160"/>
      <c r="Z27" s="160"/>
      <c r="AA27" s="160"/>
      <c r="AB27" s="160"/>
      <c r="AC27" s="160"/>
      <c r="AD27" s="160"/>
      <c r="AE27" s="160"/>
      <c r="AG27" s="158" t="s">
        <v>108</v>
      </c>
      <c r="AH27" s="246">
        <v>2</v>
      </c>
      <c r="AI27" s="246">
        <v>9</v>
      </c>
      <c r="AJ27" s="158">
        <v>20</v>
      </c>
      <c r="AK27" s="205"/>
      <c r="AL27" s="158">
        <v>9</v>
      </c>
      <c r="AM27" s="158">
        <v>9</v>
      </c>
      <c r="AN27" s="158">
        <v>20</v>
      </c>
      <c r="AO27" s="205"/>
      <c r="AP27" s="158">
        <v>32</v>
      </c>
      <c r="AQ27" s="158">
        <v>32</v>
      </c>
      <c r="AR27" s="158">
        <v>23</v>
      </c>
      <c r="AS27" s="205"/>
      <c r="AT27" s="158">
        <v>30</v>
      </c>
      <c r="AU27" s="158">
        <v>24</v>
      </c>
      <c r="AV27" s="158"/>
      <c r="AW27" s="205"/>
      <c r="AX27" s="197">
        <f t="shared" si="3"/>
        <v>210</v>
      </c>
      <c r="AY27" s="165">
        <f t="shared" si="2"/>
        <v>0</v>
      </c>
      <c r="AZ27" s="246">
        <v>1</v>
      </c>
      <c r="BA27" s="246">
        <v>3</v>
      </c>
      <c r="BB27" s="310"/>
      <c r="BC27" s="246"/>
      <c r="BD27" s="246">
        <v>5</v>
      </c>
      <c r="BE27" s="246">
        <v>1</v>
      </c>
      <c r="BF27" s="246"/>
      <c r="BG27" s="246"/>
      <c r="BH27" s="246">
        <v>41</v>
      </c>
      <c r="BI27" s="246">
        <v>149</v>
      </c>
      <c r="BJ27" s="246">
        <v>20</v>
      </c>
      <c r="BK27" s="246"/>
    </row>
    <row r="28" spans="1:63" ht="15">
      <c r="A28" s="158" t="s">
        <v>109</v>
      </c>
      <c r="B28" s="158"/>
      <c r="C28" s="158"/>
      <c r="D28" s="158"/>
      <c r="E28" s="205"/>
      <c r="F28" s="158"/>
      <c r="G28" s="158"/>
      <c r="H28" s="158"/>
      <c r="I28" s="205"/>
      <c r="J28" s="158"/>
      <c r="K28" s="158"/>
      <c r="L28" s="158"/>
      <c r="M28" s="205"/>
      <c r="N28" s="158"/>
      <c r="O28" s="158"/>
      <c r="P28" s="158"/>
      <c r="Q28" s="205"/>
      <c r="R28" s="197">
        <f t="shared" si="0"/>
        <v>0</v>
      </c>
      <c r="S28" s="165">
        <f t="shared" si="1"/>
        <v>0</v>
      </c>
      <c r="T28" s="196"/>
      <c r="U28" s="196"/>
      <c r="V28" s="196"/>
      <c r="W28" s="196"/>
      <c r="X28" s="196"/>
      <c r="Y28" s="160"/>
      <c r="Z28" s="160"/>
      <c r="AA28" s="160"/>
      <c r="AB28" s="160"/>
      <c r="AC28" s="160"/>
      <c r="AD28" s="160"/>
      <c r="AE28" s="160"/>
      <c r="AG28" s="158" t="s">
        <v>109</v>
      </c>
      <c r="AH28" s="246"/>
      <c r="AI28" s="246">
        <v>1</v>
      </c>
      <c r="AJ28" s="158">
        <v>3</v>
      </c>
      <c r="AK28" s="205"/>
      <c r="AL28" s="158">
        <v>0</v>
      </c>
      <c r="AM28" s="158">
        <v>1</v>
      </c>
      <c r="AN28" s="158">
        <v>1</v>
      </c>
      <c r="AO28" s="205"/>
      <c r="AP28" s="158">
        <v>2</v>
      </c>
      <c r="AQ28" s="158">
        <v>1</v>
      </c>
      <c r="AR28" s="158">
        <v>0</v>
      </c>
      <c r="AS28" s="205"/>
      <c r="AT28" s="158">
        <v>2</v>
      </c>
      <c r="AV28" s="158"/>
      <c r="AW28" s="205"/>
      <c r="AX28" s="197">
        <f>AH28+AI28+AJ28+AL28+AM28+AN28+AP28+AQ28+AR28+AT28+AU29+AV28</f>
        <v>31</v>
      </c>
      <c r="AY28" s="165">
        <f t="shared" si="2"/>
        <v>0</v>
      </c>
      <c r="AZ28" s="246"/>
      <c r="BA28" s="246"/>
      <c r="BB28" s="310"/>
      <c r="BC28" s="246"/>
      <c r="BE28" s="246">
        <v>1</v>
      </c>
      <c r="BF28" s="246"/>
      <c r="BG28" s="246"/>
      <c r="BH28" s="246">
        <v>3</v>
      </c>
      <c r="BI28" s="246">
        <v>5</v>
      </c>
      <c r="BJ28" s="246">
        <v>3</v>
      </c>
      <c r="BK28" s="246"/>
    </row>
    <row r="29" spans="1:63" ht="15">
      <c r="A29" s="158" t="s">
        <v>110</v>
      </c>
      <c r="B29" s="158"/>
      <c r="C29" s="158"/>
      <c r="D29" s="158"/>
      <c r="E29" s="205"/>
      <c r="F29" s="158"/>
      <c r="G29" s="158"/>
      <c r="H29" s="158"/>
      <c r="I29" s="205"/>
      <c r="J29" s="158"/>
      <c r="K29" s="158"/>
      <c r="L29" s="158"/>
      <c r="M29" s="205"/>
      <c r="N29" s="158"/>
      <c r="O29" s="158"/>
      <c r="P29" s="158"/>
      <c r="Q29" s="205"/>
      <c r="R29" s="197">
        <f t="shared" si="0"/>
        <v>0</v>
      </c>
      <c r="S29" s="165">
        <f t="shared" si="1"/>
        <v>0</v>
      </c>
      <c r="T29" s="196"/>
      <c r="U29" s="196"/>
      <c r="V29" s="196"/>
      <c r="W29" s="196"/>
      <c r="X29" s="196"/>
      <c r="Y29" s="160"/>
      <c r="Z29" s="160"/>
      <c r="AA29" s="160"/>
      <c r="AB29" s="160"/>
      <c r="AC29" s="160"/>
      <c r="AD29" s="160"/>
      <c r="AE29" s="160"/>
      <c r="AG29" s="158" t="s">
        <v>110</v>
      </c>
      <c r="AH29" s="246"/>
      <c r="AI29" s="246">
        <v>15</v>
      </c>
      <c r="AJ29" s="158">
        <f>43-15</f>
        <v>28</v>
      </c>
      <c r="AK29" s="205"/>
      <c r="AL29" s="158">
        <v>23</v>
      </c>
      <c r="AM29" s="158">
        <v>25</v>
      </c>
      <c r="AN29" s="158">
        <v>20</v>
      </c>
      <c r="AO29" s="205"/>
      <c r="AP29" s="158">
        <v>30</v>
      </c>
      <c r="AQ29" s="158">
        <v>31</v>
      </c>
      <c r="AR29" s="158">
        <v>21</v>
      </c>
      <c r="AS29" s="205"/>
      <c r="AT29" s="158">
        <v>12</v>
      </c>
      <c r="AU29" s="158">
        <v>20</v>
      </c>
      <c r="AV29" s="158"/>
      <c r="AW29" s="205"/>
      <c r="AX29" s="197">
        <f>AH29+AI29+AJ29+AL29+AM29+AN29+AP29+AQ29+AR29+AT29+AU30+AV29</f>
        <v>387</v>
      </c>
      <c r="AY29" s="165">
        <f t="shared" si="2"/>
        <v>0</v>
      </c>
      <c r="AZ29" s="246">
        <v>2</v>
      </c>
      <c r="BA29" s="246">
        <v>7</v>
      </c>
      <c r="BB29" s="310"/>
      <c r="BC29" s="246"/>
      <c r="BD29" s="246">
        <v>18</v>
      </c>
      <c r="BE29" s="246">
        <v>6</v>
      </c>
      <c r="BF29" s="246"/>
      <c r="BG29" s="246"/>
      <c r="BH29" s="246">
        <v>57</v>
      </c>
      <c r="BI29" s="246">
        <v>155</v>
      </c>
      <c r="BJ29" s="246">
        <v>12</v>
      </c>
      <c r="BK29" s="246"/>
    </row>
    <row r="30" spans="1:63" ht="15">
      <c r="A30" s="158" t="s">
        <v>111</v>
      </c>
      <c r="B30" s="158"/>
      <c r="C30" s="158"/>
      <c r="D30" s="158"/>
      <c r="E30" s="205"/>
      <c r="F30" s="158"/>
      <c r="G30" s="158"/>
      <c r="H30" s="158"/>
      <c r="I30" s="205"/>
      <c r="J30" s="158"/>
      <c r="K30" s="158"/>
      <c r="L30" s="158"/>
      <c r="M30" s="205"/>
      <c r="N30" s="158"/>
      <c r="O30" s="158"/>
      <c r="P30" s="158"/>
      <c r="Q30" s="205"/>
      <c r="R30" s="197">
        <f t="shared" si="0"/>
        <v>0</v>
      </c>
      <c r="S30" s="165">
        <f t="shared" si="1"/>
        <v>0</v>
      </c>
      <c r="T30" s="196"/>
      <c r="U30" s="196"/>
      <c r="V30" s="196"/>
      <c r="W30" s="196"/>
      <c r="X30" s="196"/>
      <c r="Y30" s="160"/>
      <c r="Z30" s="160"/>
      <c r="AA30" s="160"/>
      <c r="AB30" s="160"/>
      <c r="AC30" s="160"/>
      <c r="AD30" s="160"/>
      <c r="AE30" s="160"/>
      <c r="AG30" s="158" t="s">
        <v>111</v>
      </c>
      <c r="AH30" s="246">
        <v>47</v>
      </c>
      <c r="AI30" s="246">
        <v>134</v>
      </c>
      <c r="AJ30" s="158">
        <f>344-181</f>
        <v>163</v>
      </c>
      <c r="AK30" s="205"/>
      <c r="AL30" s="158">
        <v>126</v>
      </c>
      <c r="AM30" s="158">
        <v>217</v>
      </c>
      <c r="AN30" s="158">
        <v>189</v>
      </c>
      <c r="AO30" s="205"/>
      <c r="AP30" s="158">
        <v>186</v>
      </c>
      <c r="AQ30" s="158">
        <v>205</v>
      </c>
      <c r="AR30" s="158">
        <v>162</v>
      </c>
      <c r="AS30" s="205"/>
      <c r="AT30" s="158">
        <v>200</v>
      </c>
      <c r="AU30" s="158">
        <v>182</v>
      </c>
      <c r="AV30" s="158"/>
      <c r="AW30" s="205"/>
      <c r="AX30" s="197">
        <f>AH30+AI30+AJ30+AL30+AM30+AN30+AP30+AQ30+AR30+AT30+AU31+AV30</f>
        <v>1629</v>
      </c>
      <c r="AY30" s="165">
        <f t="shared" si="2"/>
        <v>0</v>
      </c>
      <c r="AZ30" s="246">
        <v>16</v>
      </c>
      <c r="BA30" s="246">
        <v>27</v>
      </c>
      <c r="BB30" s="310">
        <v>1</v>
      </c>
      <c r="BC30" s="246">
        <v>3</v>
      </c>
      <c r="BD30" s="246">
        <v>42</v>
      </c>
      <c r="BE30" s="246">
        <v>24</v>
      </c>
      <c r="BF30" s="246"/>
      <c r="BG30" s="246"/>
      <c r="BH30" s="246">
        <v>555</v>
      </c>
      <c r="BI30" s="246">
        <v>1105</v>
      </c>
      <c r="BJ30" s="246">
        <v>150</v>
      </c>
      <c r="BK30" s="246">
        <v>2</v>
      </c>
    </row>
    <row r="31" spans="1:63" ht="15">
      <c r="A31" s="158" t="s">
        <v>112</v>
      </c>
      <c r="B31" s="158"/>
      <c r="C31" s="158"/>
      <c r="D31" s="158"/>
      <c r="E31" s="205"/>
      <c r="F31" s="158"/>
      <c r="G31" s="158"/>
      <c r="H31" s="158"/>
      <c r="I31" s="205"/>
      <c r="J31" s="158"/>
      <c r="K31" s="158"/>
      <c r="L31" s="158"/>
      <c r="M31" s="205"/>
      <c r="N31" s="158"/>
      <c r="O31" s="158"/>
      <c r="P31" s="158"/>
      <c r="Q31" s="205"/>
      <c r="R31" s="197">
        <f t="shared" si="0"/>
        <v>0</v>
      </c>
      <c r="S31" s="165">
        <f t="shared" si="1"/>
        <v>0</v>
      </c>
      <c r="T31" s="196"/>
      <c r="U31" s="196"/>
      <c r="V31" s="196"/>
      <c r="W31" s="196"/>
      <c r="X31" s="196"/>
      <c r="Y31" s="160"/>
      <c r="Z31" s="160"/>
      <c r="AA31" s="160"/>
      <c r="AB31" s="160"/>
      <c r="AC31" s="160"/>
      <c r="AD31" s="160"/>
      <c r="AE31" s="160"/>
      <c r="AG31" s="158" t="s">
        <v>112</v>
      </c>
      <c r="AH31" s="158"/>
      <c r="AI31" s="246"/>
      <c r="AJ31" s="158"/>
      <c r="AK31" s="205"/>
      <c r="AL31" s="158"/>
      <c r="AM31" s="158"/>
      <c r="AN31" s="158"/>
      <c r="AO31" s="205"/>
      <c r="AP31" s="158"/>
      <c r="AQ31" s="158"/>
      <c r="AR31" s="158"/>
      <c r="AS31" s="205"/>
      <c r="AT31" s="158"/>
      <c r="AU31" s="158"/>
      <c r="AV31" s="158"/>
      <c r="AW31" s="205"/>
      <c r="AX31" s="197"/>
      <c r="AY31" s="165">
        <f t="shared" si="2"/>
        <v>0</v>
      </c>
      <c r="AZ31" s="246"/>
      <c r="BA31" s="246"/>
      <c r="BB31" s="310"/>
      <c r="BC31" s="246"/>
      <c r="BD31" s="246"/>
      <c r="BE31" s="246"/>
      <c r="BF31" s="246"/>
      <c r="BG31" s="246"/>
      <c r="BH31" s="246"/>
      <c r="BI31" s="246"/>
      <c r="BJ31" s="246"/>
      <c r="BK31" s="246"/>
    </row>
    <row r="32" spans="1:63" ht="15">
      <c r="A32" s="162" t="s">
        <v>113</v>
      </c>
      <c r="B32" s="159">
        <f aca="true" t="shared" si="4" ref="B32:AE32">SUM(B11:B31)</f>
        <v>0</v>
      </c>
      <c r="C32" s="159">
        <f t="shared" si="4"/>
        <v>0</v>
      </c>
      <c r="D32" s="159">
        <f t="shared" si="4"/>
        <v>0</v>
      </c>
      <c r="E32" s="206">
        <f t="shared" si="4"/>
        <v>0</v>
      </c>
      <c r="F32" s="159">
        <f t="shared" si="4"/>
        <v>0</v>
      </c>
      <c r="G32" s="159">
        <f t="shared" si="4"/>
        <v>0</v>
      </c>
      <c r="H32" s="159">
        <f t="shared" si="4"/>
        <v>0</v>
      </c>
      <c r="I32" s="206">
        <f t="shared" si="4"/>
        <v>0</v>
      </c>
      <c r="J32" s="159">
        <f t="shared" si="4"/>
        <v>0</v>
      </c>
      <c r="K32" s="159">
        <f t="shared" si="4"/>
        <v>0</v>
      </c>
      <c r="L32" s="159">
        <f t="shared" si="4"/>
        <v>0</v>
      </c>
      <c r="M32" s="206">
        <f t="shared" si="4"/>
        <v>0</v>
      </c>
      <c r="N32" s="159">
        <f t="shared" si="4"/>
        <v>0</v>
      </c>
      <c r="O32" s="159">
        <f t="shared" si="4"/>
        <v>0</v>
      </c>
      <c r="P32" s="159">
        <f t="shared" si="4"/>
        <v>0</v>
      </c>
      <c r="Q32" s="206">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06">
        <f t="shared" si="5"/>
        <v>0</v>
      </c>
      <c r="AL32" s="159">
        <f t="shared" si="5"/>
        <v>855</v>
      </c>
      <c r="AM32" s="159">
        <f t="shared" si="5"/>
        <v>1195</v>
      </c>
      <c r="AN32" s="159">
        <f t="shared" si="5"/>
        <v>1077</v>
      </c>
      <c r="AO32" s="206">
        <f t="shared" si="5"/>
        <v>0</v>
      </c>
      <c r="AP32" s="159">
        <f t="shared" si="5"/>
        <v>1044</v>
      </c>
      <c r="AQ32" s="159">
        <f t="shared" si="5"/>
        <v>1144</v>
      </c>
      <c r="AR32" s="159">
        <f t="shared" si="5"/>
        <v>1050</v>
      </c>
      <c r="AS32" s="206">
        <f t="shared" si="5"/>
        <v>0</v>
      </c>
      <c r="AT32" s="159">
        <f t="shared" si="5"/>
        <v>1160</v>
      </c>
      <c r="AU32" s="159">
        <f t="shared" si="5"/>
        <v>936</v>
      </c>
      <c r="AV32" s="159">
        <f t="shared" si="5"/>
        <v>0</v>
      </c>
      <c r="AW32" s="206">
        <f t="shared" si="5"/>
        <v>0</v>
      </c>
      <c r="AX32" s="198">
        <f>SUM(AX11:AX31)</f>
        <v>10474</v>
      </c>
      <c r="AY32" s="166">
        <f t="shared" si="5"/>
        <v>0</v>
      </c>
      <c r="AZ32" s="159">
        <f>SUM(AZ11:AZ31)</f>
        <v>94</v>
      </c>
      <c r="BA32" s="159">
        <f t="shared" si="5"/>
        <v>117</v>
      </c>
      <c r="BB32" s="159">
        <f t="shared" si="5"/>
        <v>3</v>
      </c>
      <c r="BC32" s="159">
        <f t="shared" si="5"/>
        <v>9</v>
      </c>
      <c r="BD32" s="159">
        <f>SUM(BD11:BD31)</f>
        <v>298</v>
      </c>
      <c r="BE32" s="159">
        <f t="shared" si="5"/>
        <v>180</v>
      </c>
      <c r="BF32" s="159">
        <f t="shared" si="5"/>
        <v>0</v>
      </c>
      <c r="BG32" s="159">
        <f t="shared" si="5"/>
        <v>0</v>
      </c>
      <c r="BH32" s="159">
        <f t="shared" si="5"/>
        <v>2777</v>
      </c>
      <c r="BI32" s="159">
        <f t="shared" si="5"/>
        <v>6722</v>
      </c>
      <c r="BJ32" s="159">
        <f t="shared" si="5"/>
        <v>953</v>
      </c>
      <c r="BK32" s="159">
        <f t="shared" si="5"/>
        <v>22</v>
      </c>
    </row>
    <row r="33" ht="15"/>
    <row r="34" ht="15"/>
    <row r="35" spans="1:63" ht="30" customHeight="1">
      <c r="A35" s="643" t="s">
        <v>90</v>
      </c>
      <c r="B35" s="292" t="s">
        <v>39</v>
      </c>
      <c r="C35" s="292" t="s">
        <v>40</v>
      </c>
      <c r="D35" s="695" t="s">
        <v>41</v>
      </c>
      <c r="E35" s="696"/>
      <c r="F35" s="292" t="s">
        <v>42</v>
      </c>
      <c r="G35" s="292" t="s">
        <v>43</v>
      </c>
      <c r="H35" s="695" t="s">
        <v>44</v>
      </c>
      <c r="I35" s="696"/>
      <c r="J35" s="292" t="s">
        <v>45</v>
      </c>
      <c r="K35" s="292" t="s">
        <v>46</v>
      </c>
      <c r="L35" s="695" t="s">
        <v>47</v>
      </c>
      <c r="M35" s="696"/>
      <c r="N35" s="292" t="s">
        <v>48</v>
      </c>
      <c r="O35" s="292" t="s">
        <v>49</v>
      </c>
      <c r="P35" s="695" t="s">
        <v>50</v>
      </c>
      <c r="Q35" s="696"/>
      <c r="R35" s="695" t="s">
        <v>91</v>
      </c>
      <c r="S35" s="696"/>
      <c r="T35" s="695" t="s">
        <v>289</v>
      </c>
      <c r="U35" s="697"/>
      <c r="V35" s="697"/>
      <c r="W35" s="697"/>
      <c r="X35" s="697"/>
      <c r="Y35" s="696"/>
      <c r="Z35" s="695" t="s">
        <v>288</v>
      </c>
      <c r="AA35" s="697"/>
      <c r="AB35" s="697"/>
      <c r="AC35" s="697"/>
      <c r="AD35" s="697"/>
      <c r="AE35" s="696"/>
      <c r="AG35" s="643" t="s">
        <v>90</v>
      </c>
      <c r="AH35" s="292" t="s">
        <v>39</v>
      </c>
      <c r="AI35" s="292" t="s">
        <v>40</v>
      </c>
      <c r="AJ35" s="695" t="s">
        <v>41</v>
      </c>
      <c r="AK35" s="696"/>
      <c r="AL35" s="292" t="s">
        <v>42</v>
      </c>
      <c r="AM35" s="292" t="s">
        <v>43</v>
      </c>
      <c r="AN35" s="695" t="s">
        <v>44</v>
      </c>
      <c r="AO35" s="696"/>
      <c r="AP35" s="292" t="s">
        <v>45</v>
      </c>
      <c r="AQ35" s="292" t="s">
        <v>46</v>
      </c>
      <c r="AR35" s="695" t="s">
        <v>47</v>
      </c>
      <c r="AS35" s="696"/>
      <c r="AT35" s="292" t="s">
        <v>48</v>
      </c>
      <c r="AU35" s="292" t="s">
        <v>49</v>
      </c>
      <c r="AV35" s="695" t="s">
        <v>50</v>
      </c>
      <c r="AW35" s="696"/>
      <c r="AX35" s="695" t="s">
        <v>91</v>
      </c>
      <c r="AY35" s="696"/>
      <c r="AZ35" s="695" t="s">
        <v>289</v>
      </c>
      <c r="BA35" s="697"/>
      <c r="BB35" s="697"/>
      <c r="BC35" s="697"/>
      <c r="BD35" s="697"/>
      <c r="BE35" s="696"/>
      <c r="BF35" s="695" t="s">
        <v>288</v>
      </c>
      <c r="BG35" s="697"/>
      <c r="BH35" s="697"/>
      <c r="BI35" s="697"/>
      <c r="BJ35" s="697"/>
      <c r="BK35" s="696"/>
    </row>
    <row r="36" spans="1:63" ht="36" customHeight="1">
      <c r="A36" s="645"/>
      <c r="B36" s="291" t="s">
        <v>372</v>
      </c>
      <c r="C36" s="291" t="s">
        <v>372</v>
      </c>
      <c r="D36" s="291" t="s">
        <v>372</v>
      </c>
      <c r="E36" s="291" t="s">
        <v>373</v>
      </c>
      <c r="F36" s="291" t="s">
        <v>372</v>
      </c>
      <c r="G36" s="291" t="s">
        <v>372</v>
      </c>
      <c r="H36" s="291" t="s">
        <v>372</v>
      </c>
      <c r="I36" s="291" t="s">
        <v>373</v>
      </c>
      <c r="J36" s="291" t="s">
        <v>372</v>
      </c>
      <c r="K36" s="291" t="s">
        <v>372</v>
      </c>
      <c r="L36" s="291" t="s">
        <v>372</v>
      </c>
      <c r="M36" s="291" t="s">
        <v>373</v>
      </c>
      <c r="N36" s="291" t="s">
        <v>372</v>
      </c>
      <c r="O36" s="291" t="s">
        <v>372</v>
      </c>
      <c r="P36" s="291" t="s">
        <v>372</v>
      </c>
      <c r="Q36" s="291" t="s">
        <v>373</v>
      </c>
      <c r="R36" s="291" t="s">
        <v>372</v>
      </c>
      <c r="S36" s="291" t="s">
        <v>373</v>
      </c>
      <c r="T36" s="194" t="s">
        <v>393</v>
      </c>
      <c r="U36" s="194" t="s">
        <v>394</v>
      </c>
      <c r="V36" s="194" t="s">
        <v>395</v>
      </c>
      <c r="W36" s="194" t="s">
        <v>305</v>
      </c>
      <c r="X36" s="195" t="s">
        <v>396</v>
      </c>
      <c r="Y36" s="194" t="s">
        <v>304</v>
      </c>
      <c r="Z36" s="291" t="s">
        <v>387</v>
      </c>
      <c r="AA36" s="157" t="s">
        <v>388</v>
      </c>
      <c r="AB36" s="291" t="s">
        <v>389</v>
      </c>
      <c r="AC36" s="291" t="s">
        <v>390</v>
      </c>
      <c r="AD36" s="291" t="s">
        <v>391</v>
      </c>
      <c r="AE36" s="291" t="s">
        <v>392</v>
      </c>
      <c r="AG36" s="645"/>
      <c r="AH36" s="291" t="s">
        <v>372</v>
      </c>
      <c r="AI36" s="291" t="s">
        <v>372</v>
      </c>
      <c r="AJ36" s="291" t="s">
        <v>372</v>
      </c>
      <c r="AK36" s="291" t="s">
        <v>373</v>
      </c>
      <c r="AL36" s="291" t="s">
        <v>372</v>
      </c>
      <c r="AM36" s="291" t="s">
        <v>372</v>
      </c>
      <c r="AN36" s="291" t="s">
        <v>372</v>
      </c>
      <c r="AO36" s="291" t="s">
        <v>373</v>
      </c>
      <c r="AP36" s="291" t="s">
        <v>372</v>
      </c>
      <c r="AQ36" s="291" t="s">
        <v>372</v>
      </c>
      <c r="AR36" s="291" t="s">
        <v>372</v>
      </c>
      <c r="AS36" s="291" t="s">
        <v>373</v>
      </c>
      <c r="AT36" s="291" t="s">
        <v>372</v>
      </c>
      <c r="AU36" s="291" t="s">
        <v>372</v>
      </c>
      <c r="AV36" s="291" t="s">
        <v>372</v>
      </c>
      <c r="AW36" s="291" t="s">
        <v>373</v>
      </c>
      <c r="AX36" s="291" t="s">
        <v>372</v>
      </c>
      <c r="AY36" s="291" t="s">
        <v>373</v>
      </c>
      <c r="AZ36" s="194" t="s">
        <v>393</v>
      </c>
      <c r="BA36" s="194" t="s">
        <v>394</v>
      </c>
      <c r="BB36" s="194" t="s">
        <v>395</v>
      </c>
      <c r="BC36" s="194" t="s">
        <v>305</v>
      </c>
      <c r="BD36" s="195" t="s">
        <v>396</v>
      </c>
      <c r="BE36" s="194" t="s">
        <v>304</v>
      </c>
      <c r="BF36" s="192" t="s">
        <v>387</v>
      </c>
      <c r="BG36" s="193" t="s">
        <v>388</v>
      </c>
      <c r="BH36" s="192" t="s">
        <v>389</v>
      </c>
      <c r="BI36" s="192" t="s">
        <v>390</v>
      </c>
      <c r="BJ36" s="192" t="s">
        <v>391</v>
      </c>
      <c r="BK36" s="192" t="s">
        <v>392</v>
      </c>
    </row>
    <row r="37" spans="1:63" ht="15">
      <c r="A37" s="158" t="s">
        <v>92</v>
      </c>
      <c r="B37" s="158"/>
      <c r="C37" s="158"/>
      <c r="D37" s="158"/>
      <c r="E37" s="205"/>
      <c r="F37" s="158"/>
      <c r="G37" s="158"/>
      <c r="H37" s="158"/>
      <c r="I37" s="205"/>
      <c r="J37" s="158"/>
      <c r="K37" s="158"/>
      <c r="L37" s="158"/>
      <c r="M37" s="205"/>
      <c r="N37" s="158"/>
      <c r="O37" s="158"/>
      <c r="P37" s="158"/>
      <c r="Q37" s="205"/>
      <c r="R37" s="197">
        <f aca="true" t="shared" si="6" ref="R37:R57">B37+C37+D37+F37+G37+H37+J37+K37+L37+N37+O37+P37</f>
        <v>0</v>
      </c>
      <c r="S37" s="165">
        <f aca="true" t="shared" si="7" ref="S37:S57">+E37+I37+M37+Q37</f>
        <v>0</v>
      </c>
      <c r="T37" s="196"/>
      <c r="U37" s="196"/>
      <c r="V37" s="196"/>
      <c r="W37" s="196"/>
      <c r="X37" s="196"/>
      <c r="Y37" s="160"/>
      <c r="Z37" s="160"/>
      <c r="AA37" s="160"/>
      <c r="AB37" s="160"/>
      <c r="AC37" s="160"/>
      <c r="AD37" s="160"/>
      <c r="AE37" s="161"/>
      <c r="AG37" s="158" t="s">
        <v>92</v>
      </c>
      <c r="AH37" s="158"/>
      <c r="AI37" s="158"/>
      <c r="AJ37" s="158"/>
      <c r="AK37" s="205"/>
      <c r="AL37" s="158"/>
      <c r="AM37" s="158"/>
      <c r="AN37" s="158"/>
      <c r="AO37" s="205"/>
      <c r="AP37" s="158"/>
      <c r="AQ37" s="158"/>
      <c r="AR37" s="158"/>
      <c r="AS37" s="205"/>
      <c r="AT37" s="158"/>
      <c r="AU37" s="158"/>
      <c r="AV37" s="158"/>
      <c r="AW37" s="205"/>
      <c r="AX37" s="197">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5"/>
      <c r="F38" s="158"/>
      <c r="G38" s="158"/>
      <c r="H38" s="158"/>
      <c r="I38" s="205"/>
      <c r="J38" s="158"/>
      <c r="K38" s="158"/>
      <c r="L38" s="158"/>
      <c r="M38" s="205"/>
      <c r="N38" s="158"/>
      <c r="O38" s="158"/>
      <c r="P38" s="158"/>
      <c r="Q38" s="205"/>
      <c r="R38" s="197">
        <f t="shared" si="6"/>
        <v>0</v>
      </c>
      <c r="S38" s="165">
        <f t="shared" si="7"/>
        <v>0</v>
      </c>
      <c r="T38" s="196"/>
      <c r="U38" s="196"/>
      <c r="V38" s="196"/>
      <c r="W38" s="196"/>
      <c r="X38" s="196"/>
      <c r="Y38" s="160"/>
      <c r="Z38" s="160"/>
      <c r="AA38" s="160"/>
      <c r="AB38" s="160"/>
      <c r="AC38" s="160"/>
      <c r="AD38" s="160"/>
      <c r="AE38" s="160"/>
      <c r="AG38" s="158" t="s">
        <v>93</v>
      </c>
      <c r="AH38" s="158"/>
      <c r="AI38" s="158"/>
      <c r="AJ38" s="158"/>
      <c r="AK38" s="205"/>
      <c r="AL38" s="158"/>
      <c r="AM38" s="158"/>
      <c r="AN38" s="158"/>
      <c r="AO38" s="205"/>
      <c r="AP38" s="158"/>
      <c r="AQ38" s="158"/>
      <c r="AR38" s="158"/>
      <c r="AS38" s="205"/>
      <c r="AT38" s="158"/>
      <c r="AU38" s="158"/>
      <c r="AV38" s="158"/>
      <c r="AW38" s="205"/>
      <c r="AX38" s="197">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5"/>
      <c r="F39" s="158"/>
      <c r="G39" s="158"/>
      <c r="H39" s="158"/>
      <c r="I39" s="205"/>
      <c r="J39" s="158"/>
      <c r="K39" s="158"/>
      <c r="L39" s="158"/>
      <c r="M39" s="205"/>
      <c r="N39" s="158"/>
      <c r="O39" s="158"/>
      <c r="P39" s="158"/>
      <c r="Q39" s="205"/>
      <c r="R39" s="197">
        <f t="shared" si="6"/>
        <v>0</v>
      </c>
      <c r="S39" s="165">
        <f t="shared" si="7"/>
        <v>0</v>
      </c>
      <c r="T39" s="196"/>
      <c r="U39" s="196"/>
      <c r="V39" s="196"/>
      <c r="W39" s="196"/>
      <c r="X39" s="196"/>
      <c r="Y39" s="160"/>
      <c r="Z39" s="160"/>
      <c r="AA39" s="160"/>
      <c r="AB39" s="160"/>
      <c r="AC39" s="160"/>
      <c r="AD39" s="160"/>
      <c r="AE39" s="160"/>
      <c r="AG39" s="158" t="s">
        <v>94</v>
      </c>
      <c r="AH39" s="158"/>
      <c r="AI39" s="158"/>
      <c r="AJ39" s="158"/>
      <c r="AK39" s="205"/>
      <c r="AL39" s="158"/>
      <c r="AM39" s="158"/>
      <c r="AN39" s="158"/>
      <c r="AO39" s="205"/>
      <c r="AP39" s="158"/>
      <c r="AQ39" s="158"/>
      <c r="AR39" s="158"/>
      <c r="AS39" s="205"/>
      <c r="AT39" s="158"/>
      <c r="AU39" s="158"/>
      <c r="AV39" s="158"/>
      <c r="AW39" s="205"/>
      <c r="AX39" s="197">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5"/>
      <c r="F40" s="158"/>
      <c r="G40" s="158"/>
      <c r="H40" s="158"/>
      <c r="I40" s="205"/>
      <c r="J40" s="158"/>
      <c r="K40" s="158"/>
      <c r="L40" s="158"/>
      <c r="M40" s="205"/>
      <c r="N40" s="158"/>
      <c r="O40" s="158"/>
      <c r="P40" s="158"/>
      <c r="Q40" s="205"/>
      <c r="R40" s="197">
        <f t="shared" si="6"/>
        <v>0</v>
      </c>
      <c r="S40" s="165">
        <f t="shared" si="7"/>
        <v>0</v>
      </c>
      <c r="T40" s="196"/>
      <c r="U40" s="196"/>
      <c r="V40" s="196"/>
      <c r="W40" s="196"/>
      <c r="X40" s="196"/>
      <c r="Y40" s="160"/>
      <c r="Z40" s="160"/>
      <c r="AA40" s="160"/>
      <c r="AB40" s="160"/>
      <c r="AC40" s="160"/>
      <c r="AD40" s="160"/>
      <c r="AE40" s="160"/>
      <c r="AG40" s="158" t="s">
        <v>95</v>
      </c>
      <c r="AH40" s="158"/>
      <c r="AI40" s="158"/>
      <c r="AJ40" s="158"/>
      <c r="AK40" s="205"/>
      <c r="AL40" s="158"/>
      <c r="AM40" s="158"/>
      <c r="AN40" s="158"/>
      <c r="AO40" s="205"/>
      <c r="AP40" s="158"/>
      <c r="AQ40" s="158"/>
      <c r="AR40" s="158"/>
      <c r="AS40" s="205"/>
      <c r="AT40" s="158"/>
      <c r="AU40" s="158"/>
      <c r="AV40" s="158"/>
      <c r="AW40" s="205"/>
      <c r="AX40" s="197">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5"/>
      <c r="F41" s="158"/>
      <c r="G41" s="158"/>
      <c r="H41" s="158"/>
      <c r="I41" s="205"/>
      <c r="J41" s="158"/>
      <c r="K41" s="158"/>
      <c r="L41" s="158"/>
      <c r="M41" s="205"/>
      <c r="N41" s="158"/>
      <c r="O41" s="158"/>
      <c r="P41" s="158"/>
      <c r="Q41" s="205"/>
      <c r="R41" s="197">
        <f t="shared" si="6"/>
        <v>0</v>
      </c>
      <c r="S41" s="165">
        <f t="shared" si="7"/>
        <v>0</v>
      </c>
      <c r="T41" s="196"/>
      <c r="U41" s="196"/>
      <c r="V41" s="196"/>
      <c r="W41" s="196"/>
      <c r="X41" s="196"/>
      <c r="Y41" s="160"/>
      <c r="Z41" s="160"/>
      <c r="AA41" s="160"/>
      <c r="AB41" s="160"/>
      <c r="AC41" s="160"/>
      <c r="AD41" s="160"/>
      <c r="AE41" s="160"/>
      <c r="AG41" s="158" t="s">
        <v>96</v>
      </c>
      <c r="AH41" s="158"/>
      <c r="AI41" s="158"/>
      <c r="AJ41" s="158"/>
      <c r="AK41" s="205"/>
      <c r="AL41" s="158"/>
      <c r="AM41" s="158"/>
      <c r="AN41" s="158"/>
      <c r="AO41" s="205"/>
      <c r="AP41" s="158"/>
      <c r="AQ41" s="158"/>
      <c r="AR41" s="158"/>
      <c r="AS41" s="205"/>
      <c r="AT41" s="158"/>
      <c r="AU41" s="158"/>
      <c r="AV41" s="158"/>
      <c r="AW41" s="205"/>
      <c r="AX41" s="197">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5"/>
      <c r="F42" s="158"/>
      <c r="G42" s="158"/>
      <c r="H42" s="158"/>
      <c r="I42" s="205"/>
      <c r="J42" s="158"/>
      <c r="K42" s="158"/>
      <c r="L42" s="158"/>
      <c r="M42" s="205"/>
      <c r="N42" s="158"/>
      <c r="O42" s="158"/>
      <c r="P42" s="158"/>
      <c r="Q42" s="205"/>
      <c r="R42" s="197">
        <f t="shared" si="6"/>
        <v>0</v>
      </c>
      <c r="S42" s="165">
        <f t="shared" si="7"/>
        <v>0</v>
      </c>
      <c r="T42" s="196"/>
      <c r="U42" s="196"/>
      <c r="V42" s="196"/>
      <c r="W42" s="196"/>
      <c r="X42" s="196"/>
      <c r="Y42" s="160"/>
      <c r="Z42" s="160"/>
      <c r="AA42" s="160"/>
      <c r="AB42" s="160"/>
      <c r="AC42" s="160"/>
      <c r="AD42" s="160"/>
      <c r="AE42" s="160"/>
      <c r="AG42" s="158" t="s">
        <v>97</v>
      </c>
      <c r="AH42" s="158"/>
      <c r="AI42" s="158"/>
      <c r="AJ42" s="158"/>
      <c r="AK42" s="205"/>
      <c r="AL42" s="158"/>
      <c r="AM42" s="158"/>
      <c r="AN42" s="158"/>
      <c r="AO42" s="205"/>
      <c r="AP42" s="158"/>
      <c r="AQ42" s="158"/>
      <c r="AR42" s="158"/>
      <c r="AS42" s="205"/>
      <c r="AT42" s="158"/>
      <c r="AU42" s="158"/>
      <c r="AV42" s="158"/>
      <c r="AW42" s="205"/>
      <c r="AX42" s="197">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5"/>
      <c r="F43" s="158"/>
      <c r="G43" s="158"/>
      <c r="H43" s="158"/>
      <c r="I43" s="205"/>
      <c r="J43" s="158"/>
      <c r="K43" s="158"/>
      <c r="L43" s="158"/>
      <c r="M43" s="205"/>
      <c r="N43" s="158"/>
      <c r="O43" s="158"/>
      <c r="P43" s="158"/>
      <c r="Q43" s="205"/>
      <c r="R43" s="197">
        <f t="shared" si="6"/>
        <v>0</v>
      </c>
      <c r="S43" s="165">
        <f t="shared" si="7"/>
        <v>0</v>
      </c>
      <c r="T43" s="196"/>
      <c r="U43" s="196"/>
      <c r="V43" s="196"/>
      <c r="W43" s="196"/>
      <c r="X43" s="196"/>
      <c r="Y43" s="160"/>
      <c r="Z43" s="160"/>
      <c r="AA43" s="160"/>
      <c r="AB43" s="160"/>
      <c r="AC43" s="160"/>
      <c r="AD43" s="160"/>
      <c r="AE43" s="160"/>
      <c r="AG43" s="158" t="s">
        <v>98</v>
      </c>
      <c r="AH43" s="158"/>
      <c r="AI43" s="158"/>
      <c r="AJ43" s="158"/>
      <c r="AK43" s="205"/>
      <c r="AL43" s="158"/>
      <c r="AM43" s="158"/>
      <c r="AN43" s="158"/>
      <c r="AO43" s="205"/>
      <c r="AP43" s="158"/>
      <c r="AQ43" s="158"/>
      <c r="AR43" s="158"/>
      <c r="AS43" s="205"/>
      <c r="AT43" s="158"/>
      <c r="AU43" s="158"/>
      <c r="AV43" s="158"/>
      <c r="AW43" s="205"/>
      <c r="AX43" s="197">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5"/>
      <c r="F44" s="158"/>
      <c r="G44" s="158"/>
      <c r="H44" s="158"/>
      <c r="I44" s="205"/>
      <c r="J44" s="158"/>
      <c r="K44" s="158"/>
      <c r="L44" s="158"/>
      <c r="M44" s="205"/>
      <c r="N44" s="158"/>
      <c r="O44" s="158"/>
      <c r="P44" s="158"/>
      <c r="Q44" s="205"/>
      <c r="R44" s="197">
        <f t="shared" si="6"/>
        <v>0</v>
      </c>
      <c r="S44" s="165">
        <f t="shared" si="7"/>
        <v>0</v>
      </c>
      <c r="T44" s="196"/>
      <c r="U44" s="196"/>
      <c r="V44" s="196"/>
      <c r="W44" s="196"/>
      <c r="X44" s="196"/>
      <c r="Y44" s="160"/>
      <c r="Z44" s="160"/>
      <c r="AA44" s="160"/>
      <c r="AB44" s="160"/>
      <c r="AC44" s="160"/>
      <c r="AD44" s="160"/>
      <c r="AE44" s="160"/>
      <c r="AG44" s="158" t="s">
        <v>99</v>
      </c>
      <c r="AH44" s="158"/>
      <c r="AI44" s="158"/>
      <c r="AJ44" s="158"/>
      <c r="AK44" s="205"/>
      <c r="AL44" s="158"/>
      <c r="AM44" s="158"/>
      <c r="AN44" s="158"/>
      <c r="AO44" s="205"/>
      <c r="AP44" s="158"/>
      <c r="AQ44" s="158"/>
      <c r="AR44" s="158"/>
      <c r="AS44" s="205"/>
      <c r="AT44" s="158"/>
      <c r="AU44" s="158"/>
      <c r="AV44" s="158"/>
      <c r="AW44" s="205"/>
      <c r="AX44" s="197">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5"/>
      <c r="F45" s="158"/>
      <c r="G45" s="158"/>
      <c r="H45" s="158"/>
      <c r="I45" s="205"/>
      <c r="J45" s="158"/>
      <c r="K45" s="158"/>
      <c r="L45" s="158"/>
      <c r="M45" s="205"/>
      <c r="N45" s="158"/>
      <c r="O45" s="158"/>
      <c r="P45" s="158"/>
      <c r="Q45" s="205"/>
      <c r="R45" s="197">
        <f t="shared" si="6"/>
        <v>0</v>
      </c>
      <c r="S45" s="165">
        <f t="shared" si="7"/>
        <v>0</v>
      </c>
      <c r="T45" s="196"/>
      <c r="U45" s="196"/>
      <c r="V45" s="196"/>
      <c r="W45" s="196"/>
      <c r="X45" s="196"/>
      <c r="Y45" s="160"/>
      <c r="Z45" s="160"/>
      <c r="AA45" s="160"/>
      <c r="AB45" s="160"/>
      <c r="AC45" s="160"/>
      <c r="AD45" s="160"/>
      <c r="AE45" s="160"/>
      <c r="AG45" s="158" t="s">
        <v>100</v>
      </c>
      <c r="AH45" s="158"/>
      <c r="AI45" s="158"/>
      <c r="AJ45" s="158"/>
      <c r="AK45" s="205"/>
      <c r="AL45" s="158"/>
      <c r="AM45" s="158"/>
      <c r="AN45" s="158"/>
      <c r="AO45" s="205"/>
      <c r="AP45" s="158"/>
      <c r="AQ45" s="158"/>
      <c r="AR45" s="158"/>
      <c r="AS45" s="205"/>
      <c r="AT45" s="158"/>
      <c r="AU45" s="158"/>
      <c r="AV45" s="158"/>
      <c r="AW45" s="205"/>
      <c r="AX45" s="197">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5"/>
      <c r="F46" s="158"/>
      <c r="G46" s="158"/>
      <c r="H46" s="158"/>
      <c r="I46" s="205"/>
      <c r="J46" s="158"/>
      <c r="K46" s="158"/>
      <c r="L46" s="158"/>
      <c r="M46" s="205"/>
      <c r="N46" s="158"/>
      <c r="O46" s="158"/>
      <c r="P46" s="158"/>
      <c r="Q46" s="205"/>
      <c r="R46" s="197">
        <f t="shared" si="6"/>
        <v>0</v>
      </c>
      <c r="S46" s="165">
        <f t="shared" si="7"/>
        <v>0</v>
      </c>
      <c r="T46" s="196"/>
      <c r="U46" s="196"/>
      <c r="V46" s="196"/>
      <c r="W46" s="196"/>
      <c r="X46" s="196"/>
      <c r="Y46" s="160"/>
      <c r="Z46" s="160"/>
      <c r="AA46" s="160"/>
      <c r="AB46" s="160"/>
      <c r="AC46" s="160"/>
      <c r="AD46" s="160"/>
      <c r="AE46" s="160"/>
      <c r="AG46" s="158" t="s">
        <v>101</v>
      </c>
      <c r="AH46" s="158"/>
      <c r="AI46" s="158"/>
      <c r="AJ46" s="158"/>
      <c r="AK46" s="205"/>
      <c r="AL46" s="158"/>
      <c r="AM46" s="158"/>
      <c r="AN46" s="158"/>
      <c r="AO46" s="205"/>
      <c r="AP46" s="158"/>
      <c r="AQ46" s="158"/>
      <c r="AR46" s="158"/>
      <c r="AS46" s="205"/>
      <c r="AT46" s="158"/>
      <c r="AU46" s="158"/>
      <c r="AV46" s="158"/>
      <c r="AW46" s="205"/>
      <c r="AX46" s="197">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5"/>
      <c r="F47" s="158"/>
      <c r="G47" s="158"/>
      <c r="H47" s="158"/>
      <c r="I47" s="205"/>
      <c r="J47" s="158"/>
      <c r="K47" s="158"/>
      <c r="L47" s="158"/>
      <c r="M47" s="205"/>
      <c r="N47" s="158"/>
      <c r="O47" s="158"/>
      <c r="P47" s="158"/>
      <c r="Q47" s="205"/>
      <c r="R47" s="197">
        <f t="shared" si="6"/>
        <v>0</v>
      </c>
      <c r="S47" s="165">
        <f t="shared" si="7"/>
        <v>0</v>
      </c>
      <c r="T47" s="196"/>
      <c r="U47" s="196"/>
      <c r="V47" s="196"/>
      <c r="W47" s="196"/>
      <c r="X47" s="196"/>
      <c r="Y47" s="160"/>
      <c r="Z47" s="160"/>
      <c r="AA47" s="160"/>
      <c r="AB47" s="160"/>
      <c r="AC47" s="160"/>
      <c r="AD47" s="160"/>
      <c r="AE47" s="160"/>
      <c r="AG47" s="158" t="s">
        <v>102</v>
      </c>
      <c r="AH47" s="158"/>
      <c r="AI47" s="158"/>
      <c r="AJ47" s="158"/>
      <c r="AK47" s="205"/>
      <c r="AL47" s="158"/>
      <c r="AM47" s="158"/>
      <c r="AN47" s="158"/>
      <c r="AO47" s="205"/>
      <c r="AP47" s="158"/>
      <c r="AQ47" s="158"/>
      <c r="AR47" s="158"/>
      <c r="AS47" s="205"/>
      <c r="AT47" s="158"/>
      <c r="AU47" s="158"/>
      <c r="AV47" s="158"/>
      <c r="AW47" s="205"/>
      <c r="AX47" s="197">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5"/>
      <c r="F48" s="158"/>
      <c r="G48" s="158"/>
      <c r="H48" s="158"/>
      <c r="I48" s="205"/>
      <c r="J48" s="158"/>
      <c r="K48" s="158"/>
      <c r="L48" s="158"/>
      <c r="M48" s="205"/>
      <c r="N48" s="158"/>
      <c r="O48" s="158"/>
      <c r="P48" s="158"/>
      <c r="Q48" s="205"/>
      <c r="R48" s="197">
        <f t="shared" si="6"/>
        <v>0</v>
      </c>
      <c r="S48" s="165">
        <f t="shared" si="7"/>
        <v>0</v>
      </c>
      <c r="T48" s="196"/>
      <c r="U48" s="196"/>
      <c r="V48" s="196"/>
      <c r="W48" s="196"/>
      <c r="X48" s="196"/>
      <c r="Y48" s="160"/>
      <c r="Z48" s="160"/>
      <c r="AA48" s="160"/>
      <c r="AB48" s="160"/>
      <c r="AC48" s="160"/>
      <c r="AD48" s="160"/>
      <c r="AE48" s="160"/>
      <c r="AG48" s="158" t="s">
        <v>103</v>
      </c>
      <c r="AH48" s="158"/>
      <c r="AI48" s="158"/>
      <c r="AJ48" s="158"/>
      <c r="AK48" s="205"/>
      <c r="AL48" s="158"/>
      <c r="AM48" s="158"/>
      <c r="AN48" s="158"/>
      <c r="AO48" s="205"/>
      <c r="AP48" s="158"/>
      <c r="AQ48" s="158"/>
      <c r="AR48" s="158"/>
      <c r="AS48" s="205"/>
      <c r="AT48" s="158"/>
      <c r="AU48" s="158"/>
      <c r="AV48" s="158"/>
      <c r="AW48" s="205"/>
      <c r="AX48" s="197">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5"/>
      <c r="F49" s="158"/>
      <c r="G49" s="158"/>
      <c r="H49" s="158"/>
      <c r="I49" s="205"/>
      <c r="J49" s="158"/>
      <c r="K49" s="158"/>
      <c r="L49" s="158"/>
      <c r="M49" s="205"/>
      <c r="N49" s="158"/>
      <c r="O49" s="158"/>
      <c r="P49" s="158"/>
      <c r="Q49" s="205"/>
      <c r="R49" s="197">
        <f t="shared" si="6"/>
        <v>0</v>
      </c>
      <c r="S49" s="165">
        <f t="shared" si="7"/>
        <v>0</v>
      </c>
      <c r="T49" s="196"/>
      <c r="U49" s="196"/>
      <c r="V49" s="196"/>
      <c r="W49" s="196"/>
      <c r="X49" s="196"/>
      <c r="Y49" s="160"/>
      <c r="Z49" s="160"/>
      <c r="AA49" s="160"/>
      <c r="AB49" s="160"/>
      <c r="AC49" s="160"/>
      <c r="AD49" s="160"/>
      <c r="AE49" s="160"/>
      <c r="AG49" s="158" t="s">
        <v>104</v>
      </c>
      <c r="AH49" s="158"/>
      <c r="AI49" s="158"/>
      <c r="AJ49" s="158"/>
      <c r="AK49" s="205"/>
      <c r="AL49" s="158"/>
      <c r="AM49" s="158"/>
      <c r="AN49" s="158"/>
      <c r="AO49" s="205"/>
      <c r="AP49" s="158"/>
      <c r="AQ49" s="158"/>
      <c r="AR49" s="158"/>
      <c r="AS49" s="205"/>
      <c r="AT49" s="158"/>
      <c r="AU49" s="158"/>
      <c r="AV49" s="158"/>
      <c r="AW49" s="205"/>
      <c r="AX49" s="197">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5"/>
      <c r="F50" s="158"/>
      <c r="G50" s="158"/>
      <c r="H50" s="158"/>
      <c r="I50" s="205"/>
      <c r="J50" s="158"/>
      <c r="K50" s="158"/>
      <c r="L50" s="158"/>
      <c r="M50" s="205"/>
      <c r="N50" s="158"/>
      <c r="O50" s="158"/>
      <c r="P50" s="158"/>
      <c r="Q50" s="205"/>
      <c r="R50" s="197">
        <f t="shared" si="6"/>
        <v>0</v>
      </c>
      <c r="S50" s="165">
        <f t="shared" si="7"/>
        <v>0</v>
      </c>
      <c r="T50" s="196"/>
      <c r="U50" s="196"/>
      <c r="V50" s="196"/>
      <c r="W50" s="196"/>
      <c r="X50" s="196"/>
      <c r="Y50" s="160"/>
      <c r="Z50" s="160"/>
      <c r="AA50" s="160"/>
      <c r="AB50" s="160"/>
      <c r="AC50" s="160"/>
      <c r="AD50" s="160"/>
      <c r="AE50" s="160"/>
      <c r="AG50" s="158" t="s">
        <v>105</v>
      </c>
      <c r="AH50" s="158"/>
      <c r="AI50" s="158"/>
      <c r="AJ50" s="158"/>
      <c r="AK50" s="205"/>
      <c r="AL50" s="158"/>
      <c r="AM50" s="158"/>
      <c r="AN50" s="158"/>
      <c r="AO50" s="205"/>
      <c r="AP50" s="158"/>
      <c r="AQ50" s="158"/>
      <c r="AR50" s="158"/>
      <c r="AS50" s="205"/>
      <c r="AT50" s="158"/>
      <c r="AU50" s="158"/>
      <c r="AV50" s="158"/>
      <c r="AW50" s="205"/>
      <c r="AX50" s="197">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5"/>
      <c r="F51" s="158"/>
      <c r="G51" s="158"/>
      <c r="H51" s="158"/>
      <c r="I51" s="205"/>
      <c r="J51" s="158"/>
      <c r="K51" s="158"/>
      <c r="L51" s="158"/>
      <c r="M51" s="205"/>
      <c r="N51" s="158"/>
      <c r="O51" s="158"/>
      <c r="P51" s="158"/>
      <c r="Q51" s="205"/>
      <c r="R51" s="197">
        <f t="shared" si="6"/>
        <v>0</v>
      </c>
      <c r="S51" s="165">
        <f t="shared" si="7"/>
        <v>0</v>
      </c>
      <c r="T51" s="196"/>
      <c r="U51" s="196"/>
      <c r="V51" s="196"/>
      <c r="W51" s="196"/>
      <c r="X51" s="196"/>
      <c r="Y51" s="160"/>
      <c r="Z51" s="160"/>
      <c r="AA51" s="160"/>
      <c r="AB51" s="160"/>
      <c r="AC51" s="160"/>
      <c r="AD51" s="160"/>
      <c r="AE51" s="160"/>
      <c r="AG51" s="158" t="s">
        <v>106</v>
      </c>
      <c r="AH51" s="158"/>
      <c r="AI51" s="158"/>
      <c r="AJ51" s="158"/>
      <c r="AK51" s="205"/>
      <c r="AL51" s="158"/>
      <c r="AM51" s="158"/>
      <c r="AN51" s="158"/>
      <c r="AO51" s="205"/>
      <c r="AP51" s="158"/>
      <c r="AQ51" s="158"/>
      <c r="AR51" s="158"/>
      <c r="AS51" s="205"/>
      <c r="AT51" s="158"/>
      <c r="AU51" s="158"/>
      <c r="AV51" s="158"/>
      <c r="AW51" s="205"/>
      <c r="AX51" s="197">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5"/>
      <c r="F52" s="158"/>
      <c r="G52" s="158"/>
      <c r="H52" s="158"/>
      <c r="I52" s="205"/>
      <c r="J52" s="158"/>
      <c r="K52" s="158"/>
      <c r="L52" s="158"/>
      <c r="M52" s="205"/>
      <c r="N52" s="158"/>
      <c r="O52" s="158"/>
      <c r="P52" s="158"/>
      <c r="Q52" s="205"/>
      <c r="R52" s="197">
        <f t="shared" si="6"/>
        <v>0</v>
      </c>
      <c r="S52" s="165">
        <f t="shared" si="7"/>
        <v>0</v>
      </c>
      <c r="T52" s="196"/>
      <c r="U52" s="196"/>
      <c r="V52" s="196"/>
      <c r="W52" s="196"/>
      <c r="X52" s="196"/>
      <c r="Y52" s="160"/>
      <c r="Z52" s="160"/>
      <c r="AA52" s="160"/>
      <c r="AB52" s="160"/>
      <c r="AC52" s="160"/>
      <c r="AD52" s="160"/>
      <c r="AE52" s="160"/>
      <c r="AG52" s="158" t="s">
        <v>107</v>
      </c>
      <c r="AH52" s="158"/>
      <c r="AI52" s="158"/>
      <c r="AJ52" s="158"/>
      <c r="AK52" s="205"/>
      <c r="AL52" s="158"/>
      <c r="AM52" s="158"/>
      <c r="AN52" s="158"/>
      <c r="AO52" s="205"/>
      <c r="AP52" s="158"/>
      <c r="AQ52" s="158"/>
      <c r="AR52" s="158"/>
      <c r="AS52" s="205"/>
      <c r="AT52" s="158"/>
      <c r="AU52" s="158"/>
      <c r="AV52" s="158"/>
      <c r="AW52" s="205"/>
      <c r="AX52" s="197">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5"/>
      <c r="F53" s="158"/>
      <c r="G53" s="158"/>
      <c r="H53" s="158"/>
      <c r="I53" s="205"/>
      <c r="J53" s="158"/>
      <c r="K53" s="158"/>
      <c r="L53" s="158"/>
      <c r="M53" s="205"/>
      <c r="N53" s="158"/>
      <c r="O53" s="158"/>
      <c r="P53" s="158"/>
      <c r="Q53" s="205"/>
      <c r="R53" s="197">
        <f t="shared" si="6"/>
        <v>0</v>
      </c>
      <c r="S53" s="165">
        <f t="shared" si="7"/>
        <v>0</v>
      </c>
      <c r="T53" s="196"/>
      <c r="U53" s="196"/>
      <c r="V53" s="196"/>
      <c r="W53" s="196"/>
      <c r="X53" s="196"/>
      <c r="Y53" s="160"/>
      <c r="Z53" s="160"/>
      <c r="AA53" s="160"/>
      <c r="AB53" s="160"/>
      <c r="AC53" s="160"/>
      <c r="AD53" s="160"/>
      <c r="AE53" s="160"/>
      <c r="AG53" s="158" t="s">
        <v>108</v>
      </c>
      <c r="AH53" s="158"/>
      <c r="AI53" s="158"/>
      <c r="AJ53" s="158"/>
      <c r="AK53" s="205"/>
      <c r="AL53" s="158"/>
      <c r="AM53" s="158"/>
      <c r="AN53" s="158"/>
      <c r="AO53" s="205"/>
      <c r="AP53" s="158"/>
      <c r="AQ53" s="158"/>
      <c r="AR53" s="158"/>
      <c r="AS53" s="205"/>
      <c r="AT53" s="158"/>
      <c r="AU53" s="158"/>
      <c r="AV53" s="158"/>
      <c r="AW53" s="205"/>
      <c r="AX53" s="197">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5"/>
      <c r="F54" s="158"/>
      <c r="G54" s="158"/>
      <c r="H54" s="158"/>
      <c r="I54" s="205"/>
      <c r="J54" s="158"/>
      <c r="K54" s="158"/>
      <c r="L54" s="158"/>
      <c r="M54" s="205"/>
      <c r="N54" s="158"/>
      <c r="O54" s="158"/>
      <c r="P54" s="158"/>
      <c r="Q54" s="205"/>
      <c r="R54" s="197">
        <f t="shared" si="6"/>
        <v>0</v>
      </c>
      <c r="S54" s="165">
        <f t="shared" si="7"/>
        <v>0</v>
      </c>
      <c r="T54" s="196"/>
      <c r="U54" s="196"/>
      <c r="V54" s="196"/>
      <c r="W54" s="196"/>
      <c r="X54" s="196"/>
      <c r="Y54" s="160"/>
      <c r="Z54" s="160"/>
      <c r="AA54" s="160"/>
      <c r="AB54" s="160"/>
      <c r="AC54" s="160"/>
      <c r="AD54" s="160"/>
      <c r="AE54" s="160"/>
      <c r="AG54" s="158" t="s">
        <v>109</v>
      </c>
      <c r="AH54" s="158"/>
      <c r="AI54" s="158"/>
      <c r="AJ54" s="158"/>
      <c r="AK54" s="205"/>
      <c r="AL54" s="158"/>
      <c r="AM54" s="158"/>
      <c r="AN54" s="158"/>
      <c r="AO54" s="205"/>
      <c r="AP54" s="158"/>
      <c r="AQ54" s="158"/>
      <c r="AR54" s="158"/>
      <c r="AS54" s="205"/>
      <c r="AT54" s="158"/>
      <c r="AU54" s="158"/>
      <c r="AV54" s="158"/>
      <c r="AW54" s="205"/>
      <c r="AX54" s="197">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5"/>
      <c r="F55" s="158"/>
      <c r="G55" s="158"/>
      <c r="H55" s="158"/>
      <c r="I55" s="205"/>
      <c r="J55" s="158"/>
      <c r="K55" s="158"/>
      <c r="L55" s="158"/>
      <c r="M55" s="205"/>
      <c r="N55" s="158"/>
      <c r="O55" s="158"/>
      <c r="P55" s="158"/>
      <c r="Q55" s="205"/>
      <c r="R55" s="197">
        <f t="shared" si="6"/>
        <v>0</v>
      </c>
      <c r="S55" s="165">
        <f t="shared" si="7"/>
        <v>0</v>
      </c>
      <c r="T55" s="196"/>
      <c r="U55" s="196"/>
      <c r="V55" s="196"/>
      <c r="W55" s="196"/>
      <c r="X55" s="196"/>
      <c r="Y55" s="160"/>
      <c r="Z55" s="160"/>
      <c r="AA55" s="160"/>
      <c r="AB55" s="160"/>
      <c r="AC55" s="160"/>
      <c r="AD55" s="160"/>
      <c r="AE55" s="160"/>
      <c r="AG55" s="158" t="s">
        <v>110</v>
      </c>
      <c r="AH55" s="158"/>
      <c r="AI55" s="158"/>
      <c r="AJ55" s="158"/>
      <c r="AK55" s="205"/>
      <c r="AL55" s="158"/>
      <c r="AM55" s="158"/>
      <c r="AN55" s="158"/>
      <c r="AO55" s="205"/>
      <c r="AP55" s="158"/>
      <c r="AQ55" s="158"/>
      <c r="AR55" s="158"/>
      <c r="AS55" s="205"/>
      <c r="AT55" s="158"/>
      <c r="AU55" s="158"/>
      <c r="AV55" s="158"/>
      <c r="AW55" s="205"/>
      <c r="AX55" s="197">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5"/>
      <c r="F56" s="158"/>
      <c r="G56" s="158"/>
      <c r="H56" s="158"/>
      <c r="I56" s="205"/>
      <c r="J56" s="158"/>
      <c r="K56" s="158"/>
      <c r="L56" s="158"/>
      <c r="M56" s="205"/>
      <c r="N56" s="158"/>
      <c r="O56" s="158"/>
      <c r="P56" s="158"/>
      <c r="Q56" s="205"/>
      <c r="R56" s="197">
        <f t="shared" si="6"/>
        <v>0</v>
      </c>
      <c r="S56" s="165">
        <f t="shared" si="7"/>
        <v>0</v>
      </c>
      <c r="T56" s="196"/>
      <c r="U56" s="196"/>
      <c r="V56" s="196"/>
      <c r="W56" s="196"/>
      <c r="X56" s="196"/>
      <c r="Y56" s="160"/>
      <c r="Z56" s="160"/>
      <c r="AA56" s="160"/>
      <c r="AB56" s="160"/>
      <c r="AC56" s="160"/>
      <c r="AD56" s="160"/>
      <c r="AE56" s="160"/>
      <c r="AG56" s="158" t="s">
        <v>111</v>
      </c>
      <c r="AH56" s="158"/>
      <c r="AI56" s="158"/>
      <c r="AJ56" s="158"/>
      <c r="AK56" s="205"/>
      <c r="AL56" s="158"/>
      <c r="AM56" s="158"/>
      <c r="AN56" s="158"/>
      <c r="AO56" s="205"/>
      <c r="AP56" s="158"/>
      <c r="AQ56" s="158"/>
      <c r="AR56" s="158"/>
      <c r="AS56" s="205"/>
      <c r="AT56" s="158"/>
      <c r="AU56" s="158"/>
      <c r="AV56" s="158"/>
      <c r="AW56" s="205"/>
      <c r="AX56" s="197">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5"/>
      <c r="F57" s="158"/>
      <c r="G57" s="158"/>
      <c r="H57" s="158"/>
      <c r="I57" s="205"/>
      <c r="J57" s="158"/>
      <c r="K57" s="158"/>
      <c r="L57" s="158"/>
      <c r="M57" s="205"/>
      <c r="N57" s="158"/>
      <c r="O57" s="158"/>
      <c r="P57" s="158"/>
      <c r="Q57" s="205"/>
      <c r="R57" s="197">
        <f t="shared" si="6"/>
        <v>0</v>
      </c>
      <c r="S57" s="165">
        <f t="shared" si="7"/>
        <v>0</v>
      </c>
      <c r="T57" s="196"/>
      <c r="U57" s="196"/>
      <c r="V57" s="196"/>
      <c r="W57" s="196"/>
      <c r="X57" s="196"/>
      <c r="Y57" s="160"/>
      <c r="Z57" s="160"/>
      <c r="AA57" s="160"/>
      <c r="AB57" s="160"/>
      <c r="AC57" s="160"/>
      <c r="AD57" s="160"/>
      <c r="AE57" s="160"/>
      <c r="AG57" s="158" t="s">
        <v>112</v>
      </c>
      <c r="AH57" s="158"/>
      <c r="AI57" s="158"/>
      <c r="AJ57" s="158"/>
      <c r="AK57" s="205"/>
      <c r="AL57" s="158"/>
      <c r="AM57" s="158"/>
      <c r="AN57" s="158"/>
      <c r="AO57" s="205"/>
      <c r="AP57" s="158"/>
      <c r="AQ57" s="158"/>
      <c r="AR57" s="158"/>
      <c r="AS57" s="205"/>
      <c r="AT57" s="158"/>
      <c r="AU57" s="158"/>
      <c r="AV57" s="158"/>
      <c r="AW57" s="205"/>
      <c r="AX57" s="197">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06">
        <f t="shared" si="10"/>
        <v>0</v>
      </c>
      <c r="F58" s="159">
        <f t="shared" si="10"/>
        <v>0</v>
      </c>
      <c r="G58" s="159">
        <f t="shared" si="10"/>
        <v>0</v>
      </c>
      <c r="H58" s="159">
        <f t="shared" si="10"/>
        <v>0</v>
      </c>
      <c r="I58" s="206">
        <f t="shared" si="10"/>
        <v>0</v>
      </c>
      <c r="J58" s="159">
        <f t="shared" si="10"/>
        <v>0</v>
      </c>
      <c r="K58" s="159">
        <f t="shared" si="10"/>
        <v>0</v>
      </c>
      <c r="L58" s="159">
        <f t="shared" si="10"/>
        <v>0</v>
      </c>
      <c r="M58" s="206">
        <f t="shared" si="10"/>
        <v>0</v>
      </c>
      <c r="N58" s="159">
        <f t="shared" si="10"/>
        <v>0</v>
      </c>
      <c r="O58" s="159">
        <f t="shared" si="10"/>
        <v>0</v>
      </c>
      <c r="P58" s="159">
        <f t="shared" si="10"/>
        <v>0</v>
      </c>
      <c r="Q58" s="206">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06">
        <f t="shared" si="11"/>
        <v>0</v>
      </c>
      <c r="AL58" s="159">
        <f t="shared" si="11"/>
        <v>0</v>
      </c>
      <c r="AM58" s="159">
        <f t="shared" si="11"/>
        <v>0</v>
      </c>
      <c r="AN58" s="159">
        <f t="shared" si="11"/>
        <v>0</v>
      </c>
      <c r="AO58" s="206">
        <f t="shared" si="11"/>
        <v>0</v>
      </c>
      <c r="AP58" s="159">
        <f t="shared" si="11"/>
        <v>0</v>
      </c>
      <c r="AQ58" s="159">
        <f t="shared" si="11"/>
        <v>0</v>
      </c>
      <c r="AR58" s="159">
        <f t="shared" si="11"/>
        <v>0</v>
      </c>
      <c r="AS58" s="206">
        <f t="shared" si="11"/>
        <v>0</v>
      </c>
      <c r="AT58" s="159">
        <f t="shared" si="11"/>
        <v>0</v>
      </c>
      <c r="AU58" s="159">
        <f t="shared" si="11"/>
        <v>0</v>
      </c>
      <c r="AV58" s="159">
        <f t="shared" si="11"/>
        <v>0</v>
      </c>
      <c r="AW58" s="206">
        <f t="shared" si="11"/>
        <v>0</v>
      </c>
      <c r="AX58" s="198">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1:BH1"/>
    <mergeCell ref="BI1:BK1"/>
    <mergeCell ref="A2:BH2"/>
    <mergeCell ref="BI2:BK2"/>
    <mergeCell ref="A3:BH3"/>
    <mergeCell ref="BI3:BK3"/>
    <mergeCell ref="A4:BH4"/>
    <mergeCell ref="BI4:BK4"/>
    <mergeCell ref="A5:AE5"/>
    <mergeCell ref="AG5:BK5"/>
    <mergeCell ref="B6:BK6"/>
    <mergeCell ref="B7:BK7"/>
    <mergeCell ref="A9:A10"/>
    <mergeCell ref="D9:E9"/>
    <mergeCell ref="H9:I9"/>
    <mergeCell ref="L9:M9"/>
    <mergeCell ref="P9:Q9"/>
    <mergeCell ref="R9:S9"/>
    <mergeCell ref="T9:Y9"/>
    <mergeCell ref="Z9:AE9"/>
    <mergeCell ref="AG9:AG10"/>
    <mergeCell ref="AJ9:AK9"/>
    <mergeCell ref="AN9:AO9"/>
    <mergeCell ref="AR9:AS9"/>
    <mergeCell ref="AV9:AW9"/>
    <mergeCell ref="AX9:AY9"/>
    <mergeCell ref="AZ9:BE9"/>
    <mergeCell ref="BF9:BK9"/>
    <mergeCell ref="A35:A36"/>
    <mergeCell ref="D35:E35"/>
    <mergeCell ref="H35:I35"/>
    <mergeCell ref="L35:M35"/>
    <mergeCell ref="P35:Q35"/>
    <mergeCell ref="R35:S35"/>
    <mergeCell ref="AV35:AW35"/>
    <mergeCell ref="AX35:AY35"/>
    <mergeCell ref="AZ35:BE35"/>
    <mergeCell ref="BF35:BK35"/>
    <mergeCell ref="T35:Y35"/>
    <mergeCell ref="Z35:AE35"/>
    <mergeCell ref="AG35:AG36"/>
    <mergeCell ref="AJ35:AK35"/>
    <mergeCell ref="AN35:AO35"/>
    <mergeCell ref="AR35:AS35"/>
  </mergeCells>
  <printOptions/>
  <pageMargins left="0.75" right="0.75" top="1" bottom="1" header="0.3" footer="0.3"/>
  <pageSetup fitToHeight="1" fitToWidth="1" horizontalDpi="600" verticalDpi="600" orientation="landscape" scale="52"/>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lastPrinted>2023-10-07T02:49:24Z</cp:lastPrinted>
  <dcterms:created xsi:type="dcterms:W3CDTF">2011-04-26T22:16:52Z</dcterms:created>
  <dcterms:modified xsi:type="dcterms:W3CDTF">2023-12-08T00:02:38Z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