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2023\2. SEGUIMIENTO PROYECTOS\1. PA - PLAN DE ACCIÓN\11. Noviembre\"/>
    </mc:Choice>
  </mc:AlternateContent>
  <xr:revisionPtr revIDLastSave="0" documentId="13_ncr:1_{06A0F0EE-CD77-4A27-9B14-9AA5C71F2946}" xr6:coauthVersionLast="47" xr6:coauthVersionMax="47" xr10:uidLastSave="{00000000-0000-0000-0000-000000000000}"/>
  <bookViews>
    <workbookView xWindow="-120" yWindow="-120" windowWidth="29040" windowHeight="15840" tabRatio="734" activeTab="8"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23" i="47" l="1"/>
  <c r="AA25" i="42"/>
  <c r="AC25" i="42"/>
  <c r="AC24" i="42"/>
  <c r="AC24" i="43"/>
  <c r="R25" i="46" l="1"/>
  <c r="S25" i="46"/>
  <c r="Q25" i="42"/>
  <c r="R23" i="42"/>
  <c r="R25" i="41"/>
  <c r="S25" i="41"/>
  <c r="Q23" i="41"/>
  <c r="R25" i="40"/>
  <c r="P38" i="46"/>
  <c r="F58" i="46"/>
  <c r="D58" i="46"/>
  <c r="P40" i="46"/>
  <c r="I60" i="46" s="1"/>
  <c r="G58" i="46"/>
  <c r="I58" i="46"/>
  <c r="J58" i="46"/>
  <c r="K58" i="46"/>
  <c r="L58" i="46"/>
  <c r="L60" i="46"/>
  <c r="L65" i="46" s="1"/>
  <c r="L66" i="46" s="1"/>
  <c r="L35" i="46" s="1"/>
  <c r="O58" i="46"/>
  <c r="AB24" i="46"/>
  <c r="AA24" i="46"/>
  <c r="Z24" i="46"/>
  <c r="AB24" i="48"/>
  <c r="AC24" i="48" s="1"/>
  <c r="AB24" i="47"/>
  <c r="AA24" i="47"/>
  <c r="Z24" i="47"/>
  <c r="AC24" i="47" s="1"/>
  <c r="AB24" i="43"/>
  <c r="AB24" i="42"/>
  <c r="AA24" i="42"/>
  <c r="Z24" i="42"/>
  <c r="Z22" i="42"/>
  <c r="AB24" i="41"/>
  <c r="AA24" i="41"/>
  <c r="Z24" i="41"/>
  <c r="AB24" i="40"/>
  <c r="AA24" i="40"/>
  <c r="Z24" i="40"/>
  <c r="R25" i="48"/>
  <c r="R25" i="43"/>
  <c r="Y24" i="47"/>
  <c r="X24" i="47"/>
  <c r="Y24" i="42"/>
  <c r="X24" i="42"/>
  <c r="Y24" i="41"/>
  <c r="X24" i="41"/>
  <c r="C25" i="42"/>
  <c r="R23" i="46"/>
  <c r="S23" i="46"/>
  <c r="Q23" i="43"/>
  <c r="Q23" i="40"/>
  <c r="P41" i="41"/>
  <c r="Q23" i="47"/>
  <c r="G24" i="42"/>
  <c r="C25" i="40"/>
  <c r="D25" i="40"/>
  <c r="D25" i="41"/>
  <c r="C24" i="41"/>
  <c r="O24" i="41" s="1"/>
  <c r="AC22" i="46"/>
  <c r="AC22" i="42"/>
  <c r="D25" i="46"/>
  <c r="F25" i="46"/>
  <c r="E25" i="46"/>
  <c r="R25" i="47"/>
  <c r="S25" i="47" s="1"/>
  <c r="B69" i="48"/>
  <c r="A69" i="48"/>
  <c r="B67" i="48"/>
  <c r="A67" i="48"/>
  <c r="B65" i="48"/>
  <c r="A65" i="48"/>
  <c r="B63" i="48"/>
  <c r="A63" i="48"/>
  <c r="B61" i="48"/>
  <c r="A61" i="48"/>
  <c r="B59" i="48"/>
  <c r="A59" i="48"/>
  <c r="B57" i="48"/>
  <c r="A57" i="48"/>
  <c r="P51" i="48"/>
  <c r="P50" i="48"/>
  <c r="O69" i="48" s="1"/>
  <c r="P49" i="48"/>
  <c r="P48" i="48"/>
  <c r="P47" i="48"/>
  <c r="P46" i="48"/>
  <c r="O66" i="48"/>
  <c r="P45" i="48"/>
  <c r="P44" i="48"/>
  <c r="I64" i="48" s="1"/>
  <c r="P38" i="48"/>
  <c r="N57" i="48" s="1"/>
  <c r="P40" i="48"/>
  <c r="P42" i="48"/>
  <c r="K61" i="48" s="1"/>
  <c r="P43" i="48"/>
  <c r="P41" i="48"/>
  <c r="P39" i="48"/>
  <c r="P39" i="47"/>
  <c r="P38" i="47"/>
  <c r="K57" i="47" s="1"/>
  <c r="A34" i="47"/>
  <c r="P30" i="47"/>
  <c r="A30" i="47"/>
  <c r="O22" i="47"/>
  <c r="AC22" i="47"/>
  <c r="O23" i="47"/>
  <c r="P23" i="47" s="1"/>
  <c r="O24" i="47"/>
  <c r="O25" i="47"/>
  <c r="P25" i="47"/>
  <c r="A57" i="47"/>
  <c r="B57" i="47"/>
  <c r="C24" i="40"/>
  <c r="D24" i="40"/>
  <c r="Q24" i="42"/>
  <c r="R24" i="42"/>
  <c r="Q23" i="48"/>
  <c r="R23" i="48"/>
  <c r="AC22" i="40"/>
  <c r="F24" i="42"/>
  <c r="Q68" i="42"/>
  <c r="R68" i="42"/>
  <c r="R67" i="42"/>
  <c r="Q66" i="42"/>
  <c r="R66" i="42" s="1"/>
  <c r="R65" i="42"/>
  <c r="B63" i="42"/>
  <c r="A63" i="42"/>
  <c r="B61" i="42"/>
  <c r="A61" i="42"/>
  <c r="B59" i="42"/>
  <c r="A59" i="42"/>
  <c r="B57" i="42"/>
  <c r="A57" i="42"/>
  <c r="B61" i="43"/>
  <c r="A61" i="43"/>
  <c r="B59" i="43"/>
  <c r="A59" i="43"/>
  <c r="B57" i="43"/>
  <c r="A57" i="43"/>
  <c r="B59" i="46"/>
  <c r="A59" i="46"/>
  <c r="B57" i="46"/>
  <c r="A57" i="46"/>
  <c r="B67" i="40"/>
  <c r="A67" i="40"/>
  <c r="P46" i="40"/>
  <c r="G66" i="40" s="1"/>
  <c r="L65"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c r="P49" i="40"/>
  <c r="P48" i="40"/>
  <c r="E67" i="40" s="1"/>
  <c r="P47" i="40"/>
  <c r="P45" i="40"/>
  <c r="P44" i="40"/>
  <c r="O25" i="48"/>
  <c r="P25" i="48"/>
  <c r="O24" i="48"/>
  <c r="O23" i="48"/>
  <c r="P23" i="48" s="1"/>
  <c r="AC22" i="48"/>
  <c r="O22" i="48"/>
  <c r="A30" i="48"/>
  <c r="P30" i="48"/>
  <c r="P57" i="41"/>
  <c r="P56" i="41"/>
  <c r="P55" i="41"/>
  <c r="P54" i="41"/>
  <c r="M80" i="41" s="1"/>
  <c r="E80" i="41"/>
  <c r="P53" i="41"/>
  <c r="P52" i="41"/>
  <c r="D79" i="41" s="1"/>
  <c r="P51" i="41"/>
  <c r="P50" i="41"/>
  <c r="P49" i="41"/>
  <c r="P48" i="41"/>
  <c r="P47" i="41"/>
  <c r="P46" i="41"/>
  <c r="K73" i="41" s="1"/>
  <c r="H73" i="41"/>
  <c r="P41" i="46"/>
  <c r="P39" i="46"/>
  <c r="P30" i="46"/>
  <c r="AC24" i="46"/>
  <c r="O23" i="46"/>
  <c r="P23" i="46"/>
  <c r="O22" i="46"/>
  <c r="AC22" i="43"/>
  <c r="P43" i="43"/>
  <c r="P42" i="43"/>
  <c r="E62" i="43" s="1"/>
  <c r="L62" i="43"/>
  <c r="P41" i="43"/>
  <c r="P40" i="43"/>
  <c r="P39" i="43"/>
  <c r="P38" i="43"/>
  <c r="H58" i="43" s="1"/>
  <c r="P30" i="43"/>
  <c r="O25" i="43"/>
  <c r="P25" i="43"/>
  <c r="O24" i="43"/>
  <c r="O23" i="43"/>
  <c r="P23" i="43"/>
  <c r="O22" i="43"/>
  <c r="D24" i="42"/>
  <c r="O24" i="42"/>
  <c r="P45" i="42"/>
  <c r="P44" i="42"/>
  <c r="H64" i="42" s="1"/>
  <c r="P38" i="42"/>
  <c r="P40" i="42"/>
  <c r="J59" i="42"/>
  <c r="P42" i="42"/>
  <c r="P43" i="42"/>
  <c r="P41" i="42"/>
  <c r="P39" i="42"/>
  <c r="P30" i="42"/>
  <c r="O23" i="42"/>
  <c r="P23" i="42" s="1"/>
  <c r="O22" i="42"/>
  <c r="W24" i="41"/>
  <c r="V24" i="41"/>
  <c r="R24" i="41"/>
  <c r="AC24" i="41"/>
  <c r="S24" i="41"/>
  <c r="T24" i="41"/>
  <c r="U24" i="41"/>
  <c r="P45" i="41"/>
  <c r="P44" i="41"/>
  <c r="F70" i="41" s="1"/>
  <c r="K70" i="41"/>
  <c r="P43" i="41"/>
  <c r="P42" i="41"/>
  <c r="P40" i="41"/>
  <c r="P39" i="41"/>
  <c r="P38" i="41"/>
  <c r="N65" i="41" s="1"/>
  <c r="J65" i="41"/>
  <c r="P30" i="41"/>
  <c r="O23" i="41"/>
  <c r="P23" i="41"/>
  <c r="AC22" i="41"/>
  <c r="O22" i="41"/>
  <c r="Y24" i="40"/>
  <c r="X24" i="40"/>
  <c r="W24" i="40"/>
  <c r="V24" i="40"/>
  <c r="U24" i="40"/>
  <c r="R24" i="40"/>
  <c r="AC24" i="40" s="1"/>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S37" i="37"/>
  <c r="S38" i="37"/>
  <c r="S39" i="37"/>
  <c r="R40" i="37"/>
  <c r="R37" i="37"/>
  <c r="R38" i="37"/>
  <c r="R39" i="37"/>
  <c r="AY39" i="37"/>
  <c r="AY58" i="37" s="1"/>
  <c r="AX39" i="37"/>
  <c r="AY38" i="37"/>
  <c r="AY37" i="37"/>
  <c r="AX38" i="37"/>
  <c r="AX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X32" i="37" s="1"/>
  <c r="AT14" i="36"/>
  <c r="AU14" i="36" s="1"/>
  <c r="AT15" i="36"/>
  <c r="AU15" i="36" s="1"/>
  <c r="AT16" i="36"/>
  <c r="AU16" i="36" s="1"/>
  <c r="AT17" i="36"/>
  <c r="AU17" i="36" s="1"/>
  <c r="AT18" i="36"/>
  <c r="AU18" i="36" s="1"/>
  <c r="AT19" i="36"/>
  <c r="AU19" i="36"/>
  <c r="AT13" i="36"/>
  <c r="AU13" i="36" s="1"/>
  <c r="O23" i="40"/>
  <c r="P23" i="40" s="1"/>
  <c r="T32" i="37"/>
  <c r="U32" i="37"/>
  <c r="V32" i="37"/>
  <c r="W32" i="37"/>
  <c r="X32" i="37"/>
  <c r="AZ32" i="37"/>
  <c r="BA32" i="37"/>
  <c r="BB32" i="37"/>
  <c r="BC32" i="37"/>
  <c r="BD32" i="37"/>
  <c r="BE32" i="37"/>
  <c r="O22" i="40"/>
  <c r="P43" i="40"/>
  <c r="P42" i="40"/>
  <c r="P41" i="40"/>
  <c r="P40" i="40"/>
  <c r="O59" i="40" s="1"/>
  <c r="P39" i="40"/>
  <c r="P38" i="40"/>
  <c r="G57" i="40" s="1"/>
  <c r="K57"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G79" i="41"/>
  <c r="N68" i="40"/>
  <c r="O67" i="40"/>
  <c r="J67" i="40"/>
  <c r="M67" i="40"/>
  <c r="F68" i="40"/>
  <c r="M68" i="40"/>
  <c r="E62" i="42"/>
  <c r="E57" i="48"/>
  <c r="F60" i="48"/>
  <c r="F64" i="48"/>
  <c r="F71" i="48" s="1"/>
  <c r="F72" i="48" s="1"/>
  <c r="F35" i="48" s="1"/>
  <c r="F68" i="48"/>
  <c r="J61" i="48"/>
  <c r="M59" i="48"/>
  <c r="L66" i="48"/>
  <c r="K67" i="48"/>
  <c r="H65" i="48"/>
  <c r="F57" i="48"/>
  <c r="F67" i="48"/>
  <c r="L60" i="48"/>
  <c r="D68" i="48"/>
  <c r="O59" i="48"/>
  <c r="O74" i="48" s="1"/>
  <c r="G60" i="48"/>
  <c r="M60" i="48"/>
  <c r="O60" i="48"/>
  <c r="I60" i="48"/>
  <c r="I68" i="48"/>
  <c r="K68" i="48"/>
  <c r="H59" i="48"/>
  <c r="I59" i="48"/>
  <c r="I67" i="48"/>
  <c r="O78" i="41"/>
  <c r="H78" i="41"/>
  <c r="F78" i="41"/>
  <c r="E78" i="41"/>
  <c r="K79" i="41"/>
  <c r="J78" i="41"/>
  <c r="F71" i="41"/>
  <c r="J58" i="43"/>
  <c r="E63" i="48"/>
  <c r="N64" i="48"/>
  <c r="I57" i="48"/>
  <c r="O58" i="48"/>
  <c r="L58" i="48"/>
  <c r="M68" i="48"/>
  <c r="E68" i="48"/>
  <c r="G68" i="48"/>
  <c r="H68" i="48"/>
  <c r="J68" i="48"/>
  <c r="L68" i="48"/>
  <c r="N68" i="48"/>
  <c r="O68" i="48"/>
  <c r="H83" i="41"/>
  <c r="N67" i="40"/>
  <c r="H67" i="40"/>
  <c r="E57" i="46"/>
  <c r="E68" i="46" s="1"/>
  <c r="D57" i="46"/>
  <c r="D59" i="46"/>
  <c r="D68" i="46" s="1"/>
  <c r="D69" i="46" s="1"/>
  <c r="D34" i="46" s="1"/>
  <c r="I72" i="41"/>
  <c r="E65" i="41"/>
  <c r="G82" i="41"/>
  <c r="E60" i="48"/>
  <c r="G67" i="48"/>
  <c r="D67" i="48"/>
  <c r="E67" i="48"/>
  <c r="H67" i="48"/>
  <c r="J67" i="48"/>
  <c r="L67" i="48"/>
  <c r="P67" i="48" s="1"/>
  <c r="R67" i="48" s="1"/>
  <c r="M67" i="48"/>
  <c r="N67" i="48"/>
  <c r="O67" i="48"/>
  <c r="H57" i="47"/>
  <c r="H68" i="47" s="1"/>
  <c r="H69" i="47"/>
  <c r="H34" i="47" s="1"/>
  <c r="J57" i="47"/>
  <c r="J68" i="47" s="1"/>
  <c r="J69" i="47" s="1"/>
  <c r="J34" i="47" s="1"/>
  <c r="F57" i="47"/>
  <c r="F68" i="47" s="1"/>
  <c r="F69" i="47" s="1"/>
  <c r="F34" i="47"/>
  <c r="L57" i="47"/>
  <c r="L68" i="47" s="1"/>
  <c r="L69" i="47" s="1"/>
  <c r="L34" i="47" s="1"/>
  <c r="H58" i="47"/>
  <c r="H65" i="47" s="1"/>
  <c r="H66" i="47" s="1"/>
  <c r="H35" i="47" s="1"/>
  <c r="K68" i="47"/>
  <c r="K69" i="47" s="1"/>
  <c r="K34" i="47" s="1"/>
  <c r="L58" i="47"/>
  <c r="L65" i="47"/>
  <c r="L66" i="47"/>
  <c r="L35" i="47" s="1"/>
  <c r="N69" i="48"/>
  <c r="L57" i="43"/>
  <c r="H60" i="48"/>
  <c r="H64" i="48"/>
  <c r="D60" i="48"/>
  <c r="N59" i="48"/>
  <c r="F66" i="40"/>
  <c r="J59" i="48"/>
  <c r="J60" i="48"/>
  <c r="O64" i="41"/>
  <c r="O62" i="42"/>
  <c r="H63" i="48"/>
  <c r="D62" i="48"/>
  <c r="M64" i="48"/>
  <c r="D64" i="48"/>
  <c r="E64" i="48"/>
  <c r="G64" i="48"/>
  <c r="J64" i="48"/>
  <c r="K64" i="48"/>
  <c r="L64" i="48"/>
  <c r="O64" i="48"/>
  <c r="F63" i="48"/>
  <c r="G62" i="48"/>
  <c r="M62" i="48"/>
  <c r="F73" i="41"/>
  <c r="I63" i="48"/>
  <c r="O61" i="48"/>
  <c r="G63" i="48"/>
  <c r="N63" i="48"/>
  <c r="O63" i="48"/>
  <c r="O75" i="48"/>
  <c r="O34" i="48" s="1"/>
  <c r="O57" i="48"/>
  <c r="O65" i="48"/>
  <c r="L63" i="48"/>
  <c r="L59" i="48"/>
  <c r="L61" i="48"/>
  <c r="L65" i="48"/>
  <c r="D63" i="48"/>
  <c r="O65" i="40"/>
  <c r="J63" i="48"/>
  <c r="O57" i="43"/>
  <c r="H57" i="46"/>
  <c r="I61" i="42"/>
  <c r="M66" i="40"/>
  <c r="F64" i="41"/>
  <c r="K67" i="40"/>
  <c r="I68" i="40"/>
  <c r="H68" i="40"/>
  <c r="D68" i="40"/>
  <c r="E68" i="40"/>
  <c r="L68" i="40"/>
  <c r="L67" i="40"/>
  <c r="D67" i="40"/>
  <c r="I61" i="48"/>
  <c r="O62" i="48"/>
  <c r="J62" i="48"/>
  <c r="P62" i="48" s="1"/>
  <c r="H62" i="48"/>
  <c r="F59" i="48"/>
  <c r="F74" i="48" s="1"/>
  <c r="F75" i="48" s="1"/>
  <c r="F34" i="48" s="1"/>
  <c r="E59" i="48"/>
  <c r="H61" i="48"/>
  <c r="N61" i="48"/>
  <c r="N65" i="48"/>
  <c r="H66" i="40"/>
  <c r="H58" i="48"/>
  <c r="J57" i="48"/>
  <c r="L62" i="48"/>
  <c r="G61" i="48"/>
  <c r="P61" i="48" s="1"/>
  <c r="R61" i="48" s="1"/>
  <c r="I78" i="41"/>
  <c r="D57" i="47"/>
  <c r="N57" i="47"/>
  <c r="N68" i="47" s="1"/>
  <c r="N69" i="47" s="1"/>
  <c r="N34" i="47" s="1"/>
  <c r="O57" i="47"/>
  <c r="O68" i="47" s="1"/>
  <c r="O69" i="47" s="1"/>
  <c r="O34" i="47" s="1"/>
  <c r="E62" i="48"/>
  <c r="K62" i="48"/>
  <c r="F61" i="48"/>
  <c r="F62" i="48"/>
  <c r="I58" i="42"/>
  <c r="I71" i="42" s="1"/>
  <c r="I72" i="42" s="1"/>
  <c r="I35" i="42" s="1"/>
  <c r="D61" i="48"/>
  <c r="E61" i="48"/>
  <c r="E81" i="41"/>
  <c r="F81" i="41"/>
  <c r="G66" i="48"/>
  <c r="H66" i="48"/>
  <c r="N62" i="48"/>
  <c r="M61" i="48"/>
  <c r="J58" i="47"/>
  <c r="J65" i="47" s="1"/>
  <c r="J66" i="47"/>
  <c r="J35" i="47" s="1"/>
  <c r="I62" i="48"/>
  <c r="G62" i="42"/>
  <c r="E61" i="42"/>
  <c r="K58" i="43"/>
  <c r="G58" i="43"/>
  <c r="J57" i="46"/>
  <c r="O57" i="46"/>
  <c r="F57" i="46"/>
  <c r="L57" i="46"/>
  <c r="L68" i="46" s="1"/>
  <c r="L69" i="46" s="1"/>
  <c r="L34" i="46" s="1"/>
  <c r="N72" i="41"/>
  <c r="H72" i="41"/>
  <c r="P72" i="41" s="1"/>
  <c r="R72" i="41" s="1"/>
  <c r="I59" i="46"/>
  <c r="E59" i="46"/>
  <c r="N59" i="46"/>
  <c r="K59" i="46"/>
  <c r="K63" i="42"/>
  <c r="D63" i="42"/>
  <c r="L59" i="46"/>
  <c r="H59" i="46"/>
  <c r="O59" i="46"/>
  <c r="G59" i="46"/>
  <c r="G57" i="46"/>
  <c r="G68" i="46" s="1"/>
  <c r="G69" i="46" s="1"/>
  <c r="G34" i="46" s="1"/>
  <c r="M65" i="48"/>
  <c r="E66" i="48"/>
  <c r="D66" i="48"/>
  <c r="K66" i="48"/>
  <c r="J65" i="48"/>
  <c r="J69" i="48"/>
  <c r="I65" i="48"/>
  <c r="J66" i="48"/>
  <c r="M66" i="48"/>
  <c r="G65" i="48"/>
  <c r="F65" i="48"/>
  <c r="F69" i="48"/>
  <c r="E65" i="48"/>
  <c r="D65" i="48"/>
  <c r="N66" i="48"/>
  <c r="I70" i="48"/>
  <c r="D69" i="48"/>
  <c r="M69" i="48"/>
  <c r="O70" i="48"/>
  <c r="D70" i="48"/>
  <c r="N70" i="48"/>
  <c r="M70" i="48"/>
  <c r="F58" i="48"/>
  <c r="D58" i="48"/>
  <c r="D71" i="48"/>
  <c r="D72" i="48" s="1"/>
  <c r="H57" i="48"/>
  <c r="J58" i="48"/>
  <c r="I58" i="48"/>
  <c r="I71" i="48" s="1"/>
  <c r="I72" i="48" s="1"/>
  <c r="I35" i="48" s="1"/>
  <c r="K58" i="48"/>
  <c r="D57" i="48"/>
  <c r="G57" i="48"/>
  <c r="M57" i="48"/>
  <c r="K57" i="48"/>
  <c r="G58" i="48"/>
  <c r="M58" i="48"/>
  <c r="E58" i="48"/>
  <c r="E58" i="47"/>
  <c r="E65" i="47"/>
  <c r="E66" i="47" s="1"/>
  <c r="E35" i="47" s="1"/>
  <c r="G57" i="47"/>
  <c r="G68" i="47" s="1"/>
  <c r="G69" i="47" s="1"/>
  <c r="G34" i="47" s="1"/>
  <c r="D58" i="47"/>
  <c r="N58" i="47"/>
  <c r="N65" i="47"/>
  <c r="N66" i="47" s="1"/>
  <c r="N35" i="47" s="1"/>
  <c r="F58" i="47"/>
  <c r="F65" i="47" s="1"/>
  <c r="F66" i="47" s="1"/>
  <c r="F35" i="47" s="1"/>
  <c r="M58" i="47"/>
  <c r="M65" i="47" s="1"/>
  <c r="M66" i="47"/>
  <c r="M35" i="47" s="1"/>
  <c r="I58" i="47"/>
  <c r="I65" i="47"/>
  <c r="I66" i="47" s="1"/>
  <c r="I35" i="47" s="1"/>
  <c r="O58" i="47"/>
  <c r="O65" i="47" s="1"/>
  <c r="O66" i="47" s="1"/>
  <c r="O35" i="47" s="1"/>
  <c r="K58" i="47"/>
  <c r="K65" i="47" s="1"/>
  <c r="K66" i="47"/>
  <c r="K35" i="47" s="1"/>
  <c r="G58" i="47"/>
  <c r="G65" i="47"/>
  <c r="G66" i="47" s="1"/>
  <c r="G35" i="47" s="1"/>
  <c r="M57" i="47"/>
  <c r="M68" i="47" s="1"/>
  <c r="M69" i="47" s="1"/>
  <c r="M34" i="47" s="1"/>
  <c r="I57" i="47"/>
  <c r="I68" i="47" s="1"/>
  <c r="I69" i="47" s="1"/>
  <c r="I34" i="47" s="1"/>
  <c r="E57" i="47"/>
  <c r="E68" i="47"/>
  <c r="E69" i="47" s="1"/>
  <c r="E34" i="47" s="1"/>
  <c r="F65" i="40"/>
  <c r="D65" i="40"/>
  <c r="I65" i="40"/>
  <c r="J65" i="40"/>
  <c r="E65" i="40"/>
  <c r="O66" i="40"/>
  <c r="N66" i="40"/>
  <c r="H65" i="40"/>
  <c r="E25" i="41"/>
  <c r="F25" i="41" s="1"/>
  <c r="R23" i="47"/>
  <c r="S23" i="47"/>
  <c r="N83" i="41"/>
  <c r="E64" i="41"/>
  <c r="L72" i="41"/>
  <c r="M73" i="41"/>
  <c r="I82" i="41"/>
  <c r="H67" i="41"/>
  <c r="E82" i="41"/>
  <c r="J83" i="41"/>
  <c r="G57" i="43"/>
  <c r="D82" i="41"/>
  <c r="E57" i="43"/>
  <c r="H75" i="41"/>
  <c r="H57" i="43"/>
  <c r="G83" i="41"/>
  <c r="O75" i="41"/>
  <c r="F67" i="41"/>
  <c r="O24" i="40"/>
  <c r="H58" i="40"/>
  <c r="N57" i="43"/>
  <c r="E58" i="43"/>
  <c r="F58" i="43"/>
  <c r="F66" i="41"/>
  <c r="F64" i="42"/>
  <c r="H63" i="42"/>
  <c r="M63" i="42"/>
  <c r="M59" i="46"/>
  <c r="J59" i="46"/>
  <c r="J68" i="46" s="1"/>
  <c r="J69" i="46" s="1"/>
  <c r="J34" i="46" s="1"/>
  <c r="F59" i="46"/>
  <c r="F68" i="46"/>
  <c r="F69" i="46" s="1"/>
  <c r="F34" i="46" s="1"/>
  <c r="D74" i="41"/>
  <c r="E75" i="41"/>
  <c r="L79" i="41"/>
  <c r="D78" i="41"/>
  <c r="N79" i="41"/>
  <c r="K78" i="41"/>
  <c r="I79" i="41"/>
  <c r="K83" i="41"/>
  <c r="J82" i="41"/>
  <c r="G68" i="41"/>
  <c r="D62" i="42"/>
  <c r="K62" i="42"/>
  <c r="D58" i="43"/>
  <c r="I58" i="43"/>
  <c r="O58" i="43"/>
  <c r="F57" i="43"/>
  <c r="K59" i="48"/>
  <c r="K65" i="48"/>
  <c r="D59" i="48"/>
  <c r="K60" i="48"/>
  <c r="G59" i="48"/>
  <c r="N60" i="48"/>
  <c r="F66" i="48"/>
  <c r="P66" i="48" s="1"/>
  <c r="I66" i="48"/>
  <c r="H70" i="48"/>
  <c r="D64" i="41"/>
  <c r="L64" i="41"/>
  <c r="O65" i="41"/>
  <c r="L73" i="41"/>
  <c r="N73" i="41"/>
  <c r="G72" i="41"/>
  <c r="J73" i="41"/>
  <c r="D72" i="41"/>
  <c r="J72" i="41"/>
  <c r="J81" i="41"/>
  <c r="R23" i="40"/>
  <c r="S23" i="40" s="1"/>
  <c r="R23" i="43"/>
  <c r="T23" i="46"/>
  <c r="D25" i="42"/>
  <c r="I70" i="41"/>
  <c r="G71" i="41"/>
  <c r="L70" i="41"/>
  <c r="D58" i="42"/>
  <c r="I57" i="42"/>
  <c r="N64" i="42"/>
  <c r="M57" i="46"/>
  <c r="M68" i="46" s="1"/>
  <c r="M69" i="46"/>
  <c r="M34" i="46" s="1"/>
  <c r="N57" i="46"/>
  <c r="K81" i="41"/>
  <c r="D81" i="41"/>
  <c r="L80" i="41"/>
  <c r="H81" i="41"/>
  <c r="J66" i="40"/>
  <c r="M65" i="40"/>
  <c r="I66" i="40"/>
  <c r="D66" i="40"/>
  <c r="E66" i="40"/>
  <c r="L66" i="40"/>
  <c r="N65" i="40"/>
  <c r="H68" i="46"/>
  <c r="H69" i="46" s="1"/>
  <c r="H34" i="46"/>
  <c r="I63" i="42"/>
  <c r="I64" i="42"/>
  <c r="G63" i="42"/>
  <c r="M60" i="40"/>
  <c r="G80" i="41"/>
  <c r="N66" i="41"/>
  <c r="G65" i="40"/>
  <c r="L81" i="41"/>
  <c r="G81" i="41"/>
  <c r="F74" i="41"/>
  <c r="K75" i="41"/>
  <c r="H66" i="41"/>
  <c r="D66" i="41"/>
  <c r="J66" i="41"/>
  <c r="M67" i="41"/>
  <c r="L63" i="42"/>
  <c r="D64" i="42"/>
  <c r="I57" i="46"/>
  <c r="O66" i="41"/>
  <c r="J80" i="41"/>
  <c r="K66" i="40"/>
  <c r="M59" i="40"/>
  <c r="D80" i="41"/>
  <c r="O80" i="41"/>
  <c r="I80" i="41"/>
  <c r="K57" i="46"/>
  <c r="K68" i="46" s="1"/>
  <c r="K64" i="41"/>
  <c r="K65" i="41"/>
  <c r="M57" i="43"/>
  <c r="K57" i="43"/>
  <c r="I57" i="43"/>
  <c r="D57" i="43"/>
  <c r="E79" i="41"/>
  <c r="N78" i="41"/>
  <c r="L78" i="41"/>
  <c r="G78" i="41"/>
  <c r="H79" i="41"/>
  <c r="M78" i="41"/>
  <c r="F83" i="41"/>
  <c r="E83" i="41"/>
  <c r="F82" i="41"/>
  <c r="O68" i="40"/>
  <c r="G68" i="40"/>
  <c r="F67" i="40"/>
  <c r="K68" i="40"/>
  <c r="J68" i="40"/>
  <c r="G67" i="40"/>
  <c r="D71" i="41"/>
  <c r="G70" i="41"/>
  <c r="E70" i="41"/>
  <c r="I65" i="41"/>
  <c r="G65" i="41"/>
  <c r="P65" i="41" s="1"/>
  <c r="M65" i="41"/>
  <c r="M64" i="41"/>
  <c r="M72" i="41"/>
  <c r="G64" i="41"/>
  <c r="L65" i="41"/>
  <c r="F65" i="41"/>
  <c r="N64" i="41"/>
  <c r="H65" i="41"/>
  <c r="J64" i="41"/>
  <c r="D65" i="41"/>
  <c r="I59" i="40"/>
  <c r="K66" i="41"/>
  <c r="J63" i="42"/>
  <c r="E67" i="41"/>
  <c r="F62" i="42"/>
  <c r="N63" i="42"/>
  <c r="E72" i="41"/>
  <c r="D73" i="41"/>
  <c r="G61" i="42"/>
  <c r="P61" i="42" s="1"/>
  <c r="R61" i="42" s="1"/>
  <c r="L66" i="41"/>
  <c r="F63" i="42"/>
  <c r="J64" i="42"/>
  <c r="K64" i="42"/>
  <c r="G64" i="42"/>
  <c r="G66" i="41"/>
  <c r="F72" i="41"/>
  <c r="I73" i="41"/>
  <c r="K72" i="41"/>
  <c r="O72" i="41"/>
  <c r="O67" i="41"/>
  <c r="E73" i="41"/>
  <c r="K61" i="42"/>
  <c r="O73" i="41"/>
  <c r="M70" i="41"/>
  <c r="J71" i="41"/>
  <c r="E59" i="40"/>
  <c r="J59" i="40"/>
  <c r="L59" i="40"/>
  <c r="H60" i="40"/>
  <c r="H71" i="41"/>
  <c r="L58" i="40"/>
  <c r="L71" i="40" s="1"/>
  <c r="L72" i="40" s="1"/>
  <c r="L35" i="40" s="1"/>
  <c r="E71" i="41"/>
  <c r="K71" i="41"/>
  <c r="L71" i="41"/>
  <c r="M71" i="41"/>
  <c r="N71" i="41"/>
  <c r="O71" i="41"/>
  <c r="D60" i="40"/>
  <c r="M69" i="41"/>
  <c r="F68" i="41"/>
  <c r="J68" i="41"/>
  <c r="E60" i="40"/>
  <c r="E71" i="40" s="1"/>
  <c r="E72" i="40" s="1"/>
  <c r="E35" i="40" s="1"/>
  <c r="H70" i="41"/>
  <c r="I68" i="41"/>
  <c r="H63" i="40"/>
  <c r="L57" i="40"/>
  <c r="O69" i="41"/>
  <c r="J57" i="40"/>
  <c r="D70" i="41"/>
  <c r="J60" i="40"/>
  <c r="D68" i="41"/>
  <c r="N69" i="41"/>
  <c r="F69" i="41"/>
  <c r="O70" i="41"/>
  <c r="N57" i="40"/>
  <c r="N74" i="40" s="1"/>
  <c r="N75" i="40" s="1"/>
  <c r="N34" i="40" s="1"/>
  <c r="J70" i="41"/>
  <c r="N60" i="40"/>
  <c r="M68" i="41"/>
  <c r="O68" i="41"/>
  <c r="L68" i="41"/>
  <c r="I58" i="40"/>
  <c r="M58" i="40"/>
  <c r="J58" i="40"/>
  <c r="F58" i="40"/>
  <c r="O58" i="40"/>
  <c r="O71" i="40" s="1"/>
  <c r="O72" i="40" s="1"/>
  <c r="O35" i="40" s="1"/>
  <c r="M57" i="40"/>
  <c r="F57" i="40"/>
  <c r="D57" i="40"/>
  <c r="O57" i="40"/>
  <c r="O74" i="40" s="1"/>
  <c r="G58" i="40"/>
  <c r="N58" i="40"/>
  <c r="E57" i="40"/>
  <c r="H57" i="40"/>
  <c r="K58" i="40"/>
  <c r="E69" i="46"/>
  <c r="E34" i="46" s="1"/>
  <c r="E58" i="40"/>
  <c r="E25" i="40"/>
  <c r="AY32" i="37"/>
  <c r="F59" i="42"/>
  <c r="I60" i="42"/>
  <c r="I68" i="46"/>
  <c r="I69" i="46" s="1"/>
  <c r="T23" i="40"/>
  <c r="K59" i="43"/>
  <c r="H59" i="43"/>
  <c r="E59" i="43"/>
  <c r="I59" i="43"/>
  <c r="O60" i="43"/>
  <c r="L59" i="43"/>
  <c r="E60" i="43"/>
  <c r="E65" i="43" s="1"/>
  <c r="E66" i="43" s="1"/>
  <c r="E35" i="43" s="1"/>
  <c r="H60" i="43"/>
  <c r="L60" i="43"/>
  <c r="I81" i="41"/>
  <c r="E66" i="41"/>
  <c r="O74" i="41"/>
  <c r="O87" i="41" s="1"/>
  <c r="O88" i="41" s="1"/>
  <c r="K80" i="41"/>
  <c r="G62" i="43"/>
  <c r="M64" i="42"/>
  <c r="O81" i="41"/>
  <c r="E63" i="42"/>
  <c r="H80" i="41"/>
  <c r="N80" i="41"/>
  <c r="F75" i="41"/>
  <c r="H62" i="43"/>
  <c r="J62" i="43"/>
  <c r="E64" i="42"/>
  <c r="N62" i="43"/>
  <c r="M74" i="41"/>
  <c r="I34" i="46"/>
  <c r="I76" i="41"/>
  <c r="N77" i="41"/>
  <c r="J77" i="41"/>
  <c r="D76" i="41"/>
  <c r="N76" i="41"/>
  <c r="M76" i="41"/>
  <c r="O77" i="41"/>
  <c r="F76" i="41"/>
  <c r="G76" i="41"/>
  <c r="H76" i="41"/>
  <c r="K76" i="41"/>
  <c r="E77" i="41"/>
  <c r="L76" i="41"/>
  <c r="O76" i="41"/>
  <c r="E76" i="41"/>
  <c r="F77" i="41"/>
  <c r="L77" i="41"/>
  <c r="K77" i="41"/>
  <c r="I77" i="41"/>
  <c r="H77" i="41"/>
  <c r="G77" i="41"/>
  <c r="O63" i="40"/>
  <c r="E63" i="40"/>
  <c r="I63" i="40"/>
  <c r="K64" i="40"/>
  <c r="D63" i="40"/>
  <c r="G64" i="40"/>
  <c r="N63" i="40"/>
  <c r="L63" i="40"/>
  <c r="G63" i="40"/>
  <c r="G74" i="40" s="1"/>
  <c r="G75" i="40" s="1"/>
  <c r="G34" i="40" s="1"/>
  <c r="E64" i="40"/>
  <c r="I64" i="40"/>
  <c r="D64" i="40"/>
  <c r="O64" i="40"/>
  <c r="M64" i="40"/>
  <c r="N64" i="40"/>
  <c r="P64" i="40" s="1"/>
  <c r="M63" i="40"/>
  <c r="F64" i="40"/>
  <c r="L64" i="40"/>
  <c r="K63" i="40"/>
  <c r="H64" i="40"/>
  <c r="J63" i="40"/>
  <c r="M77" i="41"/>
  <c r="E61" i="40"/>
  <c r="E74" i="40"/>
  <c r="E75" i="40"/>
  <c r="E34" i="40" s="1"/>
  <c r="D62" i="40"/>
  <c r="K61" i="40"/>
  <c r="M62" i="40"/>
  <c r="M71" i="40" s="1"/>
  <c r="M72" i="40" s="1"/>
  <c r="M35" i="40" s="1"/>
  <c r="F61" i="40"/>
  <c r="H62" i="40"/>
  <c r="H71" i="40"/>
  <c r="H72" i="40"/>
  <c r="H35" i="40"/>
  <c r="G61" i="40"/>
  <c r="F62" i="40"/>
  <c r="J62" i="40"/>
  <c r="I62" i="40"/>
  <c r="O61" i="40"/>
  <c r="O75" i="40"/>
  <c r="O34" i="40" s="1"/>
  <c r="N61" i="40"/>
  <c r="O62" i="40"/>
  <c r="G62" i="40"/>
  <c r="K62" i="40"/>
  <c r="I61" i="40"/>
  <c r="D61" i="40"/>
  <c r="H61" i="40"/>
  <c r="J61" i="40"/>
  <c r="J74" i="40"/>
  <c r="J75" i="40" s="1"/>
  <c r="J34" i="40" s="1"/>
  <c r="N62" i="40"/>
  <c r="N71" i="40" s="1"/>
  <c r="N72" i="40" s="1"/>
  <c r="N35" i="40" s="1"/>
  <c r="E62" i="40"/>
  <c r="I62" i="43"/>
  <c r="P62" i="43" s="1"/>
  <c r="K61" i="43"/>
  <c r="G61" i="43"/>
  <c r="O61" i="43"/>
  <c r="M61" i="43"/>
  <c r="L61" i="43"/>
  <c r="P61" i="43" s="1"/>
  <c r="R61" i="43" s="1"/>
  <c r="F62" i="43"/>
  <c r="O62" i="43"/>
  <c r="E61" i="43"/>
  <c r="K62" i="43"/>
  <c r="F61" i="43"/>
  <c r="H61" i="43"/>
  <c r="I61" i="43"/>
  <c r="D61" i="43"/>
  <c r="L62" i="40"/>
  <c r="L60" i="42"/>
  <c r="K59" i="42"/>
  <c r="K69" i="46"/>
  <c r="K34" i="46" s="1"/>
  <c r="P57" i="46"/>
  <c r="R57" i="46" s="1"/>
  <c r="N61" i="43"/>
  <c r="J61" i="43"/>
  <c r="E60" i="42"/>
  <c r="J76" i="41"/>
  <c r="G25" i="41"/>
  <c r="H25" i="41"/>
  <c r="I25" i="41" s="1"/>
  <c r="H71" i="48"/>
  <c r="H72" i="48" s="1"/>
  <c r="H35" i="48" s="1"/>
  <c r="F63" i="40"/>
  <c r="D59" i="42"/>
  <c r="M59" i="42"/>
  <c r="M60" i="42"/>
  <c r="O59" i="42"/>
  <c r="L59" i="42"/>
  <c r="K60" i="42"/>
  <c r="N60" i="42"/>
  <c r="E59" i="42"/>
  <c r="H59" i="42"/>
  <c r="J60" i="42"/>
  <c r="G59" i="42"/>
  <c r="D60" i="42"/>
  <c r="P60" i="42" s="1"/>
  <c r="D71" i="42"/>
  <c r="D72" i="42" s="1"/>
  <c r="F60" i="42"/>
  <c r="I59" i="42"/>
  <c r="N59" i="42"/>
  <c r="O60" i="42"/>
  <c r="G60" i="42"/>
  <c r="D77" i="41"/>
  <c r="P77" i="41" s="1"/>
  <c r="H60" i="42"/>
  <c r="D62" i="43"/>
  <c r="P68" i="40"/>
  <c r="J64" i="40"/>
  <c r="L61" i="40"/>
  <c r="L74" i="40"/>
  <c r="L75" i="40" s="1"/>
  <c r="L34" i="40" s="1"/>
  <c r="M61" i="40"/>
  <c r="M74" i="40" s="1"/>
  <c r="M75" i="40" s="1"/>
  <c r="M34" i="40" s="1"/>
  <c r="P59" i="46"/>
  <c r="M62" i="43"/>
  <c r="O68" i="46"/>
  <c r="O69" i="46" s="1"/>
  <c r="O34" i="46" s="1"/>
  <c r="P57" i="47"/>
  <c r="P68" i="47" s="1"/>
  <c r="D68" i="47"/>
  <c r="D69" i="47" s="1"/>
  <c r="S23" i="48"/>
  <c r="D74" i="48"/>
  <c r="L67" i="41"/>
  <c r="K67" i="41"/>
  <c r="N67" i="41"/>
  <c r="I66" i="41"/>
  <c r="D67" i="41"/>
  <c r="G67" i="41"/>
  <c r="I67" i="41"/>
  <c r="J67" i="41"/>
  <c r="M66" i="41"/>
  <c r="L60" i="40"/>
  <c r="K60" i="40"/>
  <c r="F60" i="40"/>
  <c r="F71" i="40" s="1"/>
  <c r="F72" i="40" s="1"/>
  <c r="F35" i="40" s="1"/>
  <c r="H59" i="40"/>
  <c r="G59" i="40"/>
  <c r="F59" i="40"/>
  <c r="F74" i="40" s="1"/>
  <c r="F75" i="40" s="1"/>
  <c r="F34" i="40" s="1"/>
  <c r="D59" i="40"/>
  <c r="I60" i="40"/>
  <c r="I71" i="40" s="1"/>
  <c r="I72" i="40" s="1"/>
  <c r="I35" i="40" s="1"/>
  <c r="K59" i="40"/>
  <c r="N59" i="40"/>
  <c r="O60" i="40"/>
  <c r="G60" i="40"/>
  <c r="G71" i="40" s="1"/>
  <c r="G72" i="40" s="1"/>
  <c r="G35" i="40" s="1"/>
  <c r="K68" i="41"/>
  <c r="G69" i="41"/>
  <c r="L69" i="41"/>
  <c r="J69" i="41"/>
  <c r="H69" i="41"/>
  <c r="H84" i="41" s="1"/>
  <c r="H85" i="41" s="1"/>
  <c r="H35" i="41" s="1"/>
  <c r="E69" i="41"/>
  <c r="K69" i="41"/>
  <c r="N68" i="41"/>
  <c r="I69" i="41"/>
  <c r="D69" i="41"/>
  <c r="H68" i="41"/>
  <c r="E68" i="41"/>
  <c r="L62" i="42"/>
  <c r="P62" i="42" s="1"/>
  <c r="O61" i="42"/>
  <c r="F61" i="42"/>
  <c r="J61" i="42"/>
  <c r="D61" i="42"/>
  <c r="H61" i="42"/>
  <c r="N62" i="42"/>
  <c r="L61" i="42"/>
  <c r="M62" i="42"/>
  <c r="H62" i="42"/>
  <c r="M61" i="42"/>
  <c r="N61" i="42"/>
  <c r="J62" i="42"/>
  <c r="I62" i="42"/>
  <c r="K82" i="41"/>
  <c r="N82" i="41"/>
  <c r="I83" i="41"/>
  <c r="P83" i="41" s="1"/>
  <c r="D83" i="41"/>
  <c r="H82" i="41"/>
  <c r="P82" i="41" s="1"/>
  <c r="M83" i="41"/>
  <c r="L82" i="41"/>
  <c r="O83" i="41"/>
  <c r="L83" i="41"/>
  <c r="M82" i="41"/>
  <c r="O82" i="41"/>
  <c r="O34" i="41"/>
  <c r="E70" i="48"/>
  <c r="P70" i="48" s="1"/>
  <c r="K70" i="48"/>
  <c r="G69" i="48"/>
  <c r="G74" i="48"/>
  <c r="G75" i="48" s="1"/>
  <c r="G34" i="48" s="1"/>
  <c r="G70" i="48"/>
  <c r="G71" i="48"/>
  <c r="G72" i="48" s="1"/>
  <c r="G35" i="48" s="1"/>
  <c r="M58" i="46"/>
  <c r="H60" i="46"/>
  <c r="E58" i="46"/>
  <c r="S23" i="41"/>
  <c r="J70" i="48"/>
  <c r="E69" i="48"/>
  <c r="P69" i="48" s="1"/>
  <c r="R69" i="48" s="1"/>
  <c r="L69" i="48"/>
  <c r="K60" i="46"/>
  <c r="K65" i="46"/>
  <c r="K66" i="46" s="1"/>
  <c r="K35" i="46" s="1"/>
  <c r="H58" i="46"/>
  <c r="H65" i="46"/>
  <c r="H66" i="46" s="1"/>
  <c r="H35" i="46" s="1"/>
  <c r="R23" i="41"/>
  <c r="T25" i="41"/>
  <c r="G25" i="46"/>
  <c r="O25" i="46" s="1"/>
  <c r="P25" i="46" s="1"/>
  <c r="T23" i="42"/>
  <c r="I69" i="48"/>
  <c r="I74" i="48" s="1"/>
  <c r="I75" i="48" s="1"/>
  <c r="I34" i="48" s="1"/>
  <c r="H69" i="48"/>
  <c r="H74" i="48"/>
  <c r="H75" i="48" s="1"/>
  <c r="H34" i="48" s="1"/>
  <c r="K69" i="48"/>
  <c r="N58" i="46"/>
  <c r="S23" i="42"/>
  <c r="L70" i="48"/>
  <c r="L71" i="48" s="1"/>
  <c r="L72" i="48" s="1"/>
  <c r="L35" i="48" s="1"/>
  <c r="F70" i="48"/>
  <c r="R25" i="42"/>
  <c r="T25" i="46"/>
  <c r="P62" i="40"/>
  <c r="P68" i="41"/>
  <c r="R68" i="41" s="1"/>
  <c r="J71" i="40"/>
  <c r="J72" i="40"/>
  <c r="J35" i="40" s="1"/>
  <c r="R57" i="47"/>
  <c r="P76" i="41"/>
  <c r="K84" i="41"/>
  <c r="K85" i="41" s="1"/>
  <c r="K35" i="41" s="1"/>
  <c r="T23" i="48"/>
  <c r="V23" i="48" s="1"/>
  <c r="U25" i="46"/>
  <c r="M87" i="41"/>
  <c r="M88" i="41" s="1"/>
  <c r="M34" i="41" s="1"/>
  <c r="U23" i="48"/>
  <c r="W23" i="48" s="1"/>
  <c r="P59" i="40" l="1"/>
  <c r="R59" i="40" s="1"/>
  <c r="H74" i="40"/>
  <c r="H75" i="40" s="1"/>
  <c r="H34" i="40" s="1"/>
  <c r="Q68" i="40"/>
  <c r="R68" i="40" s="1"/>
  <c r="R60" i="42"/>
  <c r="Q60" i="42"/>
  <c r="D35" i="48"/>
  <c r="T23" i="41"/>
  <c r="F87" i="41"/>
  <c r="F88" i="41" s="1"/>
  <c r="F34" i="41" s="1"/>
  <c r="Q70" i="48"/>
  <c r="R70" i="48"/>
  <c r="E84" i="41"/>
  <c r="E85" i="41" s="1"/>
  <c r="E35" i="41" s="1"/>
  <c r="Q66" i="48"/>
  <c r="R66" i="48" s="1"/>
  <c r="D35" i="42"/>
  <c r="P66" i="41"/>
  <c r="R66" i="41" s="1"/>
  <c r="D87" i="41"/>
  <c r="P69" i="47"/>
  <c r="D34" i="47"/>
  <c r="P34" i="47" s="1"/>
  <c r="Q62" i="42"/>
  <c r="R62" i="42"/>
  <c r="Q62" i="40"/>
  <c r="R62" i="40" s="1"/>
  <c r="P69" i="41"/>
  <c r="I74" i="42"/>
  <c r="I75" i="42" s="1"/>
  <c r="I34" i="42" s="1"/>
  <c r="K71" i="48"/>
  <c r="K72" i="48" s="1"/>
  <c r="K35" i="48" s="1"/>
  <c r="P60" i="48"/>
  <c r="Q62" i="48"/>
  <c r="R62" i="48"/>
  <c r="Q62" i="43"/>
  <c r="R62" i="43"/>
  <c r="U23" i="40"/>
  <c r="V23" i="40"/>
  <c r="W23" i="42"/>
  <c r="S25" i="42"/>
  <c r="T25" i="42"/>
  <c r="R59" i="46"/>
  <c r="P68" i="46"/>
  <c r="Q64" i="40"/>
  <c r="R64" i="40"/>
  <c r="Q65" i="41"/>
  <c r="R65" i="41" s="1"/>
  <c r="F25" i="40"/>
  <c r="G25" i="40"/>
  <c r="P59" i="48"/>
  <c r="R59" i="48" s="1"/>
  <c r="E57" i="42"/>
  <c r="E74" i="42" s="1"/>
  <c r="E75" i="42" s="1"/>
  <c r="E34" i="42" s="1"/>
  <c r="H57" i="42"/>
  <c r="H74" i="42" s="1"/>
  <c r="H75" i="42" s="1"/>
  <c r="H34" i="42" s="1"/>
  <c r="K57" i="42"/>
  <c r="K74" i="42" s="1"/>
  <c r="K75" i="42" s="1"/>
  <c r="K34" i="42" s="1"/>
  <c r="J58" i="42"/>
  <c r="J71" i="42" s="1"/>
  <c r="J72" i="42" s="1"/>
  <c r="J35" i="42" s="1"/>
  <c r="M57" i="42"/>
  <c r="M74" i="42" s="1"/>
  <c r="M75" i="42" s="1"/>
  <c r="M34" i="42" s="1"/>
  <c r="N58" i="42"/>
  <c r="N71" i="42" s="1"/>
  <c r="N72" i="42" s="1"/>
  <c r="N35" i="42" s="1"/>
  <c r="F57" i="42"/>
  <c r="F74" i="42" s="1"/>
  <c r="F75" i="42" s="1"/>
  <c r="F34" i="42" s="1"/>
  <c r="K58" i="42"/>
  <c r="K71" i="42" s="1"/>
  <c r="K72" i="42" s="1"/>
  <c r="K35" i="42" s="1"/>
  <c r="M58" i="42"/>
  <c r="M71" i="42" s="1"/>
  <c r="M72" i="42" s="1"/>
  <c r="M35" i="42" s="1"/>
  <c r="G58" i="42"/>
  <c r="G71" i="42" s="1"/>
  <c r="G72" i="42" s="1"/>
  <c r="G35" i="42" s="1"/>
  <c r="O58" i="42"/>
  <c r="O57" i="42"/>
  <c r="L58" i="42"/>
  <c r="L57" i="42"/>
  <c r="L74" i="42" s="1"/>
  <c r="L75" i="42" s="1"/>
  <c r="L34" i="42" s="1"/>
  <c r="N57" i="42"/>
  <c r="N74" i="42" s="1"/>
  <c r="N75" i="42" s="1"/>
  <c r="N34" i="42" s="1"/>
  <c r="E58" i="42"/>
  <c r="E71" i="42" s="1"/>
  <c r="E72" i="42" s="1"/>
  <c r="E35" i="42" s="1"/>
  <c r="H65" i="43"/>
  <c r="H66" i="43" s="1"/>
  <c r="H35" i="43" s="1"/>
  <c r="X23" i="48"/>
  <c r="Y23" i="48" s="1"/>
  <c r="P63" i="40"/>
  <c r="R63" i="40" s="1"/>
  <c r="P67" i="41"/>
  <c r="M71" i="48"/>
  <c r="M72" i="48" s="1"/>
  <c r="M35" i="48" s="1"/>
  <c r="J74" i="48"/>
  <c r="J75" i="48" s="1"/>
  <c r="J34" i="48" s="1"/>
  <c r="AX58" i="37"/>
  <c r="P61" i="40"/>
  <c r="R61" i="40" s="1"/>
  <c r="U23" i="42"/>
  <c r="N68" i="46"/>
  <c r="N69" i="46" s="1"/>
  <c r="H68" i="43"/>
  <c r="H69" i="43" s="1"/>
  <c r="H34" i="43" s="1"/>
  <c r="O71" i="48"/>
  <c r="O72" i="48" s="1"/>
  <c r="O35" i="48" s="1"/>
  <c r="S58" i="37"/>
  <c r="M60" i="43"/>
  <c r="G59" i="43"/>
  <c r="G68" i="43" s="1"/>
  <c r="G69" i="43" s="1"/>
  <c r="G34" i="43" s="1"/>
  <c r="N60" i="43"/>
  <c r="K60" i="43"/>
  <c r="K65" i="43" s="1"/>
  <c r="K66" i="43" s="1"/>
  <c r="K35" i="43" s="1"/>
  <c r="G60" i="43"/>
  <c r="G65" i="43" s="1"/>
  <c r="G66" i="43" s="1"/>
  <c r="G35" i="43" s="1"/>
  <c r="F60" i="43"/>
  <c r="J60" i="43"/>
  <c r="F59" i="43"/>
  <c r="F68" i="43" s="1"/>
  <c r="F69" i="43" s="1"/>
  <c r="F34" i="43" s="1"/>
  <c r="O59" i="43"/>
  <c r="O68" i="43" s="1"/>
  <c r="O69" i="43" s="1"/>
  <c r="O34" i="43" s="1"/>
  <c r="D60" i="43"/>
  <c r="I60" i="43"/>
  <c r="I65" i="43" s="1"/>
  <c r="I66" i="43" s="1"/>
  <c r="I35" i="43" s="1"/>
  <c r="N59" i="43"/>
  <c r="N68" i="43" s="1"/>
  <c r="N69" i="43" s="1"/>
  <c r="N34" i="43" s="1"/>
  <c r="D59" i="43"/>
  <c r="J59" i="43"/>
  <c r="M59" i="43"/>
  <c r="M68" i="43" s="1"/>
  <c r="M69" i="43" s="1"/>
  <c r="M34" i="43" s="1"/>
  <c r="K71" i="40"/>
  <c r="K72" i="40" s="1"/>
  <c r="K35" i="40" s="1"/>
  <c r="R32" i="37"/>
  <c r="P60" i="40"/>
  <c r="E25" i="42"/>
  <c r="F25" i="42" s="1"/>
  <c r="O65" i="43"/>
  <c r="O66" i="43" s="1"/>
  <c r="O35" i="43" s="1"/>
  <c r="P78" i="41"/>
  <c r="R78" i="41" s="1"/>
  <c r="E68" i="43"/>
  <c r="E69" i="43" s="1"/>
  <c r="E34" i="43" s="1"/>
  <c r="T23" i="47"/>
  <c r="P64" i="48"/>
  <c r="S32" i="37"/>
  <c r="O65" i="46"/>
  <c r="O66" i="46" s="1"/>
  <c r="O35" i="46" s="1"/>
  <c r="D75" i="48"/>
  <c r="P66" i="40"/>
  <c r="U23" i="46"/>
  <c r="F65" i="43"/>
  <c r="F66" i="43" s="1"/>
  <c r="F35" i="43" s="1"/>
  <c r="L68" i="43"/>
  <c r="L69" i="43" s="1"/>
  <c r="L34" i="43" s="1"/>
  <c r="V25" i="46"/>
  <c r="V23" i="42"/>
  <c r="O25" i="41"/>
  <c r="P25" i="41" s="1"/>
  <c r="I68" i="43"/>
  <c r="I69" i="43" s="1"/>
  <c r="I34" i="43" s="1"/>
  <c r="J57" i="42"/>
  <c r="J74" i="42" s="1"/>
  <c r="J75" i="42" s="1"/>
  <c r="J34" i="42" s="1"/>
  <c r="S23" i="43"/>
  <c r="J65" i="43"/>
  <c r="J66" i="43" s="1"/>
  <c r="J35" i="43" s="1"/>
  <c r="H58" i="42"/>
  <c r="H71" i="42" s="1"/>
  <c r="H72" i="42" s="1"/>
  <c r="H35" i="42" s="1"/>
  <c r="E71" i="48"/>
  <c r="E72" i="48" s="1"/>
  <c r="E35" i="48" s="1"/>
  <c r="E74" i="41"/>
  <c r="E87" i="41" s="1"/>
  <c r="E88" i="41" s="1"/>
  <c r="E34" i="41" s="1"/>
  <c r="K74" i="41"/>
  <c r="K87" i="41" s="1"/>
  <c r="K88" i="41" s="1"/>
  <c r="K34" i="41" s="1"/>
  <c r="J75" i="41"/>
  <c r="J84" i="41" s="1"/>
  <c r="J85" i="41" s="1"/>
  <c r="J35" i="41" s="1"/>
  <c r="D75" i="41"/>
  <c r="P75" i="41" s="1"/>
  <c r="N74" i="41"/>
  <c r="M75" i="41"/>
  <c r="N75" i="41"/>
  <c r="N84" i="41" s="1"/>
  <c r="N85" i="41" s="1"/>
  <c r="N35" i="41" s="1"/>
  <c r="H74" i="41"/>
  <c r="J74" i="41"/>
  <c r="J87" i="41" s="1"/>
  <c r="J88" i="41" s="1"/>
  <c r="J34" i="41" s="1"/>
  <c r="L75" i="41"/>
  <c r="L84" i="41" s="1"/>
  <c r="L85" i="41" s="1"/>
  <c r="L35" i="41" s="1"/>
  <c r="L74" i="41"/>
  <c r="L87" i="41" s="1"/>
  <c r="L88" i="41" s="1"/>
  <c r="L34" i="41" s="1"/>
  <c r="G74" i="41"/>
  <c r="G87" i="41" s="1"/>
  <c r="G88" i="41" s="1"/>
  <c r="G34" i="41" s="1"/>
  <c r="I75" i="41"/>
  <c r="G75" i="41"/>
  <c r="P58" i="46"/>
  <c r="D57" i="42"/>
  <c r="D65" i="47"/>
  <c r="D66" i="47" s="1"/>
  <c r="P58" i="47"/>
  <c r="P68" i="48"/>
  <c r="N74" i="48"/>
  <c r="N75" i="48" s="1"/>
  <c r="N34" i="48" s="1"/>
  <c r="T25" i="47"/>
  <c r="K68" i="43"/>
  <c r="K69" i="43" s="1"/>
  <c r="K34" i="43" s="1"/>
  <c r="D74" i="40"/>
  <c r="G57" i="42"/>
  <c r="G74" i="42" s="1"/>
  <c r="G75" i="42" s="1"/>
  <c r="G34" i="42" s="1"/>
  <c r="J71" i="48"/>
  <c r="J72" i="48" s="1"/>
  <c r="J35" i="48" s="1"/>
  <c r="I65" i="46"/>
  <c r="I66" i="46" s="1"/>
  <c r="I35" i="46" s="1"/>
  <c r="U25" i="41"/>
  <c r="P59" i="42"/>
  <c r="R59" i="42" s="1"/>
  <c r="F58" i="42"/>
  <c r="F71" i="42" s="1"/>
  <c r="F72" i="42" s="1"/>
  <c r="F35" i="42" s="1"/>
  <c r="I74" i="41"/>
  <c r="P65" i="48"/>
  <c r="R65" i="48" s="1"/>
  <c r="E74" i="48"/>
  <c r="E75" i="48" s="1"/>
  <c r="E34" i="48" s="1"/>
  <c r="R58" i="37"/>
  <c r="K63" i="48"/>
  <c r="S25" i="43"/>
  <c r="J60" i="46"/>
  <c r="J65" i="46" s="1"/>
  <c r="J66" i="46" s="1"/>
  <c r="J35" i="46" s="1"/>
  <c r="G60" i="46"/>
  <c r="G65" i="46" s="1"/>
  <c r="G66" i="46" s="1"/>
  <c r="G35" i="46" s="1"/>
  <c r="S25" i="48"/>
  <c r="O60" i="46"/>
  <c r="F60" i="46"/>
  <c r="F65" i="46" s="1"/>
  <c r="F66" i="46" s="1"/>
  <c r="F35" i="46" s="1"/>
  <c r="E60" i="46"/>
  <c r="E65" i="46" s="1"/>
  <c r="E66" i="46" s="1"/>
  <c r="E35" i="46" s="1"/>
  <c r="N60" i="46"/>
  <c r="N65" i="46" s="1"/>
  <c r="N66" i="46" s="1"/>
  <c r="N35" i="46" s="1"/>
  <c r="D60" i="46"/>
  <c r="M60" i="46"/>
  <c r="M65" i="46" s="1"/>
  <c r="M66" i="46" s="1"/>
  <c r="M35" i="46" s="1"/>
  <c r="S25" i="40"/>
  <c r="W23" i="40"/>
  <c r="N58" i="43"/>
  <c r="N65" i="43" s="1"/>
  <c r="N66" i="43" s="1"/>
  <c r="N35" i="43" s="1"/>
  <c r="J79" i="41"/>
  <c r="M58" i="43"/>
  <c r="L58" i="43"/>
  <c r="L65" i="43" s="1"/>
  <c r="L66" i="43" s="1"/>
  <c r="L35" i="43" s="1"/>
  <c r="O64" i="42"/>
  <c r="G73" i="41"/>
  <c r="P73" i="41" s="1"/>
  <c r="I64" i="41"/>
  <c r="L57" i="48"/>
  <c r="L74" i="48" s="1"/>
  <c r="L75" i="48" s="1"/>
  <c r="L34" i="48" s="1"/>
  <c r="M79" i="41"/>
  <c r="M84" i="41" s="1"/>
  <c r="M85" i="41" s="1"/>
  <c r="M35" i="41" s="1"/>
  <c r="O63" i="42"/>
  <c r="P63" i="42" s="1"/>
  <c r="R63" i="42" s="1"/>
  <c r="J57" i="43"/>
  <c r="J68" i="43" s="1"/>
  <c r="J69" i="43" s="1"/>
  <c r="J34" i="43" s="1"/>
  <c r="M81" i="41"/>
  <c r="P81" i="41" s="1"/>
  <c r="I57" i="40"/>
  <c r="D58" i="40"/>
  <c r="N70" i="41"/>
  <c r="P70" i="41" s="1"/>
  <c r="R70" i="41" s="1"/>
  <c r="I71" i="41"/>
  <c r="I84" i="41" s="1"/>
  <c r="I85" i="41" s="1"/>
  <c r="I35" i="41" s="1"/>
  <c r="H64" i="41"/>
  <c r="I67" i="40"/>
  <c r="P67" i="40" s="1"/>
  <c r="R67" i="40" s="1"/>
  <c r="O79" i="41"/>
  <c r="O84" i="41" s="1"/>
  <c r="O85" i="41" s="1"/>
  <c r="O35" i="41" s="1"/>
  <c r="F80" i="41"/>
  <c r="P80" i="41" s="1"/>
  <c r="R80" i="41" s="1"/>
  <c r="L64" i="42"/>
  <c r="N81" i="41"/>
  <c r="F79" i="41"/>
  <c r="P79" i="41" s="1"/>
  <c r="K65" i="40"/>
  <c r="P65" i="40" s="1"/>
  <c r="R65" i="40" s="1"/>
  <c r="N58" i="48"/>
  <c r="N71" i="48" s="1"/>
  <c r="N72" i="48" s="1"/>
  <c r="N35" i="48" s="1"/>
  <c r="M63" i="48"/>
  <c r="M74" i="48" s="1"/>
  <c r="M75" i="48" s="1"/>
  <c r="M34" i="48" s="1"/>
  <c r="Q81" i="41" l="1"/>
  <c r="R81" i="41" s="1"/>
  <c r="Q73" i="41"/>
  <c r="R73" i="41" s="1"/>
  <c r="Q79" i="41"/>
  <c r="R79" i="41" s="1"/>
  <c r="D84" i="41"/>
  <c r="D85" i="41" s="1"/>
  <c r="D88" i="41"/>
  <c r="R66" i="40"/>
  <c r="Q66" i="40"/>
  <c r="L71" i="42"/>
  <c r="L72" i="42" s="1"/>
  <c r="L35" i="42" s="1"/>
  <c r="P35" i="42" s="1"/>
  <c r="P58" i="40"/>
  <c r="D71" i="40"/>
  <c r="D72" i="40" s="1"/>
  <c r="M65" i="43"/>
  <c r="M66" i="43" s="1"/>
  <c r="M35" i="43" s="1"/>
  <c r="V25" i="41"/>
  <c r="D34" i="48"/>
  <c r="P75" i="48"/>
  <c r="P57" i="43"/>
  <c r="P58" i="48"/>
  <c r="O74" i="42"/>
  <c r="O75" i="42" s="1"/>
  <c r="O34" i="42" s="1"/>
  <c r="Z23" i="48"/>
  <c r="AA23" i="48" s="1"/>
  <c r="AC23" i="48" s="1"/>
  <c r="AD23" i="48" s="1"/>
  <c r="P35" i="48"/>
  <c r="N87" i="41"/>
  <c r="N88" i="41" s="1"/>
  <c r="N34" i="41" s="1"/>
  <c r="P72" i="48"/>
  <c r="I25" i="40"/>
  <c r="O25" i="40" s="1"/>
  <c r="P25" i="40" s="1"/>
  <c r="Q60" i="48"/>
  <c r="R60" i="48" s="1"/>
  <c r="P71" i="41"/>
  <c r="T23" i="43"/>
  <c r="U25" i="47"/>
  <c r="V25" i="47"/>
  <c r="P74" i="41"/>
  <c r="R74" i="41" s="1"/>
  <c r="Q64" i="48"/>
  <c r="R64" i="48"/>
  <c r="F84" i="41"/>
  <c r="F85" i="41" s="1"/>
  <c r="F35" i="41" s="1"/>
  <c r="K74" i="48"/>
  <c r="K75" i="48" s="1"/>
  <c r="K34" i="48" s="1"/>
  <c r="P63" i="48"/>
  <c r="R63" i="48" s="1"/>
  <c r="W25" i="46"/>
  <c r="N34" i="46"/>
  <c r="P34" i="46" s="1"/>
  <c r="P69" i="46"/>
  <c r="X23" i="40"/>
  <c r="Q69" i="41"/>
  <c r="R69" i="41" s="1"/>
  <c r="I25" i="42"/>
  <c r="H25" i="42"/>
  <c r="G25" i="42"/>
  <c r="Q60" i="40"/>
  <c r="R60" i="40"/>
  <c r="T25" i="43"/>
  <c r="U25" i="43" s="1"/>
  <c r="P65" i="47"/>
  <c r="R65" i="47" s="1"/>
  <c r="Q58" i="47"/>
  <c r="R58" i="47" s="1"/>
  <c r="X23" i="42"/>
  <c r="Y23" i="42" s="1"/>
  <c r="Z23" i="42" s="1"/>
  <c r="Q75" i="41"/>
  <c r="R75" i="41" s="1"/>
  <c r="T25" i="48"/>
  <c r="U25" i="48"/>
  <c r="O71" i="42"/>
  <c r="O72" i="42" s="1"/>
  <c r="O35" i="42" s="1"/>
  <c r="P58" i="43"/>
  <c r="Q68" i="48"/>
  <c r="R68" i="48"/>
  <c r="T25" i="40"/>
  <c r="D35" i="47"/>
  <c r="P35" i="47" s="1"/>
  <c r="P66" i="47"/>
  <c r="U23" i="47"/>
  <c r="K74" i="40"/>
  <c r="K75" i="40" s="1"/>
  <c r="K34" i="40" s="1"/>
  <c r="P59" i="43"/>
  <c r="R59" i="43" s="1"/>
  <c r="D68" i="43"/>
  <c r="D69" i="43" s="1"/>
  <c r="P64" i="42"/>
  <c r="I87" i="41"/>
  <c r="I88" i="41" s="1"/>
  <c r="I34" i="41" s="1"/>
  <c r="D65" i="46"/>
  <c r="D66" i="46" s="1"/>
  <c r="P60" i="46"/>
  <c r="D74" i="42"/>
  <c r="D75" i="42" s="1"/>
  <c r="P57" i="42"/>
  <c r="P57" i="48"/>
  <c r="R57" i="48" s="1"/>
  <c r="U25" i="42"/>
  <c r="U23" i="41"/>
  <c r="P74" i="40"/>
  <c r="D75" i="40"/>
  <c r="I74" i="40"/>
  <c r="I75" i="40" s="1"/>
  <c r="I34" i="40" s="1"/>
  <c r="P57" i="40"/>
  <c r="R57" i="40" s="1"/>
  <c r="P60" i="43"/>
  <c r="D65" i="43"/>
  <c r="D66" i="43" s="1"/>
  <c r="Q67" i="41"/>
  <c r="R67" i="41" s="1"/>
  <c r="H87" i="41"/>
  <c r="H88" i="41" s="1"/>
  <c r="H34" i="41" s="1"/>
  <c r="P64" i="41"/>
  <c r="R64" i="41" s="1"/>
  <c r="G84" i="41"/>
  <c r="G85" i="41" s="1"/>
  <c r="G35" i="41" s="1"/>
  <c r="Q58" i="46"/>
  <c r="R58" i="46" s="1"/>
  <c r="V23" i="46"/>
  <c r="P58" i="42"/>
  <c r="V25" i="43" l="1"/>
  <c r="P34" i="48"/>
  <c r="D34" i="43"/>
  <c r="P69" i="43"/>
  <c r="P34" i="43" s="1"/>
  <c r="P65" i="43"/>
  <c r="R65" i="43" s="1"/>
  <c r="Q58" i="43"/>
  <c r="R58" i="43" s="1"/>
  <c r="AA23" i="42"/>
  <c r="AC23" i="42" s="1"/>
  <c r="AD23" i="42" s="1"/>
  <c r="W25" i="43"/>
  <c r="K25" i="42"/>
  <c r="X25" i="46"/>
  <c r="Y25" i="46" s="1"/>
  <c r="W23" i="43"/>
  <c r="X25" i="41"/>
  <c r="W25" i="41"/>
  <c r="Y25" i="41" s="1"/>
  <c r="P74" i="48"/>
  <c r="V25" i="48"/>
  <c r="J25" i="42"/>
  <c r="V23" i="43"/>
  <c r="P72" i="42"/>
  <c r="Z25" i="46"/>
  <c r="AA25" i="46" s="1"/>
  <c r="D35" i="40"/>
  <c r="P35" i="40" s="1"/>
  <c r="P72" i="40"/>
  <c r="P87" i="41"/>
  <c r="V23" i="41"/>
  <c r="W23" i="41" s="1"/>
  <c r="Q58" i="40"/>
  <c r="R58" i="40" s="1"/>
  <c r="P71" i="40"/>
  <c r="R71" i="40" s="1"/>
  <c r="P88" i="41"/>
  <c r="D34" i="41"/>
  <c r="P34" i="41" s="1"/>
  <c r="Y23" i="40"/>
  <c r="Z23" i="40" s="1"/>
  <c r="P85" i="41"/>
  <c r="D35" i="41"/>
  <c r="P35" i="41" s="1"/>
  <c r="Q64" i="42"/>
  <c r="R64" i="42" s="1"/>
  <c r="P75" i="42"/>
  <c r="D34" i="42"/>
  <c r="P34" i="42" s="1"/>
  <c r="R71" i="41"/>
  <c r="Q71" i="41"/>
  <c r="P84" i="41"/>
  <c r="R84" i="41" s="1"/>
  <c r="V25" i="40"/>
  <c r="P74" i="42"/>
  <c r="R57" i="42"/>
  <c r="W25" i="48"/>
  <c r="X25" i="48" s="1"/>
  <c r="Q58" i="42"/>
  <c r="R58" i="42"/>
  <c r="P71" i="42"/>
  <c r="R71" i="42" s="1"/>
  <c r="D35" i="46"/>
  <c r="P35" i="46" s="1"/>
  <c r="P66" i="46"/>
  <c r="X25" i="47"/>
  <c r="X23" i="46"/>
  <c r="P66" i="43"/>
  <c r="P35" i="43" s="1"/>
  <c r="D35" i="43"/>
  <c r="U25" i="40"/>
  <c r="W23" i="46"/>
  <c r="U23" i="43"/>
  <c r="Q60" i="43"/>
  <c r="R60" i="43"/>
  <c r="Q60" i="46"/>
  <c r="R60" i="46"/>
  <c r="P65" i="46"/>
  <c r="R65" i="46" s="1"/>
  <c r="P75" i="40"/>
  <c r="D34" i="40"/>
  <c r="P34" i="40" s="1"/>
  <c r="W25" i="47"/>
  <c r="Q58" i="48"/>
  <c r="R58" i="48"/>
  <c r="P71" i="48"/>
  <c r="R71" i="48" s="1"/>
  <c r="V23" i="47"/>
  <c r="R57" i="43"/>
  <c r="P68" i="43"/>
  <c r="V25" i="42"/>
  <c r="AA23" i="40" l="1"/>
  <c r="AC23" i="40" s="1"/>
  <c r="AD23" i="40" s="1"/>
  <c r="X25" i="40"/>
  <c r="X25" i="43"/>
  <c r="X23" i="41"/>
  <c r="L25" i="42"/>
  <c r="M25" i="42" s="1"/>
  <c r="W25" i="42"/>
  <c r="Y25" i="47"/>
  <c r="W23" i="47"/>
  <c r="Y23" i="47" s="1"/>
  <c r="X23" i="47"/>
  <c r="Y25" i="48"/>
  <c r="AA25" i="48" s="1"/>
  <c r="X23" i="43"/>
  <c r="Z25" i="47"/>
  <c r="AA25" i="47" s="1"/>
  <c r="Z23" i="46"/>
  <c r="AA23" i="46" s="1"/>
  <c r="Y23" i="46"/>
  <c r="W25" i="40"/>
  <c r="Z25" i="41"/>
  <c r="AA25" i="41" s="1"/>
  <c r="AC25" i="46"/>
  <c r="AD25" i="46" s="1"/>
  <c r="Z25" i="48"/>
  <c r="Z23" i="47" l="1"/>
  <c r="Z23" i="43"/>
  <c r="AC23" i="47"/>
  <c r="AD23" i="47" s="1"/>
  <c r="AC25" i="48"/>
  <c r="AD25" i="48" s="1"/>
  <c r="AC25" i="47"/>
  <c r="AD25" i="47" s="1"/>
  <c r="AA23" i="43"/>
  <c r="Y23" i="43"/>
  <c r="AC25" i="41"/>
  <c r="AD25" i="41" s="1"/>
  <c r="X25" i="42"/>
  <c r="O25" i="42"/>
  <c r="P25" i="42" s="1"/>
  <c r="Y25" i="42"/>
  <c r="Z25" i="42" s="1"/>
  <c r="AC23" i="46"/>
  <c r="AD23" i="46" s="1"/>
  <c r="Y23" i="41"/>
  <c r="Z23" i="41" s="1"/>
  <c r="Y25" i="43"/>
  <c r="Y25" i="40"/>
  <c r="Z25" i="43" l="1"/>
  <c r="AA25" i="43" s="1"/>
  <c r="AC25" i="43" s="1"/>
  <c r="AD25" i="43" s="1"/>
  <c r="AA23" i="41"/>
  <c r="AC23" i="41" s="1"/>
  <c r="AD23" i="41" s="1"/>
  <c r="AD25" i="42"/>
  <c r="Z25" i="40"/>
  <c r="AA25" i="40" s="1"/>
  <c r="AC25" i="40" s="1"/>
  <c r="AD25" i="40" s="1"/>
  <c r="AC23" i="43"/>
  <c r="AD23"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000-000001000000}">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200-000001000000}">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6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7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300-000001000000}">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00000000-0006-0000-0300-000002000000}">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6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400-000001000000}">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00000000-0006-0000-05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2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3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5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6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00000000-0006-0000-06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2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3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7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<sst xmlns="http://schemas.openxmlformats.org/spreadsheetml/2006/main" count="2114" uniqueCount="602">
  <si>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</si>
  <si>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</si>
  <si>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</si>
  <si>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</si>
  <si>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</si>
  <si>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</si>
  <si>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</si>
  <si>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</si>
  <si>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</si>
  <si>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</si>
  <si>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</si>
  <si>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</si>
  <si>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</si>
  <si>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</si>
  <si>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</si>
  <si>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</si>
  <si>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</si>
  <si>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</si>
  <si>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</si>
  <si>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</si>
  <si>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</si>
  <si>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</si>
  <si>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Promoción de la igualdad, el desarrollo de capacidades y el reconocimiento de las mujeres.</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</si>
  <si>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</si>
  <si>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</si>
  <si>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</si>
  <si>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</si>
  <si>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</si>
  <si>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</si>
  <si>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</si>
  <si>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</si>
  <si>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</si>
  <si>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</si>
  <si>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</si>
  <si>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</si>
  <si>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</si>
  <si>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</si>
  <si>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</si>
  <si>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</si>
  <si>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</si>
  <si>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</si>
  <si>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</si>
  <si>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</si>
  <si>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</si>
  <si>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</si>
  <si>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</si>
  <si>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</si>
  <si>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</si>
  <si>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</si>
  <si>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</si>
  <si>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</si>
  <si>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</si>
  <si>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</si>
  <si>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</si>
  <si>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</si>
  <si>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</si>
  <si>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</si>
  <si>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</si>
  <si>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</si>
  <si>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</si>
  <si>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</si>
  <si>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</si>
  <si>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</si>
  <si>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</si>
  <si>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</si>
  <si>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</si>
  <si>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</si>
  <si>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</si>
  <si>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</si>
  <si>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</si>
  <si>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</si>
  <si>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</si>
  <si>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</si>
  <si>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</si>
  <si>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</si>
  <si>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</si>
  <si>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</si>
  <si>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</si>
  <si>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</si>
  <si>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</si>
  <si>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</si>
  <si>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</si>
  <si>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</si>
  <si>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</si>
  <si>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</si>
  <si>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</si>
  <si>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</si>
  <si>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</si>
  <si>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</si>
  <si>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</si>
  <si>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</si>
  <si>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</si>
  <si>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</si>
  <si>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</si>
  <si>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</si>
  <si>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</si>
  <si>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</si>
  <si>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</si>
  <si>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</si>
  <si>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</si>
  <si>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</si>
  <si>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</si>
  <si>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</si>
  <si>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</si>
  <si>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</si>
  <si>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</si>
  <si>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</si>
  <si>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</si>
  <si>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</si>
  <si>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</si>
  <si>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</si>
  <si>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r>
      <t>Desde la e</t>
    </r>
    <r>
      <rPr>
        <b/>
        <sz val="12"/>
        <rFont val="Times New Roman"/>
        <family val="1"/>
      </rPr>
      <t>strategia de empoderamiento</t>
    </r>
    <r>
      <rPr>
        <sz val="12"/>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2"/>
        <rFont val="Times New Roman"/>
        <family val="1"/>
      </rPr>
      <t xml:space="preserve">Estrategia de capacidades psicoemocionales </t>
    </r>
    <r>
      <rPr>
        <sz val="12"/>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2"/>
        <rFont val="Times New Roman"/>
        <family val="1"/>
      </rPr>
      <t xml:space="preserve">Estrategia de Cuidado Menstrual </t>
    </r>
    <r>
      <rPr>
        <sz val="12"/>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</si>
  <si>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</si>
  <si>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</si>
  <si>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</si>
  <si>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</si>
  <si>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</si>
  <si>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</si>
  <si>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</si>
  <si>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</si>
  <si>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</si>
  <si>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</si>
  <si>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</si>
  <si>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</si>
  <si>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</si>
  <si>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</si>
  <si>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</si>
  <si>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</si>
  <si>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</si>
  <si>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</si>
  <si>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			Promoción de la igualdad, el desarrollo de capacidades y el reconocimiento de las mujeres.</t>
  </si>
  <si>
    <t xml:space="preserve">Implementar una estrategia de educación flexible con enfoque diferencial.	</t>
  </si>
  <si>
    <t>Implementar una estrategia de educación flexible con enfoque diferencial.</t>
  </si>
  <si>
    <t>No presentan retrasos.</t>
  </si>
  <si>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</si>
  <si>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</si>
  <si>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</si>
  <si>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</si>
  <si>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</si>
  <si>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</si>
  <si>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</si>
  <si>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</si>
  <si>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</si>
  <si>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</si>
  <si>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</si>
  <si>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</si>
  <si>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</si>
  <si>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</si>
  <si>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</si>
  <si>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</si>
  <si>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</si>
  <si>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</si>
  <si>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</si>
  <si>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</si>
  <si>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</si>
  <si>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</si>
  <si>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</si>
  <si>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</si>
  <si>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</si>
  <si>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</si>
  <si>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</si>
  <si>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</si>
  <si>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</si>
  <si>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</si>
  <si>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</si>
  <si>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</si>
  <si>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</si>
  <si>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</si>
  <si>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</si>
  <si>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</si>
  <si>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</si>
  <si>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</si>
  <si>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</si>
  <si>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</si>
  <si>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</si>
  <si>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</si>
  <si>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</si>
  <si>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</si>
  <si>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</si>
  <si>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</si>
  <si>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</si>
  <si>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</si>
  <si>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</si>
  <si>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</si>
  <si>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</si>
  <si>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</si>
  <si>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</si>
  <si>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</si>
  <si>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</si>
  <si>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</si>
  <si>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</si>
  <si>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</si>
  <si>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</si>
  <si>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</si>
  <si>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</si>
  <si>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</si>
  <si>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</si>
  <si>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</si>
  <si>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</si>
  <si>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</si>
  <si>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</si>
  <si>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</si>
  <si>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</si>
  <si>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</si>
  <si>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</si>
  <si>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</si>
  <si>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</si>
  <si>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</si>
  <si>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</si>
  <si>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</si>
  <si>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</si>
  <si>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</si>
  <si>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</si>
  <si>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</si>
  <si>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</si>
  <si>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</si>
  <si>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</si>
  <si>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</si>
  <si>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</si>
  <si>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</si>
  <si>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</si>
  <si>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</si>
  <si>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</si>
  <si>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</si>
  <si>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</si>
  <si>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</si>
  <si>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</si>
  <si>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</si>
  <si>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</si>
  <si>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</si>
  <si>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</si>
  <si>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</si>
  <si>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Se presenta retraso en la meta.   </t>
  </si>
  <si>
    <t>Se continúa realizando búsqueda activa de las mujeres y promoviendo la participación en las acciones de las estrategias de la DED</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</si>
  <si>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</si>
  <si>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</si>
  <si>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</si>
  <si>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</si>
  <si>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</si>
  <si>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</si>
  <si>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</si>
  <si>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</si>
  <si>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</si>
  <si>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</si>
  <si>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</si>
  <si>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</si>
  <si>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</si>
  <si>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</si>
  <si>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</si>
  <si>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</si>
  <si>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</si>
  <si>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</si>
  <si>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</si>
  <si>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</si>
  <si>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</si>
  <si>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</si>
  <si>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</si>
  <si>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</si>
  <si>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</si>
  <si>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</si>
  <si>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</si>
  <si>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</si>
  <si>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</si>
  <si>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</si>
  <si>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</si>
  <si>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</si>
  <si>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</si>
  <si>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</si>
  <si>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</si>
  <si>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</si>
  <si>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</si>
  <si>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</si>
  <si>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</si>
  <si>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</si>
  <si>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</si>
  <si>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</si>
  <si>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</si>
  <si>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</si>
  <si>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</si>
  <si>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</si>
  <si>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</si>
  <si>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</si>
  <si>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</si>
  <si>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</si>
  <si>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</si>
  <si>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</si>
  <si>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</si>
  <si>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</si>
  <si>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</si>
  <si>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</si>
  <si>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</si>
  <si>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</si>
  <si>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</si>
  <si>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</si>
  <si>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</si>
  <si>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</si>
  <si>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</si>
  <si>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</si>
  <si>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</si>
  <si>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</si>
  <si>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</si>
  <si>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</si>
  <si>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</si>
  <si>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</si>
  <si>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</si>
  <si>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</si>
  <si>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</si>
  <si>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</si>
  <si>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</si>
  <si>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</si>
  <si>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</si>
  <si>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</si>
  <si>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</si>
  <si>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</si>
  <si>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</si>
  <si>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</si>
  <si>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</si>
  <si>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</si>
  <si>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</si>
  <si>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</si>
  <si>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</si>
  <si>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</si>
  <si>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</si>
  <si>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</si>
  <si>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</si>
  <si>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</si>
  <si>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</si>
  <si>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</si>
  <si>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</si>
  <si>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</si>
  <si>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</si>
  <si>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</si>
  <si>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</si>
  <si>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</si>
  <si>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</si>
  <si>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</si>
  <si>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</si>
  <si>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</si>
  <si>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</si>
  <si>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</si>
  <si>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</si>
  <si>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</si>
  <si>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</si>
  <si>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</si>
  <si>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</si>
  <si>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</si>
  <si>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</si>
  <si>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</si>
  <si>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</si>
  <si>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</si>
  <si>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</si>
  <si>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</si>
  <si>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</si>
  <si>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</si>
  <si>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</si>
  <si>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</si>
  <si>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</si>
  <si>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</si>
  <si>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</si>
  <si>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</si>
  <si>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</si>
  <si>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</si>
  <si>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</si>
  <si>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</si>
  <si>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</si>
  <si>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</si>
  <si>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</si>
  <si>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</si>
  <si>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</si>
  <si>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</si>
  <si>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</si>
  <si>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</si>
  <si>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</si>
  <si>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</si>
  <si>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</si>
  <si>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</si>
  <si>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</si>
  <si>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</si>
  <si>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</si>
  <si>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</si>
  <si>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</si>
  <si>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</si>
  <si>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</si>
  <si>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</si>
  <si>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</si>
  <si>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</si>
  <si>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</si>
  <si>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</si>
  <si>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</si>
  <si>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</si>
  <si>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</si>
  <si>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</si>
  <si>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</si>
  <si>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</si>
  <si>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</si>
  <si>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</si>
  <si>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</si>
  <si>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</si>
  <si>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</si>
  <si>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</si>
  <si>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</si>
  <si>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</si>
  <si>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</si>
  <si>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</si>
  <si>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</si>
  <si>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</si>
  <si>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</si>
  <si>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</si>
  <si>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</si>
  <si>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</si>
  <si>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</si>
  <si>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</si>
  <si>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</si>
  <si>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</si>
  <si>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</si>
  <si>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</si>
  <si>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</si>
  <si>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</si>
  <si>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</si>
  <si>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</si>
  <si>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</si>
  <si>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</si>
  <si>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</si>
  <si>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</si>
  <si>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</si>
  <si>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</si>
  <si>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</si>
  <si>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</si>
  <si>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</si>
  <si>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</si>
  <si>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</si>
  <si>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</si>
  <si>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</si>
  <si>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</si>
  <si>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</si>
  <si>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</si>
  <si>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</si>
  <si>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</si>
  <si>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</si>
  <si>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</si>
  <si>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</si>
  <si>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</si>
  <si>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</si>
  <si>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</si>
  <si>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</si>
  <si>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</si>
  <si>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</si>
  <si>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</si>
  <si>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</si>
  <si>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</si>
  <si>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</si>
  <si>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</si>
  <si>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</si>
  <si>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</si>
  <si>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</si>
  <si>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</si>
  <si>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</si>
  <si>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</si>
  <si>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</si>
  <si>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</si>
  <si>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</si>
  <si>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</si>
  <si>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</si>
  <si>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</si>
  <si>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</si>
  <si>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</si>
  <si>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</si>
  <si>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</si>
  <si>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</si>
  <si>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</si>
  <si>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</si>
  <si>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</si>
  <si>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</si>
  <si>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</si>
  <si>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</si>
  <si>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</si>
  <si>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</si>
  <si>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</si>
  <si>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</si>
  <si>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</si>
  <si>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</si>
  <si>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</si>
  <si>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</si>
  <si>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</si>
  <si>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</si>
  <si>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</si>
  <si>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</si>
  <si>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</si>
  <si>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</si>
  <si>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</si>
  <si>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</si>
  <si>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</si>
  <si>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</si>
  <si>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</si>
  <si>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</si>
  <si>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</si>
  <si>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</si>
  <si>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</si>
  <si>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</si>
  <si>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</si>
  <si>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</si>
  <si>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</si>
  <si>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</si>
  <si>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</si>
  <si>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</si>
  <si>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</si>
  <si>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</si>
  <si>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</si>
  <si>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</si>
  <si>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</si>
  <si>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</si>
  <si>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</si>
  <si>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</si>
  <si>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</si>
  <si>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</si>
  <si>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</si>
  <si>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</si>
  <si>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</si>
  <si>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</si>
  <si>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</si>
  <si>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</si>
  <si>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</si>
  <si>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</si>
  <si>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</si>
  <si>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</si>
  <si>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</si>
  <si>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</si>
  <si>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</si>
  <si>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</si>
  <si>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</si>
  <si>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No se presentaron retrasos</t>
  </si>
  <si>
    <t xml:space="preserve">No se presentaron retrasos </t>
  </si>
  <si>
    <t xml:space="preserve">Cargo: Subsecretaria del Cuidado y Políticas de Igualdad </t>
  </si>
  <si>
    <t>Nombre: Angie Mesa Rojas</t>
  </si>
  <si>
    <t>Se precisa que para el mes de septiembre se cumplió con la transversalización del enfoque diferencial con  los 15  sectores de la administración distrital: Salud, Desarrollo Económico, Hacienda, Jurídica, Seguridad Convivencia y Justicia, Mujeres, Ambiente, Gestión Pública, Movilidad, Cultura, Educación, Gobierno, Hábitat, Planeación e Integración Social.</t>
  </si>
  <si>
    <r>
      <t>Se precisa que para el mes de septiembre se cumplió con la transversalización del enfoque diferencial con los 15 sectores de la administración distrital:</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Gobierno, Hábitat, Planeación e Integración Social.</t>
    </r>
  </si>
  <si>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Durante el mes de agosto se asistió a la reunión convocada por la HC Maria Victoria Vargas en el Concejo de Bogotá en donde se expuso ante los ciudadanos de la localidad de Antonio Nariño todos los servicios disponibles de la SDMujer en dicha localidad. 
Durante el mes de septiembre la Dirección de Derechos y Diseño de Políticas avanzó en la elaboración del diagnóstico del Concejo de Bogotá en el marco del Sello de Igualdad, con el acompañamiento de la profesional de la SCPI que apoya en el Concejo de Bogotá. Dicho documento aún se encuentra en construcción por parte de dicha dirección: Se diligenció la lista de comprobación y se hizo una visita al Concejo en donde se recorrieron sus instalaciones. 
Durante el mes de octubre se preparó y se acompañó la sesión de la Comisión Legal de la Mujer del Congreso de la República en la manzana de cuidado de Lourdes en donde se presentaron los avances del Sistema de Cuidado. 
Durante el mes de noviembre se asistió al foro del 25N en el Concejo de Bogotá en donde la SDMujer intervino mencionando el aumento de servicios a las mujeres y la importancia de prevenir las violencias basadas en género desde toda la sociedad. Igualmente se preparó la presentación para la comisión legal de la mujer sobre violencias basadas en género y finalmente se asistió a la Audiencia Pública sobre VIH convocada por la Concejal Heidy Sánchez en donde la SDMujer intervino mencionando la relación entre el contagio del VIH y las violencias que enfrentan las mujeres. </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</si>
  <si>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Durante el mes de octubre se realizó solicitud al operador logísitico para el desarrollo de la Submesa de Género programada el día 26 de octubre,  Mesa Coordinadora y sesión ordinaria del Espacio Autónomo del CCM  programada el día 25 de octubre, garantizando los requerimientos de alimentación y sonido durante estas jornadas. 
Durante el mes de noviembre se realizó solicitud al operador logísitico para el desarrollo de la Submesa de Género programada el día 15 de noviembre y los siguientes espacios del Consejo Consultivo de Mujeres garantizando los requerimientos de alimentación y sonido durante estas jornadas:
-  Mesa Coordinadora extraordinaria del 8 de noviembre
- Fortalecimiento CCM espacio de reflexión y conexión con la naturaleza Jardín Botánico el 09 de noviembre
- Encuentro con Alcaldes y Alcaldesas Locales para el seguimiento al Pacto de Corresponsabilidad del 14 de noviembre
- Mesa Coordinadora ordinaria y Espacio Autónomo del 29 de noviembre.
Durante este mes, se realizó el 24 de noviembre la primera jornada de fortalecimiento al CCM, en la cual se abordaron temas relacionados con trabajo en equipo, resolución de conflictos, reconocimiento de liderazgos, los cuales fueron solicitados por la instancia. Para el desarrollo de esta jornada se garantizó el acompañamiento de una profesional del equipo de la Dirección de Territorialización de Derechos y Participación, quien realizó los talleres sobre estas temáticas, así mismo se dispuso un espacio para el desarrollo de las actividades y se cubrieron los requerimientos de alimentación y estación de café para la jornada.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</si>
  <si>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El 30 de agosto se llevó a cabo la Mesa Coordinadora y el Espacio Autónomo del Consejo Consultivo de Mujeres con el objetivo de revisar los avances en la actualización de la Agenda Distrital de las Mujeres y definir de manera preliminar la metodología para el desarrollo del Encuentro Distrital de Mujeres programado para el 14 de septiembre en Casa de Todas. 
El 14 de septiembre, se apoyó técnica y logísticamente al CCM,en el desarrollo del Encuentro Distrital de Mujeres liderado por el Espacio Autónomo de la instancia, en el cual las consejeras consultivas presentaron las propuestas para la actualización de la Agenda Distrital, con el objetivo de realizar un ejercicio de priorización por parte de las asistentes, por cada uno de los ocho derechos de la PPMyEG y el Sistema Distrital de Cuidado, y recoger aportes nuevos.
Durante este mes, la plenaria del CCM decidió no realizar la sesión de la Mesa Coordinadora, y solamente llevar a cabo el día 27 de septiembre la sesión del Espacio Autónomo, con el objetivo de continuar avanzando en la Actualización de la Agenda Distrital, y definir las acciones de incidencia y posicionamiento de la misma. Esta sesión fue acompañada por la Secretaría Técnica del CCM. 
El 25 de octubre se llevó a cabo la Mesa Coordinadora con el objetivo de presentar el segundo reporte de seguimiento a las solicitudes presentadas en el Espacio Ampliado del 7 de junio de 2023, el balance de la firma de Pactos en las Manzanas del Cuidado y un acercamiento a la evaluación del Sistema Distrital de Cuidado. 
De igual manera, el 25 de octubre el CCM realizó la sesión ordinaria de Espacio Autónomo, de acuerdo con la agenda definida por la plenaria. 
El 8 de noviembre se realizó una sesión extraordirnaria de la Mesa Coordinadora, en la cual se presentaron por parte de la Dirección de Derechos y Diseño de Políticas los 25 diagnósticos institucionales realizados en la primera fase del Sello de Igualdad.
El 29 de noviembre se realizó la sesión ordinaria de la Mesa Coordinaria en la cual se realizó un diálogo con la Directora de Territorialización de Derechos y Participación para abordar las situaciones identificadas en los territorios frente al relacionamiento con el equipo territorial de la SDMujer y definir oportunidades de mejora.
De igual manera, el 29 de noviembre  el CCM realizó la sesión ordinaria de Espacio Autónomo, de acuerdo con la agenda definida por la plenaria. 
</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</si>
  <si>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
El 16 de agosto se llevó  a cabo una reunión con la Dirección de Territorialización y la articulación del Consejo Consultivo de Mujeres, para hacer seguimiento a los compromisos relacionados con el diligenciamiento de las matrices locales solicitadas por la instancia, para recoger los aportes proyectados a la Agenda Distrital. 
El 23 de agosto se llevó a cabo una reunión con el equipo de comunicaciones de la SDMujer, para definir los apoyos requeridos en términos de información: solicitud de piezas para diviulgar el formulario elaborado por el Consejo Consultivo de Mujeres y el Encuentro Distrital del 14 de septiembre. Así mismo se acordaron los requerimientos necesarios para la elaboración de la plantilla de la Agenda Distrital de Mujeres.
El equipo de la Subsecretaría del Cuidado y Políticas de Igualdad, actualizó la información reportada por las Alcaldías Locales frente al seguimiento al Pacto de Corresponsabilidad con corte al 22 de agosto de 2023. 
El día 5 de septiembre, se llevó a cabo una reunión con el CCM,  la Dirección de Territorialización y el Equipo de la Escuela Lidera Par, con el objetivo de definir el apoyo y el acompañamiento técnico para fortalecer los conocimientos de las consejeras consultivas frente a la comunicación estratégica. 
El día 27 de octubre, se llevó a cabo una reunión con el CCM, el equipo de la Subsecretaría del Cuidado y Políticas de Igualdad y de la Dirección de Territorialización de Derechos y Participación, con el objetivo de presentar el balance del seguimiento al Pacto de Corresponsabilidad suscrito por la instancia con los alcaldes y alcaldesas locales.
Se presentó por parte de la SDMujer el ejercicio de sistematización y semaforización realizado a partir de la información reportada por las Alcaldías Locales, frente a las acciones adelantadas para dar cumplimiento a los 5 compromisos adquiridos, de igual manera se inició con la preparación para la sesión de seguimiento al Pacto de Corresponsabilidad programada para el mes de noviembre. 
El 8 de noviembre, en el marco de la sesión extraordinaria de la Mesa Coordinadora, se llevo a cabo un espacio con la Secretaría Distrital de Planeación en la cual se presento la Reglamentación de Ecourbanismo y Construcción Sostenible
El 14 de noviembre se realizó el seguimiento al Pacto de Corresponsabilidad suscrito entre el CCM y los alcaldes y alcaldesas locales, en la cual las consejeras consultivas presentaron el balance y seguimiento realizado a los 5 compromisos adquiridos en el marco de este pacto.
El 27 de noviembre, se llevó a cabo una reunión con la Secretaría Distrital de Gobierno, en la cual se presentó la estrategia de Constructores Locales en el marco de Presupuestos Participativos. 
El 29 de noviembre, en el marco de la sesión ordinaria la Mesa Coordinadora, se llevo a cabo un espacio con la Secretaría de Educación del Distrito, en la cual se presentaron las acciones adelantadas para atender los casos de violencias basadas en género en las instituciones educativas. </t>
  </si>
  <si>
    <t>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Los días 14, 18 y 28 de agosto se realizaron reuniones convocadas por el Espacio Autónomo del Consejo Consultivo de Mujeres, con el objetivo de revisar los avances en la actualización de la Agenda Distrital y definir las acciones a seguir. 
Los días 7, 8 y 11 de septiembre, se llevó a cabo con la Comisión de Comunicaciones las sesiones téorico prácticas sobre Comunicación Estratégica, realizadas por la Escuela Lidera Par de la Dirección de Territorialización. 
El día 18 de septiembre se llevó  a cabo una reunión con la Comisión de Ética, con el objetivo de avanzar con las actividades definidas por las consejeras consltivas que hacen parte de esta comisión. 
Los días 2, 17 y 24 de octubre  se llevaron a cabo reuniones  con la Comisión de Ética, con el objetivo de avanzar con la revisión de los lieamientos y el manual de ética propuestos para el CCM.  
El día 8 de noviembre se apoyó en la reunión convocada por el CCM para preparar la sesión de seguimiento al Pacto de Corresponsabilidad, en la cual se le presentaría a los Alcaldes y Alcaldesas Locales el balance del seguimiento al pacto. 
El día 17 de noviembre se apoyó en la reunión convocada por el CCM para preparar el encuentro previsto con concejalas y concejales electos para posicionar la Agenda Distrital de las Mujeres 2020-2024
El día 21 de noviembrese apoyó en la reunión convocada por el CCM para preparar  el evento de presentación del informe de gestión de la instancia correspondiente a la vigencia 2023</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</si>
  <si>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
Se realiza reunión extraordinaria del Decreto 053de 2023 el día 08 de julio de 2023 con los y las frimantes del Decreto y como invitadas permanente a la mesa.
Se realiza reunión ordinaria de la Submesa para la garantia de los derechos de las mujeres, diversidades, disidencias sexuales y de género el día 10 de agosto, con el fin de revisar el documento de recomdaciones del 8M día de la Mujer para llevarlo a la mesa extraordinaria del Decreto 053 de 2023.
Se realiza reunión extraordinaria del Decreto 053de 2023 el día 04 de septiembre de 2023 con los y las frimantes del Decreto y como invitadas permanente a la mesa, con el fin de revisar el reglamento interno y socializar documento de recomendaciones del 8M
Se realiza reunión ordinaria de la Submesa para la garantia de los derechos de las mujeres, diversidades, disidencias sexuales y de género el día 26 de septiembre, con el fin de revisar tecnica y logisticamente la movilización del día 28S denominado aborto libre, acompañado e interseccional
Se realiza reunión extraordinaria del Decreto 053de 2023 el día 09 de octubre de 2023 con los y las frimantes del Decreto y como invitadas permanente a la mesa, con el fin de realizar organización tecnica y logistica del partido UO
Se realiza reunión ordinaria de la Submesa para la garantia de los derechos de las mujeres, diversidades, disidencias sexuales y de género el día 26 de octubre, con el fin de realizar evalucación tecnica del 28S y trabajar sobre el directorio de VBG de las entidades y organizaciones dentro de la protesta social.
Se realiza reunión extraordinaria del Decreto 053de 2023 el día 23 de noviembre de 2023 con los y las firmantes del Decreto como invitadas permanentes a la mesa, con el fin de realizar convocatoria "Día de Eliminación de todo tipo de violencias contra las Mujeres"
Se realiza reunión ordinaria de la Submesa para la garantia de los derechos de las mujeres, diversidades, disidencias sexuales y de género el día 15 de noviembre, con el fin de realizar articulación institucional y con organizaciones sobre la movilización 25N y compromisos mesa octubre
Se realiza reunión extraordinaria del Decreto 053de 2023 el día 28 de noviembre de 2023 con los y las firmantes del Decreto como invitadas permanentes a la mesa, con el fin de realizar coordinación, seguimiento e implementación del Decreto para el segundo semestre del año 2023</t>
  </si>
  <si>
    <t xml:space="preserve">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
No se realizó PMU para el mes de agosto. No se hizo convocatoria a PMU, esto no depende de la SDMujer, ya que si no se requiere pues no hay movilizaciones programadas, no se convoca.
Se realiza el día 28 de septiembre PMU territorial por la marcha denominada aborto libre, acompañado e interseccional
No se realizó PMU para el mes de octubre. No se hizo convocatoria a PMU, esto no depende de la SDMujer, ya que si no se requiere pues no hay movilizaciones programadas, no se convoca.
Se realiza Puesto de Mando Unificado (PMU) de manera presecencial el 25 de noviembre día de eliminación de todo tipo de violencias contra las Mujeres en el Centro de Centro de  Comando, Control, Comunicaciones y Computo (C4)
</t>
  </si>
  <si>
    <t xml:space="preserve">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
Durante el mes de agosto se mantuvo contacto con profesional de la Secretaría Distrital de Gobierno, encargada del acompañamiento técnico al Consejo Distrtal de Juventud a través de correos electrónicos, se participó la sesión del Consejo Distrital de Juventud el día 26/08/2023 en donde se socializó la propuesta de acompañamiento técnico desde la SDMujer, posterior se envío correo electrónico con los compromisos de la sesión.
Se llevó a cabo mesa de trabajo el 18/08/2023 en donde se trabajó en la preparacion de la propuesta de acompañamiento para el Consejo Distrital Juventud, se elaboró PPT para socializar en la sesión con la instancia de participación distrital.
En el mes de septiembre, se realizó mesa de trabajo con la vicepresidenta y dos consejeras interesadas en temas de mujer y género del Consejo Distrital de Juventud el día 25/09/2023 en donde se socializó la propuesta de acompañamiento técnico desde la SDMujer, se acordó someter a votación la fecha para desarrollar la primera sesión del módulo "Hablemos de Paridad", por lo que se continua manteniendo contacto telefónico y por correo electrónico con la vicepresidenta de la instancia de participación para adelantar gestiones. 
En el mes de octubre se enviaron correos electrónicos a la vicepresidenta y dos consejeras interesadas en temas de mujer y género del Consejo Distrital de Juventud con la solicitud del espacio para desarrollar la primera sesión de sensibilización “Hablemos de Paridad” en articulación con la Estrategia Bogotá 50/50.
En el mes de noviembre se llevó a cabo sesión virtual con el Consejo Distrital de Juventud en el marco del acompañamiento técnico, el 01/11/23, se desarrolló el primer módulo Hablemos de Paridad de la estrategia Bogotá 50/50 en articulación con la Dirección de Territorialización de Derechos.
Se enviaron correos electrónicos al Consejo Distrital de Juventud con la solicitud del espacio para desarrollar la segunda sesión de sensibilización sobre "Estereotipos de género frente a la participación" en articulación con la estrategia Bogotá 50/50 de la Dirección de Territorialización de Derechos.
Se enviaron correos electrónicos con la invitación a la Audiencia Pública Rendición de Cuentas de la Secretaría Distrital de la Mujer Vigencia 2023, “Bogotá se la juega por las mujeres”. </t>
  </si>
  <si>
    <t>El día 6 de septiembre se llevó  a cabo una reunión con el Equipo de Corresponsabilidad, de la Subsecretaría del Cuidado y Políticas de Igualdad, en la que se definió la estrcutura del informe del cuatrienio, con el objetivo de presentar la información del acompañamiento realizado al CCM, el CTPD, la Submesa de Género y el Consejo Distrital de Juventud durante las vigencias 2020-2023
Durante este mes, se inició con la elaboración de este informe, presentando los avances hasta de las vigencias 2020 - 2022. 
En el mes de ocubbre se llevaron a cabo mesas de trabajo el 13 y 18 de octubre en donde se trabajó en la elaboración del informe de gestión del cuatrienio del equipo de promoción de la participación y representación de las mujeres. 
Se elaboró informe de gestión del cuatrienio del equipo de promoción de la participación y representación de las mujeres y se realizó la segunda entrega para revisión. 
Se llevó a cabo mesa de trabajo el 21 de noviembre en donde se realizaron los ajustes finales al informe de gestión del cuatrienio del equipo de promoción de la participación y representación de las mujeres. 
Durante este mes, el equipo de corresponsabilidad realizó la entrega final del   Informe Cuatrienal - Incorporación de los Enfoques de Derechos de las Mujeres, de Género y Diferencial para las Instancias de Participación Distrital  con el objetivo de la información del acompañamiento realizado al CCM, el CTPD, la Submesa de Género y el Consejo Distrital de Juventud durante las vigencias 2020-2023</t>
  </si>
  <si>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
Se llevó a cabo mesa de trabajo con las tres consejeras electas por el sector mujeres para el CTPD el día 17/08/23, se realizó seguimiento a los acuerdos frente al acompañamiento técnico para la instancia de participación, dandole fuerza a la socialización de la Caja de Herramentas y la firma del Pacto por la Paridad.
Se llevaron a cabo mesas de trabajo el 08/08/2023 para acordas detalles del espacio de fortalecimiento para las consejeras del CTPD y el 31/08/23 para preparar la intervención de la plenaria del CTPD. 
Se partició en el foro organizado por la Comisión de Participación del CTPD llevado a cabo el 26/08/2023, se participó en la plenaria del CTPD en donde se socializó la Caja de Herramentas y llegaron a acuerdos para la firma del Pacto por la Paridad.
Se envío correo electrónico al CTPD y las tres consejeras electas por el sector mujeres con la invitación a la capacitación de la plataforma SECOP II, la cual se llevó a cabo el 09/07/2023.
Se enviaron correos electrónicos a la instancia de participación con los compromisos por parte de la SDMujer.
Se elaboró PPT sobre la Caja de Herramientas y se ajustó el documento del Pacto por la Paridad.
En el mes de septiembre se participó del evento de firma del Pacto por la Paridad del CTPD el día 14/09/23 en las instalaciones de la SDPlaneación.
Se llevaron a cabo mesas de trabajo el 07/09/2023 para ajustar los bullets para la firma del Pacto por la Paridad, el 11/09/2023 para revisar los comentarios de la OAJ sobre el documento del Pacto por la Paridad y el 25/09/2023 para proyectar el plan de acción del Pacto por la Paridad. 
Se realizó recorrido por la CIOM Kennedy el 29/09/2023 para preparar la jornada de fortalecimiento de las mujeres del CTPD.
Se envío correo electrónico al CTPD, las tres consejeras electas por el sector mujeres y la SDPlaneación con la entrega oficial de la Caja de Herramientas Pedagógicas y el documento del Pacto por la Paridad.
Se ajustó el documento del Pacto por la Paridad teniendo en cuenta las indicaciones de la abogada de la SCPI y la OAJ.
Se llevó a cabo mesa de trabajo el 08/11/2023 para revisar la propuesta de sensibilizaciones proyectadas para el seguimiento del Pacto de Paridad del CTPD en articulación con la Dirección de Territorialización de Derechos.  
Se llevó a cabo mesa de trabajo el 23/11/2023 para revisar la proyección del oficio de respuesta a la SDPlaneación sobre el proceso eleccionario para cubrir las 4  vacancias del CTPD.
Se llevó a cabo mesa de trabajo el 27/11/2023 para revisar la documentación y alistamiento sobre el proceso eleccionario para cubrir las 4  vacancias del CTPD.
Se llevó a cabo mesa de trabajo el 30/11/2023 para gestionar apoyo de comunicaciones en el proceso eleccionario para cubrir las 4  vacancias del CTPD.
Se enviaron correos electrónicos a la SDPlaneación con la solicitud del acta de acta de la sesión del Pacto por la Paridad firmado por el CTPD.
Se enviaron correos electrónicos con la proyección del oficio de respuesta a la SDPlaneación sobre el proceso eleccionario del CTPD.
Se enviaron correos electrónicos con la invitación a la Audiencia Pública Rendición de Cuentas de la Secretaría Distrital de la Mujer Vigencia 2023, “Bogotá se la juega por las mujeres”. 
Se elaboró la primera versión de los documentos de alistamiento del proceso eleccionario para cubrir las 4 vacancias del CTPD.</t>
  </si>
  <si>
    <r>
      <rPr>
        <b/>
        <sz val="12"/>
        <rFont val="Times New Roman"/>
        <family val="1"/>
      </rPr>
      <t>Enero:</t>
    </r>
    <r>
      <rPr>
        <sz val="12"/>
        <rFont val="Times New Roman"/>
        <family val="1"/>
      </rPr>
      <t xml:space="preserve">No se programó
</t>
    </r>
    <r>
      <rPr>
        <b/>
        <sz val="12"/>
        <rFont val="Times New Roman"/>
        <family val="1"/>
      </rPr>
      <t>Febrero:</t>
    </r>
    <r>
      <rPr>
        <sz val="12"/>
        <rFont val="Times New Roman"/>
        <family val="1"/>
      </rPr>
      <t>Reuniones de planeación de semilleros para grupos poblacionales</t>
    </r>
    <r>
      <rPr>
        <b/>
        <sz val="12"/>
        <rFont val="Times New Roman"/>
        <family val="1"/>
      </rPr>
      <t xml:space="preserve">
Marzo:</t>
    </r>
    <r>
      <rPr>
        <sz val="12"/>
        <rFont val="Times New Roman"/>
        <family val="1"/>
      </rPr>
      <t xml:space="preserve">Semilleros con: Niñas Afro Usme (33 personas), Niñas Afro Engativá (27 personas), Adolescentes y jóvenes Palenqueras ( 14 personas), Jóvenes Raizales (9 personas), adolescentes Colegio Juan Rey Grado 701 (30 personas) Grado 702 (29 personas) .Se realizaron 4 jornadas significativas en el Colegio Juan Rey en los grados transición, tercero, sexto y once (69 personas). 
</t>
    </r>
    <r>
      <rPr>
        <b/>
        <sz val="12"/>
        <rFont val="Times New Roman"/>
        <family val="1"/>
      </rPr>
      <t>Abril:</t>
    </r>
    <r>
      <rPr>
        <sz val="12"/>
        <rFont val="Times New Roman"/>
        <family val="1"/>
      </rPr>
      <t xml:space="preserve">Semillero de empoderamiento con mujeres que realizan ASP (14 personas) y se realizó sesión de semillero  con adolescentes de los grados séptimo del Colegio Juan Rey (59 personas). 
</t>
    </r>
    <r>
      <rPr>
        <b/>
        <sz val="12"/>
        <rFont val="Times New Roman"/>
        <family val="1"/>
      </rPr>
      <t>Mayo:</t>
    </r>
    <r>
      <rPr>
        <sz val="12"/>
        <rFont val="Times New Roman"/>
        <family val="1"/>
      </rPr>
      <t xml:space="preserve">Tercera sesión de semillero con los grados séptimos del Colegio Juan Rey (61 personas). Se llevó a cabo la primera sesión de semillero con el grado 501 del Colegio Juan Rey (35) participantes. Y se realizaron dos semilleros con los  grados 301  y 404 del Colegio Juan Rey de tres sesiones cada uno (62 personas).
</t>
    </r>
    <r>
      <rPr>
        <b/>
        <sz val="12"/>
        <rFont val="Times New Roman"/>
        <family val="1"/>
      </rPr>
      <t>Junio:</t>
    </r>
    <r>
      <rPr>
        <sz val="12"/>
        <rFont val="Times New Roman"/>
        <family val="1"/>
      </rPr>
      <t xml:space="preserve">Segunda y tercera sesión con el grado 501 del Colegio Juan Rey  (35) participantes. 
</t>
    </r>
    <r>
      <rPr>
        <b/>
        <sz val="12"/>
        <rFont val="Times New Roman"/>
        <family val="1"/>
      </rPr>
      <t>Julio:</t>
    </r>
    <r>
      <rPr>
        <sz val="12"/>
        <rFont val="Times New Roman"/>
        <family val="1"/>
      </rPr>
      <t xml:space="preserve">Semillero con estudiantes del grado 502 del Colegio Juan Rey (31 personas). Se realizó una jornada significativa con mujeres jóvenes (5 personas).
</t>
    </r>
    <r>
      <rPr>
        <b/>
        <sz val="12"/>
        <rFont val="Times New Roman"/>
        <family val="1"/>
      </rPr>
      <t>Agosto:</t>
    </r>
    <r>
      <rPr>
        <sz val="12"/>
        <rFont val="Times New Roman"/>
        <family val="1"/>
      </rPr>
      <t xml:space="preserve">Semillero con mujeres Palenqueras (20 personas) y  4 jornadas siginificativas con estudiantes de grado décimo del Colegio Juan Rey (45 personas).
</t>
    </r>
    <r>
      <rPr>
        <b/>
        <sz val="12"/>
        <rFont val="Times New Roman"/>
        <family val="1"/>
      </rPr>
      <t>Septiembre:</t>
    </r>
    <r>
      <rPr>
        <sz val="12"/>
        <rFont val="Times New Roman"/>
        <family val="1"/>
      </rPr>
      <t xml:space="preserve">Semillero con Gitanas (29 personas), tres semilleros con Indígenas (112 personas), tres jornadas significativas UNINPAHU (61 personas) y una jornada significativa adolescentes PPPIIA (63 personas).
</t>
    </r>
    <r>
      <rPr>
        <b/>
        <sz val="12"/>
        <rFont val="Times New Roman"/>
        <family val="1"/>
      </rPr>
      <t>Octubre:</t>
    </r>
    <r>
      <rPr>
        <sz val="12"/>
        <rFont val="Times New Roman"/>
        <family val="1"/>
      </rPr>
      <t xml:space="preserve">1 jornada significativa con mujeres sordas (9 personas).
</t>
    </r>
    <r>
      <rPr>
        <b/>
        <sz val="12"/>
        <rFont val="Times New Roman"/>
        <family val="1"/>
      </rPr>
      <t>Noviembre:</t>
    </r>
    <r>
      <rPr>
        <sz val="12"/>
        <rFont val="Times New Roman"/>
        <family val="1"/>
      </rPr>
      <t>1 semillero de empoderamiento con jóvenes de IDIPRON (25 personas),</t>
    </r>
    <r>
      <rPr>
        <b/>
        <sz val="12"/>
        <rFont val="Times New Roman"/>
        <family val="1"/>
      </rPr>
      <t xml:space="preserve"> </t>
    </r>
    <r>
      <rPr>
        <sz val="12"/>
        <rFont val="Times New Roman"/>
        <family val="1"/>
      </rPr>
      <t>2 jornadas significativas IDIPRON ( 37 personas), 1 jornada mujeres campesinas (6 personas), 1 jornada jóvenes UNINPAHU (17 personas)</t>
    </r>
  </si>
  <si>
    <r>
      <t xml:space="preserve">Durante </t>
    </r>
    <r>
      <rPr>
        <b/>
        <sz val="12"/>
        <rFont val="Times New Roman"/>
        <family val="1"/>
      </rPr>
      <t>enero</t>
    </r>
    <r>
      <rPr>
        <sz val="12"/>
        <rFont val="Times New Roman"/>
        <family val="1"/>
      </rPr>
      <t xml:space="preserve"> a </t>
    </r>
    <r>
      <rPr>
        <b/>
        <sz val="12"/>
        <rFont val="Times New Roman"/>
        <family val="1"/>
      </rPr>
      <t>noviembre</t>
    </r>
    <r>
      <rPr>
        <sz val="12"/>
        <rFont val="Times New Roman"/>
        <family val="1"/>
      </rPr>
      <t>, se hicieron reuniones para alianzas con ICFES, BID y Agencia Atenea en el marco de la implementación de la Estrategia de Educación Flexible (EEF). Se inició contrato interadministrativo con ICFES, bienvenida e inducción con 105 mujeres, 12 jornadas de fortalecimiento, simulacro de Pruebas Saber 11 y convocatoria para presentación de estas Pruebas. Se hizo 3 talleres con el ICFES, 2 virtual asistencia de 77 mujeres y 1 presencial 20 mujeres. Se cuenta con un documento de los 3 grupos focales sobre barreras de acceso. Se finalizó caracterización de 186 mujeres de la EEF y se incorporó el Manual de Inclusión en caja de herramientas de la DED. Se enviaron 129 resultados de las Pruebas Saber 11 y se realizaron 2 mesas técnicas del contrato interadministrativo con el ICFES para avanzar en el informe final comparativo 2021, 2022 y 2023. Se realizaron 2 Ferias de Educación Superior, así: La primera con participación de 27 instituciones y 179 mujeres, para un total de 248 participantes y la segunda con la participación de 75 mujeres, 16 universidades, 3 entidades que financian matriculas, entre ellas el ICETEX, 8 funcionarios de SDMujer y 2 de Alcaldía de La Candelaria,  para un total de 129 participantes. Se continuó articulación con ACNUR para apoyo económico a 10 mujeres en Casa de Todas que participan en EF, en 1 semestre se graduaron 4 mujeres ASP y se evaluaron las lecciones aprendidas del pilotaje, y en 2 semestre se finalizó el ciclo de EF en Casa de Todas con la graduación de</t>
    </r>
    <r>
      <rPr>
        <b/>
        <sz val="12"/>
        <color rgb="FF00B050"/>
        <rFont val="Times New Roman"/>
        <family val="1"/>
      </rPr>
      <t xml:space="preserve"> </t>
    </r>
    <r>
      <rPr>
        <sz val="12"/>
        <rFont val="Times New Roman"/>
        <family val="1"/>
      </rPr>
      <t>10</t>
    </r>
    <r>
      <rPr>
        <b/>
        <sz val="12"/>
        <color rgb="FF00B050"/>
        <rFont val="Times New Roman"/>
        <family val="1"/>
      </rPr>
      <t xml:space="preserve"> </t>
    </r>
    <r>
      <rPr>
        <sz val="12"/>
        <rFont val="Times New Roman"/>
        <family val="1"/>
      </rPr>
      <t xml:space="preserve">mujeres ASP. Se articuló con la Dirección de Gestión del Conocimiento (DGC) y se envió la inscripción con 119 mujeres a 3 cursos inglés con el SENA, siendo 1 con campesinas y rurales, se certificaron 36 mujeres. Se realizaron los ajustes solicitados al Manual de Inclusión de Educación Superior por parte de la DGC y se envió a la directora de Enfoque Diferencial. Se articuló con Atenea para Programa Jóvenes a la U y Makaia para becas en Programación.  </t>
    </r>
  </si>
  <si>
    <t xml:space="preserve">La Estrategia de Educación Flexible permite la reducción de las barreras de acceso al derecho a la educación de las mujeres en sus diferencias y diversidad. </t>
  </si>
  <si>
    <r>
      <t>Durante febrero, se realizó articulación con el ICFES para contrato interadministrativo Pruebas Saber 11. se realizó estudios previos. Durante marzo se solicitó cotización para ICFES, se realizó una reunión de empalme de la Estrategia con la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convocó y seleccionó docentes para jornadas de fortalecimiento Pruebas Saber 11. Durante mayo, se firmó contrato inter administrativo con el ICFES, e inscripción de 200 mujeres y jornada de la bienvenida presencial a 105 mujeres inscritas a Pruebas Saber 11, 25 acompañantes y funcionarias, para un total de 130 personas. Durante junio se realizaron, jornadas de fortalecimiento de las Pruebas Saber 11, se realizaron 6 jornadas en el Colegio Panamericano: 4 presenciales y 2 virtuales y taller de socialización de las Pruebas Saber 11 en el marco del contrato interadministrativo con ICFES. Durante julio se realizaron 3 talleres ICFES, 2 virtuales, con una asistencia de 77 mujeres y uno presencial con 20 mujeres. Igualmente, se realizaron 4 jornadas de fortalecimiento presencial con un promedio de 25 mujeres y 2 jornadas virtuales, con promedio de 120 mujeres. se realizó simulacro de Prueba Saber 11, con una asistencia presencial de 25 mujeres y 77 mujeres virtual. Durante agosto</t>
    </r>
    <r>
      <rPr>
        <b/>
        <sz val="12"/>
        <rFont val="Times New Roman"/>
        <family val="1"/>
      </rPr>
      <t xml:space="preserve"> </t>
    </r>
    <r>
      <rPr>
        <sz val="12"/>
        <rFont val="Times New Roman"/>
        <family val="1"/>
      </rPr>
      <t>se realizó la convocatoria para la presentación de la Prueba Saber 11 en la que participaron 130 mujeres de las 200 inscritas. Asimismo, se continuó con la caracterización de 176 mujeres y se fortaleció la información con 3 grupos focales sobre barreras de acceso para la educación superior. Durante septiembre se realizó documento de grupo focal y se avanzó en la caracterización de 186 mujeres. Durante</t>
    </r>
    <r>
      <rPr>
        <b/>
        <sz val="12"/>
        <rFont val="Times New Roman"/>
        <family val="1"/>
      </rPr>
      <t xml:space="preserve"> </t>
    </r>
    <r>
      <rPr>
        <sz val="12"/>
        <rFont val="Times New Roman"/>
        <family val="1"/>
      </rPr>
      <t xml:space="preserve">octubre se entregó documento de caracterización y grupo focal al ICFES. Durante </t>
    </r>
    <r>
      <rPr>
        <b/>
        <sz val="12"/>
        <rFont val="Times New Roman"/>
        <family val="1"/>
      </rPr>
      <t>noviembre</t>
    </r>
    <r>
      <rPr>
        <sz val="12"/>
        <rFont val="Times New Roman"/>
        <family val="1"/>
      </rPr>
      <t xml:space="preserve"> se enviaron 129 resultados de las Pruebas Saber 11 y se realizaron dos mesas técnicas del contrato interadministrativo con el ICFES para avanzar en el informe final comparativo 2021, 2022 y 2023.  </t>
    </r>
  </si>
  <si>
    <r>
      <t xml:space="preserve">Durante el mes de </t>
    </r>
    <r>
      <rPr>
        <b/>
        <sz val="11"/>
        <color theme="1"/>
        <rFont val="Times New Roman"/>
        <family val="1"/>
      </rPr>
      <t>noviembre</t>
    </r>
    <r>
      <rPr>
        <sz val="11"/>
        <color theme="1"/>
        <rFont val="Times New Roman"/>
        <family val="1"/>
      </rPr>
      <t xml:space="preserve"> de 2023  se atendieron en el área jurídica 247 mujeres y se realizaron 472 atenciones desagregadas así: 112 asesorías, 325 seguimientos y 35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*13 Derechos de petición
*6 Impulsos procesales
*17 Procesos de representación
*1 Comités estudio de casos
*2 Audiencias
*1 Acción de tutela
*3 Comités interdisciplinares de estudio de caso</t>
    </r>
  </si>
  <si>
    <r>
      <t xml:space="preserve">Durante los meses de enero a </t>
    </r>
    <r>
      <rPr>
        <b/>
        <sz val="11"/>
        <rFont val="Times New Roman"/>
        <family val="1"/>
      </rPr>
      <t>noviembre</t>
    </r>
    <r>
      <rPr>
        <sz val="11"/>
        <rFont val="Times New Roman"/>
        <family val="1"/>
      </rPr>
      <t xml:space="preserve"> de 2023, se atendieron en el área jurídica 786 mujeres y se realizaron 3.670 atenciones desagregadas así: 921 asesorías, 2.477 seguimientos y 272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*112 Derechos de petición
*40 Impulsos procesales
*5 Escritos de denuncia
*24 Comités jurídicos de estudio de caso
*14 Comités interdisciplinares de estudio de caso
*21 Audiencias
*136 Procesos en representación
* 6 tutelas</t>
    </r>
  </si>
  <si>
    <r>
      <t xml:space="preserve">Durante el mes de </t>
    </r>
    <r>
      <rPr>
        <b/>
        <sz val="11"/>
        <color theme="1"/>
        <rFont val="Times New Roman"/>
        <family val="1"/>
      </rPr>
      <t>noviembre</t>
    </r>
    <r>
      <rPr>
        <sz val="11"/>
        <color theme="1"/>
        <rFont val="Times New Roman"/>
        <family val="1"/>
      </rPr>
      <t xml:space="preserve"> de 2023 se atendieron 162 mujeres en el área psicosocial y se realizaron 208 atenciones desagregadas así: 30 asesorías, 176 seguimientos y 2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</si>
  <si>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1"/>
        <rFont val="Times New Roman"/>
        <family val="1"/>
      </rPr>
      <t>noviembre</t>
    </r>
    <r>
      <rPr>
        <sz val="11"/>
        <rFont val="Times New Roman"/>
        <family val="1"/>
      </rPr>
      <t xml:space="preserve"> de 2023 se atendieron 439 mujeres en el área psicosocial y se realizaron 2.196 atenciones desagregadas así: 379 asesorías, 1.638 seguimientos y 179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</si>
  <si>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el mes de </t>
    </r>
    <r>
      <rPr>
        <b/>
        <sz val="11"/>
        <rFont val="Times New Roman"/>
        <family val="1"/>
      </rPr>
      <t>noviembre</t>
    </r>
    <r>
      <rPr>
        <sz val="11"/>
        <rFont val="Times New Roman"/>
        <family val="1"/>
      </rPr>
      <t xml:space="preserve"> de 2023 se atendieron 307 mujeres en trabajo social y se realizaron 474 atenciones desagregadas así: 160 intervenciones, 240 seguimientos y 74 valoraciones iniciales. Durante el periodo se realizó atención presencial y telefónica. A través de la atención, en el periodo se logró dar respuesta a las siguientes necesidades específicas:
A través de la atención  se logró dar respuesta a los procesos de: 
* 5 Portabilidad. 
* 22 Solicitud de encuesta socioeconómica SISBEN
* 11 Afiliaciones al sistema de salud
* 15 Activación servicios de SDIS, proyecto enlace emergencia social , bono de adulto mayor y jardines
*5 Solicitud cupo DLE. 
*20 Proceso educación flexible. 
*3 Formación cursos técnicos SENA.
*14 Formación para el trabajo (Miquelina y Conviventia).
*35 Pruebas rápidas con secretaria de salud. 
*16 Fondo Nacional del Ahorro. 
*7 Subsidios con Hábitat. 
*18 Empleabilidad. 
*1 educación superior 
*15 Anticoncepción 
*2 IVE 
*1 cedulación 
*1 victimas 
*2 traslado municipio salud.
*1 movilidad salud 
Se realizo remisión a entidades como: Secretaría de Salud, Fundación Miquelina, Fondo Nacional del Ahorro, Registraduría, Secretaría Desarrollo Económico, Secretaria de Educación, Secretaria Integración Social, Secretaria de Planeación, Oriéntame, Liga contra el cáncer, remisión a fundación EUDES, secretaria de hábitat, Conviventia, centro de formación Scalabrini, Agencia de empleo del SENA.</t>
    </r>
  </si>
  <si>
    <r>
      <t xml:space="preserve">Durante los meses de enero a </t>
    </r>
    <r>
      <rPr>
        <b/>
        <sz val="11"/>
        <rFont val="Times New Roman"/>
        <family val="1"/>
      </rPr>
      <t xml:space="preserve">noviembre </t>
    </r>
    <r>
      <rPr>
        <sz val="11"/>
        <rFont val="Times New Roman"/>
        <family val="1"/>
      </rPr>
      <t xml:space="preserve">de 2023 se atendieron 1.654 mujeres en trabajo social y se realizaron 4.481 atenciones desagregadas así: 1.496 intervenciones, 2.520 seguimientos y 465 valoraciones iniciales. Durante el periodo se realizó atención presencial y telefónica. A través de la atención, en el periodo se logró dar respuesta a las siguientes necesidades específicas:
A través de la atención, se logró dar respuesta a los procesos de: 
*180 Activación servicios de SDIS
*111 Afiliaciones al sistema de salud
*94 Anticoncepción
*17 Duplicados de cédula
*9 Educacion superior
*173 Empleabilidad
*182 Fondo Nacional del Ahorro
*171 Formación para el trabajo (Miquelina y Conviventia)
*25 Formación cursos técnicos SENA
*4 Movilidad escolar
*66 Portabilidad
*206 Proceso educación flexible
*434 Pruebas rápidas con secretaria de salud
*28 Remisiones para IVE
*10 Salud Movilidad
*226 Salud sexual y reproductiva liga contra el cancer
*83 Solicitud cupo DLE
*209 Solicitud de encuesta socioeconomica SISBEN
*63 Subsidios con Habitat
*19 Traslado municipio salud
*18 Ruta de victimas conflicto armado
Se remitió con entidades como:  Secretaria de Salud, Fundación Miquelina, Fondo Nacional del Ahorro, Registraduría, Secretaría Desarrollo Económico, Liga contra el cáncer, Remisión a fundación EUDES, Secretaria de Educación, Secretaria Integracion Social, Secretaria de Planeación, Orientame, Secretaria de habitat, Conviventia, AHF, Agencia de empleo del SENA, Centro de Formación Scalabrini.
</t>
    </r>
  </si>
  <si>
    <t>Se presenta retraso del 1,5%</t>
  </si>
  <si>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 Se observa un retraso en el área de Trabajo Social</t>
  </si>
  <si>
    <r>
      <t xml:space="preserve">Durante el mes </t>
    </r>
    <r>
      <rPr>
        <b/>
        <sz val="12"/>
        <rFont val="Times New Roman"/>
        <family val="1"/>
      </rPr>
      <t xml:space="preserve">noviembre </t>
    </r>
    <r>
      <rPr>
        <sz val="12"/>
        <rFont val="Times New Roman"/>
        <family val="1"/>
      </rPr>
      <t>2023, se dio continuidad a la operación de la Estrategia Casa de Todas con atención presencial y telefónica, brindando atención integral y acompañamiento a 567 mujeres que realizan actividades sexuales pagadas, se realizaron 1.154 atenciones en el periodo desagregadas por área así: 474 intervenciones por trabajo social, 472 actuaciones jurídicas, 208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en Casa de Todas y dos ferias de servicios en territorio en la Alameda (localidad Santa Fe) y Barrios Unidos, un espacio de cine club en el marco de jornada de familias, encuentro de derechos en Patio Bonito.</t>
    </r>
  </si>
  <si>
    <r>
      <t xml:space="preserve">Durante los meses de </t>
    </r>
    <r>
      <rPr>
        <b/>
        <sz val="12"/>
        <rFont val="Times New Roman"/>
        <family val="1"/>
      </rPr>
      <t xml:space="preserve">enero a noviembre </t>
    </r>
    <r>
      <rPr>
        <sz val="12"/>
        <rFont val="Times New Roman"/>
        <family val="1"/>
      </rPr>
      <t>de 2023, se dio continuidad a la operación de la Estrategia Casa de Todas con atención presencial y telefónica, brindando atención integral y acompañamiento a  2.063 mujeres que realizan actividades sexuales pagadas, se realizaron 10.347 atenciones en el periodo desagregadas por área así: 4.481 intervenciones por trabajo social, 3.670 actuaciones jurídicas, 2.196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(23) jornadas de servicios que incluyen cuidado de salud sexual y reproductiva y socialización de la Política Pública de Actividades Sexuales Pagadas - PPASP en Casa de Todas  y en territorio como Plaza de la Mariposa, Alameda, Engativá, Fontibón, Antonio Nariño, Ciudad Bolívar, Chapinero, Usaquén, Teusaquillo, Tunjuelito, Barrios Unidos y Kennedy. Se ha articulado con otras estrategias, llevando a las mujeres espacios de cuidado psicoemocional (8), tres escuelas psicoemocionales, encuentros poblacionales (1), semilleros (1), proceso educativo con mujeres emprendedoras (1), espacio de cuidado menstrual (9), feria de empleabilidad (2), encuentro de derechos (6), jornada de cine (5), jornada de autocuidado y fecha conmemorativa ASP.</t>
    </r>
  </si>
  <si>
    <r>
      <t xml:space="preserve">Durante los meses de enero a </t>
    </r>
    <r>
      <rPr>
        <b/>
        <sz val="12"/>
        <rFont val="Times New Roman"/>
        <family val="1"/>
      </rPr>
      <t xml:space="preserve">noviembre </t>
    </r>
    <r>
      <rPr>
        <sz val="12"/>
        <rFont val="Times New Roman"/>
        <family val="1"/>
      </rPr>
      <t>de 2023 se atendieron 1.654 mujeres en trabajo social y se realizaron 4.481 atenciones desagregadas así: 1.496 intervenciones, 2.520 seguimientos y 465 valoraciones iniciales. Durante el periodo se realizó atención presencial y telefónica. A través de la atención, en el periodo se logró dar respuesta a las siguientes necesidades específicas:
A través de la atención, se logró dar respuesta a los procesos de: 
*180 Activación servicios de SDIS
*111 Afiliaciones al sistema de salud
*94 Anticoncepción
*17 Duplicados de cédula
*9 Educacion superior
*173 Empleabilidad
*182 Fondo Nacional del Ahorro
*171 Formación para el trabajo (Miquelina y Conviventia)
*25 Formación cursos técnicos SENA
*4 Movilidad escolar
*66 Portabilidad
*206 Proceso educación flexible
*434 Pruebas rápidas con secretaria de salud
*28 Remisiones para IVE
*10 Salud Movilidad
*226 Salud sexual y reproductiva liga contra el cancer
*83 Solicitud cupo DLE
*209 Solicitud de encuesta socioeconomica SISBEN
*63 Subsidios con Habitat
*19 Traslado municipio salud
*18 Ruta de victimas conflicto armado</t>
    </r>
  </si>
  <si>
    <r>
      <t xml:space="preserve">Durante los meses de enero a </t>
    </r>
    <r>
      <rPr>
        <b/>
        <sz val="12"/>
        <rFont val="Times New Roman"/>
        <family val="1"/>
      </rPr>
      <t>noviembre</t>
    </r>
    <r>
      <rPr>
        <sz val="12"/>
        <rFont val="Times New Roman"/>
        <family val="1"/>
      </rPr>
      <t xml:space="preserve"> de 2023 se atendieron 439 mujeres en el área psicosocial y se realizaron 2.196 atenciones desagregadas así: 379 asesorías, 1.638 seguimientos y 179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</si>
  <si>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2"/>
        <rFont val="Times New Roman"/>
        <family val="1"/>
      </rPr>
      <t xml:space="preserve">noviembre </t>
    </r>
    <r>
      <rPr>
        <sz val="12"/>
        <rFont val="Times New Roman"/>
        <family val="1"/>
      </rPr>
      <t>de 2023, se atendieron en el área jurídica 786 mujeres y se realizaron 3.670 atenciones desagregadas así: 921 asesorías, 2.477 seguimientos y 272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*112 Derechos de petición
*40 Impulsos procesales
*5 Escritos de denuncia
*24 Comités jurídicos de estudio de caso
*14 Comités interdisciplinares de estudio de caso
*21 Audiencias
*136 Procesos en representación
*6 Tutela</t>
    </r>
  </si>
  <si>
    <r>
      <rPr>
        <sz val="12"/>
        <color rgb="FF000000"/>
        <rFont val="Times New Roman"/>
        <family val="1"/>
      </rPr>
      <t>Durante los meses de enero a</t>
    </r>
    <r>
      <rPr>
        <b/>
        <sz val="12"/>
        <color rgb="FF000000"/>
        <rFont val="Times New Roman"/>
        <family val="1"/>
      </rPr>
      <t xml:space="preserve"> noviembre </t>
    </r>
    <r>
      <rPr>
        <sz val="12"/>
        <color rgb="FF000000"/>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7-Boletin_Caracterizadas Localidad de Los Mártires corte 30 de Junio
8-Boletín Caracterizadas Junio 2023 Comparativo Los Mártires - Otras localidades.pdf
9- Producto violencias ASP enero 2022 a junio 2023.pdf
10-Informe_Encuesta_Evaluacion_Servicios_II Sem 2023.pdf</t>
    </r>
  </si>
  <si>
    <r>
      <t>En</t>
    </r>
    <r>
      <rPr>
        <b/>
        <sz val="12"/>
        <rFont val="Times New Roman"/>
        <family val="1"/>
      </rPr>
      <t xml:space="preserve"> noviembre</t>
    </r>
    <r>
      <rPr>
        <sz val="12"/>
        <rFont val="Times New Roman"/>
        <family val="1"/>
      </rPr>
      <t xml:space="preserve"> se avanzó en la implementación de las acciones de asistencia técnica – AT con 3 de los 4 sectores (Hacienda, Ambiente y Movilidad). Se coordinó el tercer panel de mujeres en sus diferencias y diversidad para el sector Hacienda y se hizo seguimiento a la AT con el equipo de profesionales. Se realizaron 4 acciones de transversalización del enfoque diferencial: 2 con Mujeres, 1 con Salud y 1 con Gobierno. Se validó la caracterización de tres herramientas. Se revisaron y consolidaron las matrices de Plan de Fortalecimiento con metas, tiempos y evidencias, enviadas por 4 de las 5 dependencias responsables de prestar los servicios, quedando pendiente una dependencia. 
Para el mes de noviembre se realizó el acompañamiento técnico al CTPD y la Submesa de género.</t>
    </r>
  </si>
  <si>
    <r>
      <t xml:space="preserve">De enero a octubre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17 herramientas de las 20 identificadas inicialmente y algunas nuevas, se coordinó y avanzó en el ajuste al Manual de atención a mujeres trans y personas no binarias en el Distrito Capital y se validó la caracterización de 15 herramientas. En </t>
    </r>
    <r>
      <rPr>
        <b/>
        <sz val="12"/>
        <rFont val="Times New Roman"/>
        <family val="1"/>
      </rPr>
      <t>noviembre</t>
    </r>
    <r>
      <rPr>
        <sz val="12"/>
        <rFont val="Times New Roman"/>
        <family val="1"/>
      </rPr>
      <t xml:space="preserve"> se avanzó en la validación de la caracterización de 3 herramientas: Manual de atención sensible a mujeres con discapacidad; 3 videos en lengua de señas colombiana – LSC sobre prevención de las violencias contra las mujeres en contextos escolares y 3 videos de mujeres mayores donde comparten como ellas celebran su vida y su vejez.</t>
    </r>
  </si>
  <si>
    <r>
      <t xml:space="preserve">De enero a octubre se consolidó información de barreras de acceso a los servicios identificadas en 2022 con servidoras y usuarias en grupos focales y encuestas. Se elaboró y aprobó propuesta para formulación, validación, implementación y seguimiento del plan de fortalecimiento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Se realizaron 6 reuniones con las dependencias para socializar documentos, consolidar barreras y solicitar definición las acciones para su eliminación. Se realizaron 2 reuniones con SFCYO para identificar propuestas para mitigar las barreras de acceso a servicios y una reunión con la DGC para aclaraciones frente al diligenciamiento de la matriz. Se remitió correo recordado a DSC y DGC el envío de las matrices diligenciadas, se revisaron las matrices y elaboró versión preliminar del Plan de Fortalecimiento con las acciones propuestas, que fue posteriormente revisada y ajustada para elaborar la versión final del Plan. Se envío a las dependencias para que definan las metas frente a cada acción, se apoyó al equipo de Casa de Todas en definir las metas. En </t>
    </r>
    <r>
      <rPr>
        <b/>
        <sz val="12"/>
        <rFont val="Times New Roman"/>
        <family val="1"/>
      </rPr>
      <t xml:space="preserve">noviembre </t>
    </r>
    <r>
      <rPr>
        <sz val="12"/>
        <rFont val="Times New Roman"/>
        <family val="1"/>
      </rPr>
      <t xml:space="preserve">se hizo la revisión y consolidación de las matrices del Plan de Fortalecimiento con las metas, periodo de realización de las acciones y evidencias que soportan la realización, enviadas por cuatro (4) de las dependencias responsables de la prestación de los servicios, a saber: Subsecretaría de Fortalecimiento de Capacidades y Oportunidades, Dirección del Sistema de Cuidado, Dirección de Territorialización de Derechos y Participación y Dirección de Enfoque Diferencial. Está pendiente la respuesta de la Dirección de Eliminación de las Violencias contra las Mujeres y Acceso a la Justica. </t>
    </r>
  </si>
  <si>
    <t>Se cuenta con versión ajustada y publicada del procedimiento “Asistencia técnica a los Sectores de la Administración Distrital y las localidades para la transversalización del enfoque diferencial” y sus formatos. Se cuenta con 4 cronogramas de asistencia técnica del primer semestre y 4 del segundo (Hacienda, Jurídica, Ambiente y Movilidad). Se ha llegado con acciones de información y sensibilización en enfoque diferencial a personal de 9 entidades (Secretaría de Hacienda, Secretaría Jurídica, Catastro Distrital, Instituto de Protección y Bienestar Animal, Instituto Distrital de Gestión del Riesgo y Cambio climático, Jardín Botánico, Secretaría Distrital de Ambiente, La Rolita- Operadora Distrital de Transporte y Transmilenio). Se cuenta con propuesta para la consolidación de la caja de herramientas aprobada y validada, así como con matriz de caracterización de herramientas, 17 herramientas caracterizadas, 17 caracterizaciones de herramientas validadas y ajustes a una herramienta. Se cuenta con propuesta de formulación, validación, implementación y seguimiento al plan de fortalecimiento interno para 2023 aprobada, así como con matriz consolidada de barreras de acceso a los servicios y 7 documentos elaborados: 1 de conclusiones de la caracterización de servicios e identificación de barreras de acceso y 6 donde se identifican situaciones que afectan la prestación de los servicios de la SDMujer. Se cuenta con matrices con propuestas para eliminar barreras de acceso a los servicios de 6 dependencias, 1 matriz consolidada con todas las propuestas y 1 propuesta final de Plan de Fortalecimiento revisada y aprobada por 4 directivas. Se cuenta con matriz consolidada del Plan con metas, tiempos y evidencias de 4 de las 5 dependencias responsables de los servicios. 
Acompañamiento técnico para el fortalecimiento del derecho a la participación de las mujeres en las diferentes instancias priorizadas, para el posicionamento de sus agendas</t>
  </si>
  <si>
    <r>
      <t>En la</t>
    </r>
    <r>
      <rPr>
        <b/>
        <sz val="12"/>
        <rFont val="Times New Roman"/>
        <family val="1"/>
      </rPr>
      <t xml:space="preserve"> Estrategia de empoderamiento </t>
    </r>
    <r>
      <rPr>
        <sz val="12"/>
        <rFont val="Times New Roman"/>
        <family val="1"/>
      </rPr>
      <t xml:space="preserve">para el mes de noviembre no se presentaron retrasos en el desarrollo de la estrategia.
En la </t>
    </r>
    <r>
      <rPr>
        <b/>
        <sz val="12"/>
        <rFont val="Times New Roman"/>
        <family val="1"/>
      </rPr>
      <t>Estrategia de capacidades psicoemocionales</t>
    </r>
    <r>
      <rPr>
        <sz val="12"/>
        <rFont val="Times New Roman"/>
        <family val="1"/>
      </rPr>
      <t xml:space="preserve"> no se presenta retraso. 
En la </t>
    </r>
    <r>
      <rPr>
        <b/>
        <sz val="12"/>
        <rFont val="Times New Roman"/>
        <family val="1"/>
      </rPr>
      <t>Estrategia de Cuidado Menstrual</t>
    </r>
    <r>
      <rPr>
        <sz val="12"/>
        <rFont val="Times New Roman"/>
        <family val="1"/>
      </rPr>
      <t xml:space="preserve"> no se presenta retraso.</t>
    </r>
  </si>
  <si>
    <r>
      <t xml:space="preserve">En enero y febrero la actividad no presentó avance, por programación y trámites contractuales.  En marzo se realizó una Jornada de Dignidad Menstrual (en adelante JDM) en la localidad de Los Mártires, en la que se realizó taller de cuidado menstrual a 36 personas que se reportan en SIMISIONAL y se entregaron 25 kits de cuidado menstrual (CM). En abril se realizaron 2 Recorridos por la Dignidad Menstrual (en adelante RDM) en las localidades de 1) San Cristóbal 9 mujeres habitantes de calle abordadas, se entregaron 5 kits CM y 2) Bosa 6 mujeres habitantes de calle, se entregaron 5 kits CM.  En mayo se realizó JDM en la localidad de Santa Fe trabajó taller de cuidado menstrual con 38 mujeres (SDMujer no entregó elementos de Cuidado Menstrual, los elementos de CM fueron asumidos por SDIS e IDIPRON) y se realizó un RDM en la localidad de Usaquén, se atendieron 5 mujeres habitantes de calle, SDMujer entregó 5 Kits CM.  En junio se realizó RDM en la localidad de Suba en donde se atendieron 8 mujeres habitantes de calle, SDMujer les entregó 6 Kits CM (dos de las mujeres no estaban en condiciones de salud mental para recibir kit). En Julio se realizó: 1 JDM en Barrios Unidos en donde se atendieron 11 mujeres, solo 2 eran habitantes de calle, la entrega de elementos de Cuidado Menstrual la realiza la SDIS y se llevó a cabo un RDM en Engativá donde 13 mujeres son abordadas y se entregaron 8 kits CM.  En agosto se realizó recorrido por la dignidad menstrual en la localidad de Ciudad Bolívar en donde se atendieron 9 mujeres habitantes de calle, se entregaron 8 kits CM. En septiembre se realizó la 4 JDM en Rafael Uribe Uribe en donde se atendieron 13 personas HC y en riesgo y 1 RDM en Teusaquillo donde se abordan 7 mujeres y se les entregó kit de cuidado menstrual (CM). Esta actividad no presenta retrasos en su ejecución. En octubre se realizó un RDM en Antonio Nariño en donde se atendieron 6 mujeres CHC y se entregaron 6 kits CM. En </t>
    </r>
    <r>
      <rPr>
        <b/>
        <sz val="12"/>
        <rFont val="Times New Roman"/>
        <family val="1"/>
      </rPr>
      <t xml:space="preserve">noviembre </t>
    </r>
    <r>
      <rPr>
        <sz val="12"/>
        <rFont val="Times New Roman"/>
        <family val="1"/>
      </rPr>
      <t xml:space="preserve">se realizaron dos recorridos por la Dignidad Menstrual, uno en Puente Aranda en donde se abordaron 7 mujeres y a todas se les entregó kit de la SDMujer; el otro en Kennedy en donde se abordaron 11 mujeres, se entregaron 9 kits de la SDM a habitantes de calle y se realizó socialización con mujeres en alto riesgo de habitar la calle. </t>
    </r>
  </si>
  <si>
    <r>
      <t xml:space="preserve">La actividad no estaba programada para el mes de enero. En febrero la actividad no presentó avance, por trámites contractuales. En marzo se realizó la Primera Mesa de Cuidado Menstrual en adelante (MCM). Son corresponsables de la mesa la Secretaría de Salud, Secretaría de Integración Social, IDIPRON y SDMujer como líder técnico. Se definió el Plan de Acción y cronograma de jornadas y recorridos por la Dignidad Menstrual para el año sin fechas exactas. A agosto se han realizado seis mesas de cuidado menstrual y mes a mes las entidades acuerdan las acciones afirmativas interinstitucionales a ejecutar en el mes siguiente.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No hay atraso en la implementación. En octubre se realizó reunión virtual de la octava MCM y se planearon los fortalecimientos a IDIPRON y enfermeras de SDIS y los recorridos DM en Pte Aranda y Kennedy. Se entregó instrumento de recolección de info. para informes finales. En </t>
    </r>
    <r>
      <rPr>
        <b/>
        <sz val="12"/>
        <rFont val="Times New Roman"/>
        <family val="1"/>
      </rPr>
      <t>noviembre</t>
    </r>
    <r>
      <rPr>
        <sz val="12"/>
        <rFont val="Times New Roman"/>
        <family val="1"/>
      </rPr>
      <t xml:space="preserve"> se realizó reunión virtual de la MCM y se avanzó en el proceso de seguimiento de las acciones para el informe a la Corte Constitucional. Se planeó el último recorrido en diciembre por la localidad Tunjuelito. </t>
    </r>
  </si>
  <si>
    <r>
      <t xml:space="preserve">La actividad no estaba programada para enero, febrero y marzo, pero, aunque no estaba programada, se avanzó en la gestión en la Mesa Distrital de Cuidado Menstrual. Para abril se realizó articulación con Casa de Todas para realizar EMAA con Mujeres que realizan ASP; no obstante, y a pesar de la socialización del evento no llegó ninguna mujer al espacio.  En mayo se realizaron 4 jornadas EMAA con estudiantes del Verjón Alto de la localidad de Santa Fé, con 4, 5 y 6to y se realiza jornada EMAA con 14 mujeres en ASP en Casa de Todas (CdeT), además se realizó fortalecimiento institucional a 22 profesionales territoriales de la SDIS. En junio se realizó fortalecimiento institucional a 21 profesionales territoriales SDIS y a 4 mujeres activistas menstruales de grupo de la Universidad Distrital; Los días 14 (22 mujeres) y 28 (9 mujeres) se llevaron a cabo jornadas EMAA con mujeres que realizan ASP, se entregaron 31 Discos Menstruales gestionados por CdT. En julio se realizó una Jornada EMAA para mujeres que realizan ASP en CdT, se trabajó con 6 mujeres a quienes se les entregó disco menstrual. A lo largo del mes se realizó fortalecimiento de capacidades con la referenta de mujeres sordas de la DED con el fin de construir metodología para este grupo poblacional. En agosto se realizaron dos jornadas EMAA: 1 con mujeres mayores (17) y una con mujeres sordas (16). Se realizó fortalecimiento de capacidades a ACNUR-SDMujer (4) y evaluación del pilotaje de copas menstruales a la que solo llegó 1 mujer en ASP. En septiembre se realizaron 4 sesiones EMAA; 2 con mujeres rurales (9 y 13 per) y 1 con muj. NAJ en el Castillo de las Artes (22 per) y Fundación Servicio Juvenil Casa Bosconia (18 per). Se realizaron 4 fortalecimientos institucionales 2 con SDSalud Centros de Escucha (28 y 10 per) y 2 con el equipo sicosocial del IDIPRON (28 y 17).  En octubre se realizaron 6 jornadas EMAA; 1 con disc auditiva(13 muj), 2 con madres y padres del colegio Acacias II (13 y 3 pers), 2 en articulación y apoyo a ACNUR (13 y 24muj) y 1 en casa LGBT Casa Amapola (13). Se finalizó el fortalecimiento institucional a SDSalud equipo Centros de Escucha (45 servidorxs) y Secretaría de Seguridad (15). Al mes de octubre se cumplió el 100% de lo proyectado en la actividad; no obstante, durante el mes de </t>
    </r>
    <r>
      <rPr>
        <b/>
        <sz val="12"/>
        <rFont val="Times New Roman"/>
        <family val="1"/>
      </rPr>
      <t>noviembre</t>
    </r>
    <r>
      <rPr>
        <sz val="12"/>
        <rFont val="Times New Roman"/>
        <family val="1"/>
      </rPr>
      <t xml:space="preserve"> se realizaron 5 jornadas EMAA: 1 rural Usme (10muj); 1 adolescentes afro (36muj 1 hom); 1 estudiantes colegio Acacias II (56muj); 1 adultas afro (25muj), 1 cárcel Distrital (22muj); se realizó fortalecimiento institucional a 13 docentes colegio Acacias II y Equipo Espiritualidad IDIPRON 16 + 3 enfermeras SDIS. Esta actividad no presenta retrasos en su ejecución.</t>
    </r>
  </si>
  <si>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En el mes de julio se continuó con la implementación de la estrategia de comunicaciones en redes sociales y se enviaron insumos para la creación de video que resume el primer semestre de 2023. En agosto se continuó con la implementación de la estrategia de comunicaciones en redes sociales y se enviaron insumos para la creación de video que resume los esfuerzos de los recorridos de dignidad menstrual, con esta acción se subsana el atraso en la implementación del 3% . En septiembre se avanzó en la publicación de las piezas comunicativas creadas y en la entrega del folleto a los equipos de Salud por su trabajo territorial. https://www.facebook.com/reel/591970346256638. En octubre se consolidó información y se realizó solicitud de creación de pieza comunicativa en torno a que es el ciclo y como llevar un calendario menstrual. En </t>
    </r>
    <r>
      <rPr>
        <b/>
        <sz val="12"/>
        <rFont val="Times New Roman"/>
        <family val="1"/>
      </rPr>
      <t>noviembre</t>
    </r>
    <r>
      <rPr>
        <sz val="12"/>
        <rFont val="Times New Roman"/>
        <family val="1"/>
      </rPr>
      <t xml:space="preserve"> se aprobaron las piezas comunicativas solicitadas y quedan listas para su publicación.  </t>
    </r>
  </si>
  <si>
    <r>
      <t xml:space="preserve">Entre enero y julio se realizaron 11 reuniones en las que se definió el desarrollo de 2 jornadas de sensibilización con los equipos de Planeación de los 15  sectores de las administración distrital que permitirán la incorporación del enfoque diferencial y la visibilización de las mujeres en sus diferencias y diversidad, cuenta con la metodología aprobada para estas jornadas y se desarrollarán el 09 y 23 de agosto de 2023.  Para agosto se realizó el envío del oficio de invitación a  los secretarios de los 15 sectores para delegar a servidores y servidoras de las oficinas de planeación para la participación  en las jornadas de sensibilización. El 15 de agosto se realizó reunión con las referentas de las Estrategias de la DED de la SDMujer para definir su vinculación a las sensibilizaciones y se les solicitó el envío de un documento que incorpore 5 enunciados denominados "sabías que" en el que se genere reconocimiento de los grupos poblacionales. En  este mismo sentido se definió el desarrollo de las jornadas para el día 13 y 27 de septiembre de 2023. Para septiembre se realizaron 2 jornadas de sensibilizaciones a los equipos de planeación de los sectores de la administración distrital, los días 13 y 27 de septiembre de 2023, con la metodología aprobada y se vinculó a la referentas de las Estrategias de la DED de la SDMujer; en estas jornadas participaron 47 funcionarios de 10 sectores. Para octubre se realizaron  2 reuniones para el seguimiento y cierre  en el marco de la Estrategia. Para </t>
    </r>
    <r>
      <rPr>
        <b/>
        <sz val="12"/>
        <rFont val="Times New Roman"/>
        <family val="1"/>
      </rPr>
      <t xml:space="preserve">noviembre </t>
    </r>
    <r>
      <rPr>
        <sz val="12"/>
        <rFont val="Times New Roman"/>
        <family val="1"/>
      </rPr>
      <t>se realizó 1 reunión de seguimiento con el objetivo de la construcción del documento de empalme en el marco de la Estrategia.</t>
    </r>
  </si>
  <si>
    <r>
      <t xml:space="preserve">Enero: no programada
Febrero:  plan de trabajo  EEM para la vigencia 2023. Reuniones de concertación y búsqueda de los grupos de mujeres participantes.  
Marzo:• Convocatoria EEM virtual: 922 • Concertación cronograma EEM mujeres migrantes y refugiadas- Fundación Juntos se puede.
Abril:•Inicio EEM migrantes y refugiadas: 10 mujeres •Inicio EEM mujeres habitantes de calle: 21 mujeres  •Inicio EEM virtual: 1115 usuarias inscritas
Mayo:•Finalización EEM mujeres migrantes y refugiadas: 5 mujeres •Escuela de educación emocional mujeres habitantes de calle: 35 mujeres •Escuela de educación emocional virtual: 1115 usuarias inscritas de las cuales han finalizado: 87 participantes.
Junio:•Inicio EEM mujeres en ASP: 10 mujeres  •Finalización EEM mujeres habitantes de calle: 35 mujeres  •Escuela de educación emocional virtual: Durante el mes de junio fueron registradas en simisional 89 participantes.
Julio:•Inicio EEM con mujeres jóvenes: 8 Mujeres  •EEM con mujeres en ASP: 11 Mujeres
Agosto: •Continuación EEM con mujeres jóvenes:  4 Mujeres  • Inicio EEM mujeres con discapacidad visual: 25 Mujeres  •EEM con mujeres migrantes: 23 Mujeres  •EEM virtual: Durante el mes de agosto fueron registradas en simisional 89 participantes
Septiembre:• Cierre EEM con mujeres jóvenes:  4 Mujeres  • Cierre EEM mujeres con discapacidad visual: 25 Mujeres  • Inicio EEM con mujeres LB: 11 Mujeres  • Cierre 2 EEM con mujeres en ASP:30 Mujeres  • 1 EEM con mujeres migrantes: 21 Mujeres
Octubre: • Cierre EEM LB: 16 mujeres. • Cierre EEM mujeres migrantes: 19 certificadas. • Inicio curso Tejiendo Redes con 858 personas de comunidad inscritas y 566 Servidoras/es inscritas. 
</t>
    </r>
    <r>
      <rPr>
        <b/>
        <sz val="12"/>
        <rFont val="Times New Roman"/>
        <family val="1"/>
      </rPr>
      <t>Noviembre</t>
    </r>
    <r>
      <rPr>
        <sz val="12"/>
        <rFont val="Times New Roman"/>
        <family val="1"/>
      </rPr>
      <t xml:space="preserve">: • Cierre 2 EEM mujeres migrantes: 51certif • Cierre curso Tejiendo Redes comunidad: 100 personas certfic y 21 con todos los módulos finalizados pdte certificado (121 muj y 1 hom) - 115 servidores cert y 15 con modu term pdtes cert (123 muj y 7 hom). Feria Bienestar Emocional 122 participantes (65 muj. 38 hom. 19 fun)  </t>
    </r>
  </si>
  <si>
    <r>
      <t>Enero: no programada
Febrero: connstrucción del plan de trabajo. reuniones de concertación y búsqueda de los grupos de mujeres participantes. 
Marzo:• 1 ER M en ASP: 12 • 1 ER M adultas y mayores.: 13 • 1 ER M trans.: 8
Abril:• 1 ER  M indígenas.: 20 • 2 ER  M migrantes y refugiadas. 41 • 1 ER  M adultas y mayores: 9 • 1 ER  M Gitanas: 23 • 1 ER  M Raizales: 29 • 1 ER  M en ASP: 10• 1 ER M habitantes de calle: 23
Mayo:• 1 ER M indígenas: 16• 1 ER M migrantes y refugiadas: 16 • 1 ER M adultas y mayores: 16• 1 ER M Campesinas y rurales: 13• 2 ER M en riesgo de habitar calle: 82• 1 ER M en ASP. Total: 8• 1 ER M palenqueras: 12• 1 ER M jóvenes: 3• 3 ER M con discapacidad: 38• 1 ER M en sus diferencias y diversidad virtual 30
Junio:• 1 ER M en ASP: 5• 2 ER M con discapacidad: 38• 1 ER M habitantes de calle: 12• 1 ER M lesbianas y bisexuales.: 16• 1 ER M adultas y mayores. : 12• 1 ER M campesinas.: 12• 2 ER M jóvenes: 19
Julio:• 1 ER M migrantes: 9• 1 ER M campesinas: 11• 1 ER M en ASP: 23• 1 ER M lesbianas y isexuales: 8• 4 ER M jóvenes: 52• 4 ER mujeres adultas y mayores.: 69
Agosto:• 1 ER mujeres campesinas: 6• 1 ER mujeres jóvenes: 13• 1 ER mujeres lesbianas y bisexuales:10• 2 ER mujeres dultas y mayores: 35• 2 ER mujeres en ASP: 29• 2 ER mujeres migrantes y refugiadas: 34
Septiembre:• 1 ER M privadas de la libertad. 20• 1 ER M  jóvenes. 10• 1 ER M  indígenas. 15• 1 ER M  víctimas del conflicto armado. 5  • 2 ER M  migrantes. 23                                                                                                                                                                                                                                                       
Octubre: *1 ER M  hab. calle 13* 1 ER M disc. auditiva 13*1 ER M  migrantes privadas de la libertad  22* 2 ER M diversas 26</t>
    </r>
    <r>
      <rPr>
        <b/>
        <sz val="12"/>
        <rFont val="Times New Roman"/>
        <family val="1"/>
      </rPr>
      <t xml:space="preserve"> </t>
    </r>
    <r>
      <rPr>
        <sz val="12"/>
        <rFont val="Times New Roman"/>
        <family val="1"/>
      </rPr>
      <t xml:space="preserve">
</t>
    </r>
    <r>
      <rPr>
        <b/>
        <sz val="12"/>
        <rFont val="Times New Roman"/>
        <family val="1"/>
      </rPr>
      <t>Noviembre</t>
    </r>
    <r>
      <rPr>
        <sz val="12"/>
        <rFont val="Times New Roman"/>
        <family val="1"/>
      </rPr>
      <t>:  *4 ER M  hab. calle 43  *1 ER M  jovenes 9  *1 ER M  adultas y mayores 11  *1 ER M discapacidad auditiva 12  *1 ER M  privadas de la libertad 19  *3  M Migrantes 45</t>
    </r>
  </si>
  <si>
    <r>
      <t xml:space="preserve">Enero: La actividad no estaba programada . 
Febrero: construcción del plan de trabajo correspondiente al desarrollo de la estrategia de difusión y socialización de la caja de herramientas. mapeo de posibles entidades y grupos objetivo y se definió la lista de recursos para la construcción de la caja de herramientas.
Marzo: construcción de la caja de herramientas . 
Abril: • propuesta metodológica de la transferencia de conocimientos y productos de la estrategia .• Desarrollo de un encuentro de transferencia con la organización RECA   asistentes: 7 
Mayo • encuentro de transferencia con el equipo psicosocial de SIDICU. asistentes: 10
Junio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Julio•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Agosto:•  espacio de asistencia técnica y transferencia de conocimientos y herramientas a equipo de la subdirección LGBTI de la SDIS.asistentes: 19
Septiembre:• espacio de asistencia técnica y transferencia de conocimientos y herramientas a equipo de coordinadoras de la mesa psicosocial de la SDMujer asistentes: 8
Octubre: espacio de asistencia técnica y transferencia de conocimientos y herramientas a equipo psicosocial de transmilenio  asistentes: 27 
</t>
    </r>
    <r>
      <rPr>
        <b/>
        <sz val="12"/>
        <rFont val="Times New Roman"/>
        <family val="1"/>
      </rPr>
      <t>Noviembre</t>
    </r>
    <r>
      <rPr>
        <sz val="12"/>
        <rFont val="Times New Roman"/>
        <family val="1"/>
      </rPr>
      <t xml:space="preserve">: espacio de asistencia técnica y transferencia de conocimientos y herramientas a equipo psicosocial deIDIPRON  asistentes: 24
</t>
    </r>
  </si>
  <si>
    <r>
      <t xml:space="preserve">En el mes de </t>
    </r>
    <r>
      <rPr>
        <b/>
        <sz val="11"/>
        <color theme="1"/>
        <rFont val="Times New Roman"/>
        <family val="1"/>
      </rPr>
      <t>noviembre</t>
    </r>
    <r>
      <rPr>
        <sz val="11"/>
        <color theme="1"/>
        <rFont val="Times New Roman"/>
        <family val="1"/>
      </rPr>
      <t xml:space="preserve"> se realizaron dos (2) actividades de alistamiento:
Se coordinó con la referente de mujeres campesinas y rurales, la referente de mujeres migrantes y refugiadas y la coordinadora de la Estrategia “Casa de Todas” el tercer panel sobre mujeres en sus diferencias y diversidad en el marco de la asistencia técnica al Sector Hacienda (20-11-2023)
Se realzó reunión de seguimiento a la asistencia técnica con el equipo de profesionales para identificar los avances de cada sector (29-11-2023).</t>
    </r>
  </si>
  <si>
    <r>
      <t xml:space="preserve">A </t>
    </r>
    <r>
      <rPr>
        <b/>
        <sz val="11"/>
        <color theme="1"/>
        <rFont val="Times New Roman"/>
        <family val="1"/>
      </rPr>
      <t xml:space="preserve">noviembre </t>
    </r>
    <r>
      <rPr>
        <sz val="11"/>
        <color theme="1"/>
        <rFont val="Times New Roman"/>
        <family val="1"/>
      </rPr>
      <t>se han implementado 21 actividades de alistamiento, seguimiento y evaluación de la asistencia técnica.</t>
    </r>
  </si>
  <si>
    <r>
      <t xml:space="preserve">En el mes de </t>
    </r>
    <r>
      <rPr>
        <b/>
        <sz val="11"/>
        <color theme="1"/>
        <rFont val="Times New Roman"/>
        <family val="1"/>
      </rPr>
      <t>noviembre</t>
    </r>
    <r>
      <rPr>
        <sz val="11"/>
        <color theme="1"/>
        <rFont val="Times New Roman"/>
        <family val="1"/>
      </rPr>
      <t xml:space="preserve"> se realizaron cuatro (4) actividades de asistencia técnica:
Dos (2) acciones de formación con el sector Hacienda: se llevó a cabo la séptima jornada de capacitación con la participación de 9 servidores, servidoras y contratistas de la Secretaría de Hacienda, donde se abordó a través de un panel el reconocimiento de las mujeres en sus diferencias y diversidad con énfasis en mujeres con orientaciones sexuales e identidades de género diversas, mujeres habitantes de calle y mujeres con discapacidad (21-11-2023), y se llevó a cabo la octava y última jornada de capacitación con la participación de 11 servidores, servidoras y contratistas de la Secretaría de Hacienda, donde se abordó a través de un panel el reconocimiento de las mujeres en sus diferencias y diversidad con énfasis en mujeres campesinas y rurales, mujeres que realizan actividades sexuales pagadas – ASP y mujeres migrantes y refugiadas (28-11-2023)
Una (1) acción de formación con el sector Ambiente: taller con 25 servidoras, servidores y contratistas de la Secretaría Distrital de Ambiente sobre enfoque de género y enfoque diferencial, identidad, sistemas de discriminación y comunicación no sexista (7-11-2023).
Una (1) acción de formación con el sector Movilidad: una (1) jornada de sensibilización con 28 colaboradores y colaboradoras de la Operadora Distrital de Transporte La Rolita, sobre el derecho al trabajo en condiciones de igualdad y dignidad y su relación con los enfoques de género y diferencial. Así mismo, se compartieron algunas recomendaciones para transformar prácticas de discriminación en contextos laborales hacía las mujeres en sus diferencias y diversidad (2-11-2023).</t>
    </r>
  </si>
  <si>
    <r>
      <t xml:space="preserve">A </t>
    </r>
    <r>
      <rPr>
        <b/>
        <sz val="11"/>
        <color theme="1"/>
        <rFont val="Times New Roman"/>
        <family val="1"/>
      </rPr>
      <t>noviembre</t>
    </r>
    <r>
      <rPr>
        <sz val="11"/>
        <color theme="1"/>
        <rFont val="Times New Roman"/>
        <family val="1"/>
      </rPr>
      <t xml:space="preserve"> se han implementado 32 actividades de asistencia técnica para la transversalización del enfoque diferencial.</t>
    </r>
  </si>
  <si>
    <r>
      <t xml:space="preserve">En el mes de </t>
    </r>
    <r>
      <rPr>
        <b/>
        <sz val="11"/>
        <color theme="1"/>
        <rFont val="Times New Roman"/>
        <family val="1"/>
      </rPr>
      <t>noviembre</t>
    </r>
    <r>
      <rPr>
        <sz val="11"/>
        <color theme="1"/>
        <rFont val="Times New Roman"/>
        <family val="1"/>
      </rPr>
      <t xml:space="preserve"> se realizaron atenciones a 1080 mujeres nuevas en sus diferencias y diversidad desde la Dirección de Enfoque Diferencial.   </t>
    </r>
  </si>
  <si>
    <r>
      <rPr>
        <b/>
        <sz val="11"/>
        <color theme="1"/>
        <rFont val="Times New Roman"/>
        <family val="1"/>
      </rPr>
      <t>Entre enero y noviembre</t>
    </r>
    <r>
      <rPr>
        <sz val="11"/>
        <color theme="1"/>
        <rFont val="Times New Roman"/>
        <family val="1"/>
      </rPr>
      <t xml:space="preserve"> se realizaron atenciones a 4864 mujeres nuevas en sus diferencias y diversidad desde la Dirección de Enfoque Diferencial</t>
    </r>
  </si>
  <si>
    <t>Se tomarán acciones para incrementar las atenciones, como realizar seguimientos en los casos que no se han efectuado, realizar valoraciones iniciales de las mujeres que lleguen por primera vez.</t>
  </si>
  <si>
    <r>
      <t>En</t>
    </r>
    <r>
      <rPr>
        <b/>
        <sz val="12"/>
        <rFont val="Times New Roman"/>
        <family val="1"/>
      </rPr>
      <t xml:space="preserve"> noviembre </t>
    </r>
    <r>
      <rPr>
        <sz val="12"/>
        <rFont val="Times New Roman"/>
        <family val="1"/>
      </rPr>
      <t xml:space="preserve">se realizaron las conmemoraciones de: Mujeres campesinas y rurales con la participación de 81 mujeres,  Mujeres adultas con la participación de 115 mujeres, Mujeres mayores con la participación de 230 mujeres, Mujeres con discapacidad con la participación de 145 mujeres, Mujeres trans con la participación de 95 mujeres y Mujeres habitantes de calle con la participación de 85 mujeres,  para un total de 751 mujeres. Asimismo, se realizó una reunión de seguimiento en el marco de la estrategia y la construcción de documento emplame estrategia de de tranaformación cultural.  </t>
    </r>
  </si>
  <si>
    <r>
      <t>Entre</t>
    </r>
    <r>
      <rPr>
        <b/>
        <sz val="12"/>
        <rFont val="Times New Roman"/>
        <family val="1"/>
      </rPr>
      <t xml:space="preserve"> enero y noviembre </t>
    </r>
    <r>
      <rPr>
        <sz val="12"/>
        <rFont val="Times New Roman"/>
        <family val="1"/>
      </rPr>
      <t>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15 encuentros diferenciales con mujeres que realizan ASP, raizales, indígenas, con discapacidad, gitanas, afro, palenqueras, habitantes de calle, adultas, mayores, migrantes, campesinas y rurales, jóvenes,  lesbianas y bisexuales, y trans con un total de 222 participantes. Se han desarrollado 17 conmemoraciones: Mujeres que realizan ASP (28 mujeres), Negras/afrocolombianas (197 mujeres) y Lesbianas y Bisexuales (145 mujeres), Jóvenes (70 mujeres), Indígenas (53 mujeres), cuidadoras de personas con discapacidad (149 mujeres) y mujeres sordas (61 mujeres), 2 con mujeres gitanas con PRORROM (61 mujeres )  y Unión Romani (55 mujeres), mujeres Raizales (58 mujeres ), mujeres Palenqueras (75 mujeres), mujeres Campesinas y rurales (81 mujeres),  mujeres Mayores (230 mujeres), mujeres Adultas (115 mujeres), mujeres con Discapacidad (145 mujeres), mujeres  Trans (95 mujeres) y mujeres Habitantes de calle (85 mujeres),  con la participación total de 1703 mujeres. Con la metodología aprobada y vinculación de las referentas de las Estrategias de la DED de la SDMujer se efectuaron (2) jornadas de sensibilizaciones a los equipos de planeación de los sectores de las administración distrital, con la participación de 47 funcionarias/os de 10 sectores.</t>
    </r>
  </si>
  <si>
    <r>
      <t xml:space="preserve">Entre enero y julio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desarrollaron 14 encuentros diferenciales con mujeres que realizan ASP, raizales, indígenas, con discapacidad, gitanas, afro, palenqueras, habitantes de calle, adultas, mayores, migrantes, campesinas y rurales, jóvenes, lesbianas y bisexuales, con un total de 206 participantes, lo anterior con el objetivo de  brindar la base para la construcción de las propuesta de conmemoración. Se desarrollaron 3 conmemoraciones de: Mujeres que realizan ASP (28 mujeres), Negras/afrocolombianas (197 mujeres) y Lesbianas y Bisexuales (145 mujeres) con la participación total de 370 mujeres. Para agosto se realizó 1 conmemoración: Mujeres Jóvenes en la que participaron 70 mujeres. De igual manera, se avanzó en el alistamiento de las conmemoraciones de Mujeres habitantes de calle y Mujeres cuidadoras de personas con discapacidad, y el seguimiento de la conmemoración de Mujeres sordas. Para septiembre se realizaron 3  conmemoraciones de mujeres Indígenas (53), cuidadoras de personas con discapacidad (149) y mujeres sordas (61), Para octubre se realizaron 4 conmemoraciones:  2 con Mujeres Gitanas con PRORROM (61)  y Unión Romani (55), Mujeres Raizales (58) y Mujeres Palenqueras (75). Para </t>
    </r>
    <r>
      <rPr>
        <b/>
        <sz val="12"/>
        <rFont val="Times New Roman"/>
        <family val="1"/>
      </rPr>
      <t xml:space="preserve">noviembre </t>
    </r>
    <r>
      <rPr>
        <sz val="12"/>
        <rFont val="Times New Roman"/>
        <family val="1"/>
      </rPr>
      <t>se realizaron 6 conmemoraciones de: mujeres campesinas y rurales (81 mujeres),  mujeres mayores (230 mujeres), mujeres adultas (115 mujeres), mujeres con discapacidad (145 mujeres), mujeres trans (95 mujeres) y mujeres habitantes de calle (85 mujeres).</t>
    </r>
  </si>
  <si>
    <r>
      <rPr>
        <b/>
        <sz val="12"/>
        <rFont val="Times New Roman"/>
        <family val="1"/>
      </rPr>
      <t>A noviembre</t>
    </r>
    <r>
      <rPr>
        <sz val="12"/>
        <rFont val="Times New Roman"/>
        <family val="1"/>
      </rPr>
      <t xml:space="preserve">: La </t>
    </r>
    <r>
      <rPr>
        <b/>
        <sz val="12"/>
        <rFont val="Times New Roman"/>
        <family val="1"/>
      </rPr>
      <t>Estrategia de empoderamiento</t>
    </r>
    <r>
      <rPr>
        <sz val="12"/>
        <rFont val="Times New Roman"/>
        <family val="1"/>
      </rPr>
      <t xml:space="preserve"> realizó 18 jornadas significativas (313 partic); 17 semilleros:Afro (2),Palenqueras (2),Indígenas (3),Gitanas,Raizales,muj ASP,6 en Colegio Juan Rey,mujeres IDIPRON (Total 471 pers). Logró ampliar margen de divulgación de estrategia en Distrito: Seguridad,Gobierno,Bilblored,Mesa RIAI,Comisión Accidental los derechos de NNA,UNINPAHU,lideresas juveniles,SDIS-Parceros,líderes ambientales Chapinero,IDIPRON,Defensoría del Pueblo y Centro Crecer. Realizó propuestas metodológicas de semilleros y jornadas significativas.  La </t>
    </r>
    <r>
      <rPr>
        <b/>
        <sz val="12"/>
        <rFont val="Times New Roman"/>
        <family val="1"/>
      </rPr>
      <t xml:space="preserve">Estrategia de capacidades psicoemocionales </t>
    </r>
    <r>
      <rPr>
        <sz val="12"/>
        <rFont val="Times New Roman"/>
        <family val="1"/>
      </rPr>
      <t xml:space="preserve">realizó 76 espacios respiro (1121 partic),implementó 16 Escuelas EducEmoc presencial (261 partic),1 escuela virtual (1115 partic inscrit-certifica 178),1 curso virtual  tejiendo redes para comunidad (858 pers inscrit-100certifica,21 pdte cert) y 1 para servidoras-es públicos (566 pers inscritas-115 certifica 15 pdte cert). Realizó 6 espacios de transferencia de cto con psicosociales de RECA,SIDICU (17 pers),Subdirección LGBTI-SDIS (19 pers),equipo coordinadoras mesa psicos SDMujer (8 pers),equipo psicosocial de transmilenio (27 pers),equipo psicosocial de IDIPRON (24 pers). Feria de servicios Bienestar Emocional con 122 asistentes (65 muj.38 hom.19 fun). Publicación herramientas en página web de SDMujer como difusión  La </t>
    </r>
    <r>
      <rPr>
        <b/>
        <sz val="12"/>
        <rFont val="Times New Roman"/>
        <family val="1"/>
      </rPr>
      <t>Estrategia de Cuidado Menstrual</t>
    </r>
    <r>
      <rPr>
        <sz val="12"/>
        <rFont val="Times New Roman"/>
        <family val="1"/>
      </rPr>
      <t xml:space="preserve">  lideró la 9 Mesa Dist de C. Realizó 4 JDM en Mártires, Santa Fe, Barrios Unidos y Rafael Uribe (98); 10 RDM: Bosa,San Cristóbal,Usaquén,Suba,Engativá,C.Bolívar,Teusaquillo y Ant Nariño,Pte Aranda y Kennedy (81). 25 EMAA: 4 muj ASP (51),4 Colegio Verjón Alto(80, siendo 47 niñas, adolesc muj),2 muj sordas (29),1 muj mayor (17),2 muj campes (22),2 NNJ (40),2 padres-madres Col Acacias II (16 pers), 2 articul ACNUR (37muj) y 1 Casa Amapola (13 pers),1 rural Usme (10muj),1 adolesc afro (36muj 1 hom),1 estud col Acacias II (56muj),1 muj adultas afro (25),1 cárcel Distrital (22muj). Fortalecim instituc:Equipos territ SDIS (43),CentrosEscucha SDSalud (83),IDIPRON equipo psicos (45),Sec Seguridad (15),muj UDistrital (4),ACNUR/SDMujer (4),referenta mujeres sordas-DED,13 doc col Acacias II y Equipo Espiritualidad IDIPRON 16+3 enfermeras SDIS, apoyó evaluación pilotaje copas menstruales a 1 mujer ASP.</t>
    </r>
  </si>
  <si>
    <r>
      <t xml:space="preserve">Entre </t>
    </r>
    <r>
      <rPr>
        <b/>
        <sz val="12"/>
        <rFont val="Times New Roman"/>
        <family val="1"/>
      </rPr>
      <t>enero y noviembre</t>
    </r>
    <r>
      <rPr>
        <sz val="12"/>
        <rFont val="Times New Roman"/>
        <family val="1"/>
      </rPr>
      <t xml:space="preserve"> se actualizó el procedimiento de asistencia técnica (AT) y sus formatos; se coordinó la AT a sectores Movilidad, Hacienda, Jurídica y Ambiente, con DDYDP; se avanzó en definir actividades de AT con los 4 sectores y avanzó en su implementación. Se consolidaron los cronogramas de AT del primer y segundo semestre. Se hizo seguimiento a la AT. Se realizaron 35 acciones de transversalización del ED: Sector Salud 4, Desarrollo Económico 1, Hacienda 1, Seguridad, Convivencia y Justicia 2, Gestión Pública 1, Cultura 1, Educación 3, Ambiente 2, Gobierno 2, Movilidad 1, Hábitat 1 y Mujeres 16. Se aprobó propuesta para consolidar caja de herramientas; se diseñó matriz para caracterizar herramientas y se caracterizaron 17; se validó caracterización de 17 herramientas y avanzó en ajuste de 1 herramienta. Se finalizó consolidación de información de barreras de acceso a los servicios; se elaboró y aprobó con ajustes propuesta de formulación, validación, implementación y seguimiento al plan de fortalecimiento 2023; se elaboraron 7 documentos: 1 de conclusiones de la caracterización de servicios e identificación de barreras y 6 con situaciones que afectan la prestación de servicios a cargo de las diferentes dependencias. Se realizaron 6 reuniones para socializar la consolidación de barreras y definir acciones para su eliminación (SFCYO, DEVAJ, DGC, DSC, DTDYP y DED), se remitió matriz consolidada y documentos; y 2 reuniones para apoyar la identificación de acciones para eliminar las barreras de acceso (SFCYO y DGC). Se consolidaron las matrices enviadas, se formuló propuesta preliminar del Plan, que se revisó y ajustó generando la propuesta final. Se remitió versión final del Plan, mediante memorando a las dependencias para la definición de metas, tiempos y responsables de cada acción. Se apoyó a la DED en su diligenciamiento. Se revisaron y consolidaron las matrices de Plan con metas, tiempos y evidencias envidas por 4 de las 5 dependencias.
Avances en la implementación del lineamiento de corresponsabilidad y de transversalización de enfoques en el CTPD y en la submesa de género. </t>
    </r>
  </si>
  <si>
    <t>Se presentó retraso en la consolidación del plan de fortalecimiento final, ya que solo 4 de las 5 dependencias enviaron las metas, tiempos y evidencias; quedando pendiente 1 dependencia. Como alternativa se contactó a una de las profesionales para hacer seguimiento. 
En cuanto el acompañamiento técnico a instancias no hubo retrasos</t>
  </si>
  <si>
    <r>
      <t xml:space="preserve">De enero a octubre se ajustó el Procedimiento de Asistencia Técnica – AT; se coordinó con DDYDP la AT con 4 sectores, se definieron las actividades de AT con los sectores y se avanzó en su implementación y seguimiento. Se adelantaron 31 acciones de transversalización del enfoque diferencial – ED (Salud 3, Mujeres 14, Desarrollo Económico 1, Hacienda 1, Seguridad 2, Gestión Pública 1, Ambiente 2, Cultura 1, Educación 3, Gobierno 1, Movilidad 1, Hábitat 1). En </t>
    </r>
    <r>
      <rPr>
        <b/>
        <sz val="12"/>
        <color rgb="FF000000"/>
        <rFont val="Times New Roman"/>
        <family val="1"/>
      </rPr>
      <t xml:space="preserve">noviembre </t>
    </r>
    <r>
      <rPr>
        <sz val="12"/>
        <color rgb="FF000000"/>
        <rFont val="Times New Roman"/>
        <family val="1"/>
      </rPr>
      <t xml:space="preserve">se avanzó en la AT, así: Hacienda: 7ta jornada de capacitación a personal de la Secretaría de Hacienda con panel sobre mujeres con orientaciones sexuales e identidades de género diversas, mujeres habitantes de calle y mujeres con discapacidad, y 8va jornada de capacitación con panel sobre mujeres campesinas y rurales, mujeres que realizan actividades sexuales pagadas – ASP y mujeres con discapacidad; Ambiente: 1 taller con personal de la Secretaría de Ambiente sobre enfoque de género y ED, identidad, sistemas de discriminación y comunicación no sexista; Movilidad: sensibilización al personal de la operadora de transporte La Rolita sobre el derecho al trabajo en condiciones de igualdad y dignidad desde los enfoques de género y diferencial y recomendaciones para eliminar la discriminación hacia las mujeres en sus diferencias y diversidad en contextos laborales. Se coordinó el tercer panel sobre mujeres en sus diferencias y diversidad en el marco de la asistencia técnica al sector Hacienda y se hizo seguimiento a la AT. Se adelantaron 4 acciones de transversalización del ED con 3 sectores: Mujeres: 3 talleres con equipos psicosociales sobre herramientas de trabajo con mujeres indígenas, palenqueras y migrantes y refugiadas y prestación de 18 servicios de interpretación para la inclusión y atención a mujeres sordas; Salud: 3 charlas sobre atención con enfoque diferencial a personal de la Sub Red Sur; Gobierno: 1 taller sobre enfoque de género y enfoque diferencial en el marco de la PPMYEG. </t>
    </r>
  </si>
  <si>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2"/>
        <rFont val="Times New Roman"/>
        <family val="1"/>
      </rPr>
      <t xml:space="preserve"> </t>
    </r>
    <r>
      <rPr>
        <sz val="12"/>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 julio se realizo reunión con la Dirección de Gestión del Conocimient el día 12 y 24 de julio, con el fin de revisar y ajustar el documento de investigación 25N-2022 junto a la Subsecretaría del Cuidado y Políticas de Igualdad.
En el mes de </t>
    </r>
    <r>
      <rPr>
        <b/>
        <sz val="12"/>
        <rFont val="Times New Roman"/>
        <family val="1"/>
      </rPr>
      <t>agosto</t>
    </r>
    <r>
      <rPr>
        <sz val="12"/>
        <rFont val="Times New Roman"/>
        <family val="1"/>
      </rPr>
      <t xml:space="preserve"> el documento de Investigación del 25N, construido en el año 2022 por parte de la Dirección de Gestión del Cococimiento, continua en proceso de revisión  por parte de la Subsecretaria del Cuidado y Políticas de Igualdad, con el fin de llevarlo a la Submesa para la garantia de los derechos de las mujeres, diversidades y disidensias del género.
En el mes de septiembre, se realiza informe trimestral de la instancia denominada Submesa para la garantía y seguimiento de los derechos de las mujeres, diversidades, disidencias sexuales y de género.
En el mes de octubre se realizaron los aportes al informe del cuatrienio, aportando las acciones realizadas para la transversalización de los enfoques de derechos de género y diferencial en la socializacoón de la ruta
En el mes de noviembre la Secretaría de gobierno no programó socializaciones de la ruta</t>
    </r>
  </si>
  <si>
    <r>
      <t xml:space="preserve">Desde la </t>
    </r>
    <r>
      <rPr>
        <b/>
        <sz val="12"/>
        <rFont val="Times New Roman"/>
        <family val="1"/>
      </rPr>
      <t>Estrategia de empoderamiento</t>
    </r>
    <r>
      <rPr>
        <sz val="12"/>
        <rFont val="Times New Roman"/>
        <family val="1"/>
      </rPr>
      <t xml:space="preserve">, en noviembre  se realizó: 1 semillero de empoderamiento con jóvenes de IDIPRON (25 personas) 2 jornadas significativas IDIPRON ( 37 personas), 1 jornada mujeres campesinas (6 personas), 1 jornada jóvenes UNINPAHU (17 personas). Socialización de la estrategia con Centro Crecer. Desarrollo Metodológico para IDIPRON, Campesinas y Sec. de Gobierno. 
Desde la </t>
    </r>
    <r>
      <rPr>
        <b/>
        <sz val="12"/>
        <rFont val="Times New Roman"/>
        <family val="1"/>
      </rPr>
      <t>Estrategia de capacidades psicoemocionales</t>
    </r>
    <r>
      <rPr>
        <sz val="12"/>
        <rFont val="Times New Roman"/>
        <family val="1"/>
      </rPr>
      <t xml:space="preserve">, en noviembre se realizaron 11 espacios respiro,  total  139 partic.Se desarrollaron 2 EsEdEmo con: mujeres  migrantes y refugiadas con 51 mujeres partic. certific. Se realizó certificación del curso virtual Tejiendo Redes, así: Para comunidad de 858 pers inscritas se certificaron 100 y 21 culminaron todos los módulos pendiente descargar el certificado (120 mujeres y 1  hombre); para servidoras/es de 566 pers inscritas se certificaron 115 y 15 culminaron  todos los módulos pendiente descargar su certificado (123 mujeres y 7 hombres).Se realizó Feria de Bienestar Emocional con 122 partic ( 65 muj. 38 hom. 19 fun) Adicional, se realizó asistencia técnica a 24 personas del equipo psicosocial de IDIPRON.  
Desde la </t>
    </r>
    <r>
      <rPr>
        <b/>
        <sz val="12"/>
        <rFont val="Times New Roman"/>
        <family val="1"/>
      </rPr>
      <t>Estrategia de Cuidado Menstrual</t>
    </r>
    <r>
      <rPr>
        <sz val="12"/>
        <rFont val="Times New Roman"/>
        <family val="1"/>
      </rPr>
      <t>, en noviembre se realizó la Novena Mesa Distrital de Cuidado Menstrual en la que se llegó a acuerdos para realizar acciones interinstitucionales en diciembre. Se realizaron 2 RDM en Pte Aranda (7muj) y Kennedy (9 HC y 2 en riesgo) en donde se entregaron 16 kit SDMujer; se realizaron 5 jornadas EMAA; 1 rural Usme (10muj); 1 adolescentes afro (36muj 1 hom); 1 estudiantes colegio Acacias II (56muj); 1 adultas afro (25muj), 1 carcel Distrital (22 muj); se realizó fortalecimiento institucional a 13 docentes colegio Acacias II y Equipo Espiritualidad IDIPRON 16 + 3 enfermeras SDIS. Se aprobó piezas comunicativas creadas por la oficina de Comunicaciones referentes al ciclo y calendario menstrual.</t>
    </r>
  </si>
  <si>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el grado séptimo . En  abril</t>
    </r>
    <r>
      <rPr>
        <b/>
        <sz val="12"/>
        <rFont val="Times New Roman"/>
        <family val="1"/>
      </rPr>
      <t xml:space="preserve"> </t>
    </r>
    <r>
      <rPr>
        <sz val="12"/>
        <rFont val="Times New Roman"/>
        <family val="1"/>
      </rPr>
      <t>se realizó el ajuste a la metodología para mujeres que realizan ASP y se construyeron las metodologías para adolescentes campesinas y segunda sesión de semillero con adolescentes de los grados séptimos del Colegio Juan Rey. En  mayo</t>
    </r>
    <r>
      <rPr>
        <b/>
        <sz val="12"/>
        <rFont val="Times New Roman"/>
        <family val="1"/>
      </rPr>
      <t xml:space="preserve"> </t>
    </r>
    <r>
      <rPr>
        <sz val="12"/>
        <rFont val="Times New Roman"/>
        <family val="1"/>
      </rPr>
      <t>se construyeron las metodologías correspondientes para las tres sesiones de semilleros de empoderamiento con estudiantes de los grados tercero, cuarto y quinto del Colegio Juan Rey. En el mes de</t>
    </r>
    <r>
      <rPr>
        <b/>
        <sz val="12"/>
        <rFont val="Times New Roman"/>
        <family val="1"/>
      </rPr>
      <t xml:space="preserve"> </t>
    </r>
    <r>
      <rPr>
        <sz val="12"/>
        <rFont val="Times New Roman"/>
        <family val="1"/>
      </rPr>
      <t xml:space="preserve">junio se construyó la metodología para el PICNIC de participación a mujeres jóvenes y para el Comité Primario de junio de la Dirección de Enfoque Diferencial. En julio se construyó  propuesta metodológica para la jornada significativa que se realizó con mujeres jóvenes. En </t>
    </r>
    <r>
      <rPr>
        <b/>
        <sz val="12"/>
        <rFont val="Times New Roman"/>
        <family val="1"/>
      </rPr>
      <t xml:space="preserve"> </t>
    </r>
    <r>
      <rPr>
        <sz val="12"/>
        <rFont val="Times New Roman"/>
        <family val="1"/>
      </rPr>
      <t>agosto</t>
    </r>
    <r>
      <rPr>
        <b/>
        <sz val="12"/>
        <rFont val="Times New Roman"/>
        <family val="1"/>
      </rPr>
      <t xml:space="preserve"> </t>
    </r>
    <r>
      <rPr>
        <sz val="12"/>
        <rFont val="Times New Roman"/>
        <family val="1"/>
      </rPr>
      <t>se realizaron las  propuestas metodológica para el semillero de mujeres Palenqueras, Gitanas  y jornadas significativas para estudiantes del Colegio Juan Rey. En septiembre se realizó desarrollo metodológico para el semillero Indígena y las metodologías para las jornadas significativas con jóvenes de la Universidad UNINPAHU y para adolescentes invitadas para el lanzamiento de la Política Pública de Infancia y Adolescencia - PPPIIA. En</t>
    </r>
    <r>
      <rPr>
        <b/>
        <sz val="12"/>
        <rFont val="Times New Roman"/>
        <family val="1"/>
      </rPr>
      <t xml:space="preserve"> </t>
    </r>
    <r>
      <rPr>
        <sz val="12"/>
        <rFont val="Times New Roman"/>
        <family val="1"/>
      </rPr>
      <t>octubre</t>
    </r>
    <r>
      <rPr>
        <b/>
        <sz val="12"/>
        <rFont val="Times New Roman"/>
        <family val="1"/>
      </rPr>
      <t xml:space="preserve"> </t>
    </r>
    <r>
      <rPr>
        <sz val="12"/>
        <rFont val="Times New Roman"/>
        <family val="1"/>
      </rPr>
      <t xml:space="preserve">se realizó desarrollo metodológico para jornada significativa con mujeres sordas. </t>
    </r>
    <r>
      <rPr>
        <b/>
        <sz val="12"/>
        <rFont val="Times New Roman"/>
        <family val="1"/>
      </rPr>
      <t>En noviembre</t>
    </r>
    <r>
      <rPr>
        <sz val="12"/>
        <rFont val="Times New Roman"/>
        <family val="1"/>
      </rPr>
      <t xml:space="preserve"> se realizó metodología para las jornadas con jóvenes de IDIPRON, Campesinas y Secretaría de Gobierno. 
</t>
    </r>
  </si>
  <si>
    <r>
      <t xml:space="preserve">La actividad se programó en enero. En febrero se realizó difusión de la estrategia de empoderamiento a la comunidad educativa del Colegio Juan Rey .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julio se realizó socialización de la estrategia de empoderamiento a profesionales de la Secretaría Distrital de Integración Social - SDIS - Programa Parceros y en la Alcaldía Local de Chapinero con líderes ambientales. En agosto se realizó socialización de la estrategia de empoderamiento a profesionales de la universidad UNINPAHU. En septiembre se realizó socialización de la estrategia de empoderamiento a profesionales de IDIPRON. En octubre se socializó la estrategia de empoderamiento con profesionales de Defensoría del Pueblo. En </t>
    </r>
    <r>
      <rPr>
        <b/>
        <sz val="12"/>
        <rFont val="Times New Roman"/>
        <family val="1"/>
      </rPr>
      <t>noviembre</t>
    </r>
    <r>
      <rPr>
        <sz val="12"/>
        <rFont val="Times New Roman"/>
        <family val="1"/>
      </rPr>
      <t xml:space="preserve"> se realizó socialización de la estrategia de empoderamiento a cuidadores/as que participan en Centro Crecer.</t>
    </r>
  </si>
  <si>
    <r>
      <t xml:space="preserve">Durante febrero se logró 2 encuentros de planeación y articulación con el equipo de la EEF.  Igualmente, se realizó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de la EEF. Asimismo, en alianza con el BID, se realizó la revisión al documento final de sistematización programa de educación flexible con la Secretaría de Educación Distrital (SED) y Casa de la Mujer. Igualmente, se realizó encuentro con la Dirección de Gestión de Conocimiento los pasos de la publicación del Manual de Inclusión de Educación Superior 2023. Durante el mes de abril, se retroalimentó Manual retroalimentado con los aportes de la DDDP de la SDMujer. Durante mayo, se realizó articulación con la Dirección de Diseño de Políticas de la SDMujer para compartir la Feria de Educación Superior y se identificaron lecciones aprendidas de las Ferias. Durante junio se realizó IV Feria de educación superior, se realizaron 2 reuniones de gestión, aprestamiento con Universidades y Equipo de la Estrategia. En la Feria, participaron 31 instituciones de Educación Superior, ACNUR y Opción Legal y 1 red de mujeres, 179 mujeres. Durante julio, se envió el Manual para la Inclusión de Mujeres Diversas en Educación Superior, a directora DED con los ajustes sugeridos por la DDDP y se envió a la Dirección de Gestión del Conocimiento. Durante agosto, se realizó reunión de planeación de la segunda Feria de Educación Superior proyectada para noviembre y se tuvo reunión con la encargada de transversalización la Dirección de Enfoque Diferencial -  DED, para incorporar el manual de inclusión realizado en el 2022 en la caja de herramientas de la DED. Durante </t>
    </r>
    <r>
      <rPr>
        <b/>
        <sz val="12"/>
        <rFont val="Times New Roman"/>
        <family val="1"/>
      </rPr>
      <t>s</t>
    </r>
    <r>
      <rPr>
        <sz val="12"/>
        <rFont val="Times New Roman"/>
        <family val="1"/>
      </rPr>
      <t xml:space="preserve">eptiembre se realizó reunión de planeación de Feria de Educación Superior con el equipo de Educación Flexible. Durante octubre se realizó convocatoria a Feria y reunión preparatoria con universidades. Revisión manual de inclusión por Gestión de Conocimiento.Durante </t>
    </r>
    <r>
      <rPr>
        <b/>
        <sz val="12"/>
        <rFont val="Times New Roman"/>
        <family val="1"/>
      </rPr>
      <t>noviembre</t>
    </r>
    <r>
      <rPr>
        <sz val="12"/>
        <rFont val="Times New Roman"/>
        <family val="1"/>
      </rPr>
      <t xml:space="preserve"> se realizó la Feria de Educación Superior con la participación de 75 mujeres en sus diferencias y diversidad, 16 universidades, 3 entidades que financian matriculas, entre ellas el ICETEX y 8 funcionarios de la SDMujer y 2 Alcaldía de La Candelaria,  para un total de 129 personas participantes. Se realizaron los ajustes solicitados al Manual de Inclusión de Educación Superior por parte de la Dirección de Gestión de Conocimiento.</t>
    </r>
  </si>
  <si>
    <r>
      <t xml:space="preserve">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(DGC)  y se envió la inscripción de 3 cursos con 119 mujeres a inglés con el SENA uno con campesinas y rurales. Asimismo, con ACNUR se evaluó las 10 asistencias Económicas con mujeres ASP en Casa de Todas. Durante julio iniciaron los tres cursos de inglés con el SENA con 119 mujeres, se participó en reunión con ACNUR, para asistencias económicas y se articuló con Atenea para invitación de Programa Jóvenes a la U y firma convenio con Makaia para el programa becas en Programación. Durante agosto se realizó reunión de difusión de Becas con Makaia, ACNUR para asistencias económicas y se envío correo a la Fundación Universitaria Cafam para articulación respecto a ofrecimiento de becas. Se continuaron los cursos de inglés que viene realizando la DGC con mujeres participantes de la EEF.Durante septiembre se realizó acompañamiento a la caracterización realizada por ACNUR para las asistencias económicas que recibirán las 12 mujeres, se continuó la articulación con Parceros con actividades puntuales para los siguientes meses y se recibió la lista que 36 mujeres que finalizaron el curso de inglés. Durante octubre se continuó la articulación con Parceros, Makaia y ACNUR en Casa de Todas, con las asistencias económicas. Durante </t>
    </r>
    <r>
      <rPr>
        <b/>
        <sz val="12"/>
        <rFont val="Times New Roman"/>
        <family val="1"/>
      </rPr>
      <t>noviembre</t>
    </r>
    <r>
      <rPr>
        <sz val="12"/>
        <rFont val="Times New Roman"/>
        <family val="1"/>
      </rPr>
      <t xml:space="preserve"> se realizó solicitud a la Fundación Makaia de información de las nuevas convocatorias en programación web. Se envió a la directora de la DED excell diligenciado con información del convenio de cooperación con la Secretaría Distrital de Educación. Se finalizó el ciclo de Educación Flexible en Casa de Todas con la graduación de 10 mujeres que realizan actividades sexuales pagadas -ASP. </t>
    </r>
  </si>
  <si>
    <r>
      <t xml:space="preserve">Durante </t>
    </r>
    <r>
      <rPr>
        <b/>
        <sz val="12"/>
        <rFont val="Times New Roman"/>
        <family val="1"/>
      </rPr>
      <t>noviembre</t>
    </r>
    <r>
      <rPr>
        <sz val="12"/>
        <rFont val="Times New Roman"/>
        <family val="1"/>
      </rPr>
      <t xml:space="preserve"> se enviaron 129 resultados de las Pruebas Saber 11 y se realizaron dos mesas técnicas del contrato interadministrativo con el ICFES para avanzar en el informe final comparativo 2021, 2022 y 2023. Igualmente, se realizó la Feria de Educación Superior con la participación de 75 mujeres en sus diferencias y diversidad, 16 universidades, 3 entidades que financian matriculas, entre ellas el ICETEX, 8 funcionarios de la SDMujer y 2 Alcaldía de La Candelaria, para un total de 129 personas participantes. Por otra parte, se realizaron los ajustes solicitados al Manual de Inclusión de Educación Superior por parte de la Dirección de Gestión de Conocimiento. Se realizó solicitud a la Fundación Makaia de información de las nuevas convocatorias en programación web. Se envió a la directora de la DED excell diligenciado con información del convenio de cooperación con la Secretaría Distrital de Educación. Por último, se finalizó el ciclo de Educación Flexible en Casa de Todas con la graduación de 10 mujeres que realizan actividades sexuales pagadas - ASP.</t>
    </r>
  </si>
  <si>
    <t>Avances  en la implementación de la estrategia de fortalecimiento, con la realización de actividades programadas durante el mes de nviembre, especificamente con el Consejo Consultivo de Mujeres de Bogotá y la Submesa de género.  Se realizaron actividades de fortalecimiento con el CCM como la visita al jardín Botánico y la primera jornada de Fortalecimiento de capacidades de las mujeres. Todas las actividades se realizarón con apoyo del operador logístico.</t>
  </si>
  <si>
    <t>Avances en propuesta de fortalecimiento al CCM. Se han acompañado los eventos programados durante la vigencia 2023 sin ninguna dificultad: Se conto con el apoyo y articulación con la dirección de Gestión del Conocimiento.</t>
  </si>
  <si>
    <t xml:space="preserve">Se realizó la sesión ordinaria del Espacio Autónomo y la mesa coordinadora del CCM del mes de noviembre de 2023 con el acopañamiento técnico de la Subsecretaría del Cuidado y Políticas de Igualdad . Se realizó acompañamiento técnico a la submesa de género. </t>
  </si>
  <si>
    <t>Se han realizado el acompañamiento técnico a las cuatro instancias priorizadas  CCM, el Concejo de Bogotá, submesa de género y Consejo Distrital de Juventud. Se realizó articulación para el acompañamiento del CCM con las direcciones de Territorialización y la Dirección de Gestión del Conocimiento. Externamente se relizó mesa de trabajo con al 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</si>
</sst>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7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b/>
      <sz val="14"/>
      <name val="Times New Roman"/>
      <family val="1"/>
    </font>
    <font>
      <b/>
      <sz val="14"/>
      <color indexed="8"/>
      <name val="Times New Roman"/>
      <family val="1"/>
    </font>
    <font>
      <sz val="14"/>
      <color indexed="8"/>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1"/>
      <color theme="0" tint="-0.34998626667073579"/>
      <name val="Times New Roman"/>
      <family val="1"/>
    </font>
    <font>
      <b/>
      <sz val="14"/>
      <color theme="1"/>
      <name val="Times New Roman"/>
      <family val="1"/>
    </font>
    <font>
      <sz val="12"/>
      <name val="Times New Roman"/>
      <family val="1"/>
    </font>
    <font>
      <b/>
      <sz val="12"/>
      <color indexed="10"/>
      <name val="Times New Roman"/>
      <family val="1"/>
    </font>
    <font>
      <b/>
      <sz val="12"/>
      <color theme="0" tint="-0.34998626667073579"/>
      <name val="Calibri"/>
      <family val="2"/>
      <scheme val="minor"/>
    </font>
    <font>
      <b/>
      <sz val="12"/>
      <color theme="1"/>
      <name val="Calibri"/>
      <family val="2"/>
      <scheme val="minor"/>
    </font>
    <font>
      <sz val="12"/>
      <color theme="1"/>
      <name val="Calibri"/>
      <family val="2"/>
      <scheme val="minor"/>
    </font>
    <font>
      <b/>
      <i/>
      <sz val="12"/>
      <name val="Times New Roman"/>
      <family val="1"/>
    </font>
    <font>
      <sz val="12"/>
      <color theme="1"/>
      <name val="Times New Roman"/>
      <family val="1"/>
    </font>
    <font>
      <sz val="12"/>
      <color rgb="FFFF0000"/>
      <name val="Times New Roman"/>
      <family val="1"/>
    </font>
    <font>
      <b/>
      <sz val="12"/>
      <color indexed="8"/>
      <name val="Calibri"/>
      <family val="2"/>
      <scheme val="minor"/>
    </font>
    <font>
      <sz val="12"/>
      <name val="Calibri"/>
      <family val="2"/>
      <scheme val="minor"/>
    </font>
    <font>
      <sz val="12"/>
      <color rgb="FF000000"/>
      <name val="Times New Roman"/>
      <family val="1"/>
    </font>
    <font>
      <b/>
      <sz val="12"/>
      <color rgb="FF000000"/>
      <name val="Times New Roman"/>
      <family val="1"/>
    </font>
    <font>
      <sz val="8"/>
      <name val="Calibri"/>
      <family val="2"/>
      <scheme val="minor"/>
    </font>
    <font>
      <b/>
      <sz val="20"/>
      <color theme="1"/>
      <name val="Times New Roman"/>
      <family val="1"/>
    </font>
    <font>
      <b/>
      <sz val="20"/>
      <name val="Times New Roman"/>
      <family val="1"/>
    </font>
    <font>
      <sz val="20"/>
      <color theme="1"/>
      <name val="Times New Roman"/>
      <family val="1"/>
    </font>
    <font>
      <b/>
      <sz val="12"/>
      <color rgb="FF00B050"/>
      <name val="Times New Roman"/>
      <family val="1"/>
    </font>
    <font>
      <b/>
      <sz val="11"/>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
      <left/>
      <right style="thin">
        <color auto="1"/>
      </right>
      <top style="medium">
        <color auto="1"/>
      </top>
      <bottom/>
      <diagonal/>
    </border>
  </borders>
  <cellStyleXfs count="37">
    <xf numFmtId="0" fontId="0" fillId="0" borderId="0"/>
    <xf numFmtId="0" fontId="30" fillId="3" borderId="72" applyNumberFormat="0" applyAlignment="0" applyProtection="0"/>
    <xf numFmtId="49" fontId="32" fillId="0" borderId="0" applyFill="0" applyBorder="0" applyProtection="0">
      <alignment horizontal="left" vertical="center"/>
    </xf>
    <xf numFmtId="0" fontId="33" fillId="4" borderId="73" applyNumberFormat="0" applyFont="0" applyFill="0" applyAlignment="0"/>
    <xf numFmtId="0" fontId="33" fillId="4" borderId="74" applyNumberFormat="0" applyFont="0" applyFill="0" applyAlignment="0"/>
    <xf numFmtId="0" fontId="35" fillId="5" borderId="0" applyNumberFormat="0" applyProtection="0">
      <alignment horizontal="left" wrapText="1" indent="4"/>
    </xf>
    <xf numFmtId="0" fontId="36" fillId="5" borderId="0" applyNumberFormat="0" applyProtection="0">
      <alignment horizontal="left" wrapText="1" indent="4"/>
    </xf>
    <xf numFmtId="0" fontId="34" fillId="6" borderId="0" applyNumberFormat="0" applyBorder="0" applyAlignment="0" applyProtection="0"/>
    <xf numFmtId="16" fontId="37" fillId="0" borderId="0" applyFont="0" applyFill="0" applyBorder="0" applyAlignment="0">
      <alignment horizontal="left"/>
    </xf>
    <xf numFmtId="0" fontId="38" fillId="7" borderId="0" applyNumberFormat="0" applyBorder="0" applyProtection="0">
      <alignment horizontal="center" vertical="center"/>
    </xf>
    <xf numFmtId="169" fontId="30" fillId="0" borderId="0" applyFont="0" applyFill="0" applyBorder="0" applyAlignment="0" applyProtection="0"/>
    <xf numFmtId="16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9" fontId="5"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171" fontId="2" fillId="0" borderId="0" applyFont="0" applyFill="0" applyBorder="0" applyAlignment="0" applyProtection="0"/>
    <xf numFmtId="170" fontId="30" fillId="0" borderId="0" applyFont="0" applyFill="0" applyBorder="0" applyAlignment="0" applyProtection="0"/>
    <xf numFmtId="164" fontId="1" fillId="0" borderId="0" applyFont="0" applyFill="0" applyBorder="0" applyAlignment="0" applyProtection="0"/>
    <xf numFmtId="165" fontId="33" fillId="0" borderId="0" applyFont="0" applyFill="0" applyBorder="0" applyAlignment="0" applyProtection="0"/>
    <xf numFmtId="0" fontId="39" fillId="8" borderId="0" applyNumberFormat="0" applyBorder="0" applyAlignment="0" applyProtection="0"/>
    <xf numFmtId="0" fontId="2" fillId="0" borderId="0"/>
    <xf numFmtId="0" fontId="2" fillId="0" borderId="0"/>
    <xf numFmtId="0" fontId="33" fillId="0" borderId="0"/>
    <xf numFmtId="0" fontId="6" fillId="0" borderId="0"/>
    <xf numFmtId="0" fontId="5" fillId="0" borderId="0"/>
    <xf numFmtId="0" fontId="2" fillId="0" borderId="0"/>
    <xf numFmtId="9" fontId="3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6" fillId="0" borderId="0" applyFill="0" applyBorder="0">
      <alignment wrapText="1"/>
    </xf>
    <xf numFmtId="0" fontId="31" fillId="0" borderId="0"/>
    <xf numFmtId="0" fontId="40" fillId="5" borderId="0" applyNumberFormat="0" applyBorder="0" applyProtection="0">
      <alignment horizontal="left" indent="1"/>
    </xf>
  </cellStyleXfs>
  <cellXfs count="1050">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0"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1"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2" fillId="19" borderId="13" xfId="0" applyFont="1" applyFill="1" applyBorder="1" applyAlignment="1">
      <alignment vertical="center"/>
    </xf>
    <xf numFmtId="0" fontId="42" fillId="19" borderId="0" xfId="0" applyFont="1" applyFill="1" applyAlignment="1">
      <alignment vertical="center"/>
    </xf>
    <xf numFmtId="0" fontId="42"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0"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3"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1"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1"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2" fillId="0" borderId="0" xfId="0" applyFont="1" applyAlignment="1">
      <alignment vertical="center"/>
    </xf>
    <xf numFmtId="0" fontId="42" fillId="0" borderId="1" xfId="0" applyFont="1" applyBorder="1" applyAlignment="1">
      <alignment horizontal="center" vertical="center" wrapText="1"/>
    </xf>
    <xf numFmtId="0" fontId="42" fillId="0" borderId="1" xfId="0" applyFont="1" applyBorder="1" applyAlignment="1">
      <alignment vertical="center"/>
    </xf>
    <xf numFmtId="0" fontId="42" fillId="0" borderId="1" xfId="0" applyFont="1" applyBorder="1" applyAlignment="1">
      <alignment horizontal="center" vertical="center"/>
    </xf>
    <xf numFmtId="0" fontId="44" fillId="9" borderId="1" xfId="0" applyFont="1" applyFill="1" applyBorder="1" applyAlignment="1">
      <alignment horizontal="center" vertical="center"/>
    </xf>
    <xf numFmtId="0" fontId="42" fillId="0" borderId="0" xfId="0" applyFont="1" applyAlignment="1">
      <alignment horizontal="center" vertical="center"/>
    </xf>
    <xf numFmtId="0" fontId="45" fillId="0" borderId="1" xfId="0" applyFont="1" applyBorder="1" applyAlignment="1">
      <alignment vertical="center"/>
    </xf>
    <xf numFmtId="0" fontId="44" fillId="9" borderId="1" xfId="0" applyFont="1" applyFill="1" applyBorder="1" applyAlignment="1">
      <alignment horizontal="left" vertical="center"/>
    </xf>
    <xf numFmtId="0" fontId="42" fillId="0" borderId="1" xfId="0" applyFont="1" applyBorder="1" applyAlignment="1">
      <alignment horizontal="left" vertical="center"/>
    </xf>
    <xf numFmtId="0" fontId="42" fillId="0" borderId="2" xfId="0" applyFont="1" applyBorder="1" applyAlignment="1">
      <alignment horizontal="left" vertical="center"/>
    </xf>
    <xf numFmtId="41" fontId="42" fillId="0" borderId="1" xfId="12" applyFont="1" applyFill="1" applyBorder="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6" fillId="9" borderId="1" xfId="0" applyFont="1" applyFill="1" applyBorder="1" applyAlignment="1">
      <alignment vertical="center"/>
    </xf>
    <xf numFmtId="41" fontId="42" fillId="0" borderId="2" xfId="12" applyFont="1" applyFill="1" applyBorder="1" applyAlignment="1">
      <alignment vertical="center"/>
    </xf>
    <xf numFmtId="49" fontId="42" fillId="0" borderId="2" xfId="12" applyNumberFormat="1" applyFont="1" applyFill="1" applyBorder="1" applyAlignment="1">
      <alignment vertical="center"/>
    </xf>
    <xf numFmtId="49" fontId="42" fillId="0" borderId="1" xfId="12" applyNumberFormat="1" applyFont="1" applyFill="1" applyBorder="1" applyAlignment="1">
      <alignment vertical="center"/>
    </xf>
    <xf numFmtId="0" fontId="42" fillId="0" borderId="0" xfId="0" applyFont="1" applyAlignment="1">
      <alignment horizontal="left" vertical="center"/>
    </xf>
    <xf numFmtId="0" fontId="46" fillId="21" borderId="1" xfId="0" applyFont="1" applyFill="1" applyBorder="1" applyAlignment="1">
      <alignment horizontal="center" vertical="center"/>
    </xf>
    <xf numFmtId="0" fontId="42" fillId="0" borderId="4"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11" fillId="19" borderId="1" xfId="0" applyFont="1" applyFill="1" applyBorder="1" applyAlignment="1">
      <alignment horizontal="left" vertical="center" wrapText="1"/>
    </xf>
    <xf numFmtId="0" fontId="46" fillId="0" borderId="10" xfId="0" applyFont="1" applyBorder="1" applyAlignment="1">
      <alignment horizontal="left" vertical="center" wrapText="1"/>
    </xf>
    <xf numFmtId="0" fontId="42"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6" fillId="21" borderId="1" xfId="0" applyFont="1" applyFill="1" applyBorder="1" applyAlignment="1">
      <alignment horizontal="left" vertical="center"/>
    </xf>
    <xf numFmtId="0" fontId="46" fillId="0" borderId="1" xfId="0" applyFont="1" applyBorder="1" applyAlignment="1">
      <alignment horizontal="left" vertical="center"/>
    </xf>
    <xf numFmtId="0" fontId="46" fillId="0" borderId="1" xfId="0" applyFont="1" applyBorder="1" applyAlignment="1">
      <alignment horizontal="left" vertical="center" wrapText="1"/>
    </xf>
    <xf numFmtId="0" fontId="13" fillId="0" borderId="10" xfId="0" applyFont="1" applyBorder="1" applyAlignment="1">
      <alignment horizontal="left" vertical="center" wrapText="1"/>
    </xf>
    <xf numFmtId="0" fontId="46" fillId="0" borderId="1" xfId="0" applyFont="1" applyBorder="1" applyAlignment="1">
      <alignment horizontal="center" vertical="center" wrapText="1"/>
    </xf>
    <xf numFmtId="41" fontId="48"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6" fillId="0" borderId="1" xfId="31"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center" vertical="center" wrapText="1"/>
    </xf>
    <xf numFmtId="4" fontId="48" fillId="0" borderId="1" xfId="0" applyNumberFormat="1" applyFont="1" applyBorder="1" applyAlignment="1">
      <alignment horizontal="center" vertical="center" wrapText="1"/>
    </xf>
    <xf numFmtId="0" fontId="48" fillId="0" borderId="8" xfId="0" applyFont="1" applyBorder="1" applyAlignment="1">
      <alignment horizontal="center" vertical="center"/>
    </xf>
    <xf numFmtId="0" fontId="48" fillId="0" borderId="1" xfId="0" applyFont="1" applyBorder="1" applyAlignment="1">
      <alignment horizontal="center" vertical="center"/>
    </xf>
    <xf numFmtId="0" fontId="49" fillId="0" borderId="1" xfId="0" applyFont="1" applyBorder="1" applyAlignment="1">
      <alignment horizontal="center" vertical="center"/>
    </xf>
    <xf numFmtId="0" fontId="48" fillId="0" borderId="1" xfId="0" applyFont="1" applyBorder="1" applyAlignment="1">
      <alignment vertical="center"/>
    </xf>
    <xf numFmtId="4" fontId="48" fillId="0" borderId="1" xfId="0" applyNumberFormat="1" applyFont="1" applyBorder="1" applyAlignment="1">
      <alignment horizontal="center" vertical="center"/>
    </xf>
    <xf numFmtId="9" fontId="42" fillId="0" borderId="0" xfId="31" applyFont="1" applyFill="1" applyAlignment="1">
      <alignment vertical="center"/>
    </xf>
    <xf numFmtId="0" fontId="48" fillId="0" borderId="1" xfId="0" applyFont="1" applyBorder="1" applyAlignment="1">
      <alignment horizontal="left"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48" fillId="0" borderId="0" xfId="0" applyFont="1" applyAlignment="1">
      <alignment vertical="center"/>
    </xf>
    <xf numFmtId="4" fontId="48" fillId="0" borderId="1" xfId="12" applyNumberFormat="1" applyFont="1" applyFill="1" applyBorder="1" applyAlignment="1">
      <alignment horizontal="center" vertical="center" wrapText="1"/>
    </xf>
    <xf numFmtId="41" fontId="48" fillId="0" borderId="1" xfId="12" applyFont="1" applyFill="1" applyBorder="1" applyAlignment="1">
      <alignment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2"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2" fillId="0" borderId="0" xfId="0" applyNumberFormat="1" applyFont="1" applyAlignment="1">
      <alignment horizontal="justify" vertical="center" wrapText="1"/>
    </xf>
    <xf numFmtId="0" fontId="50" fillId="0" borderId="0" xfId="0" applyFont="1" applyAlignment="1">
      <alignment vertical="center"/>
    </xf>
    <xf numFmtId="0" fontId="27" fillId="9" borderId="1" xfId="0" applyFont="1" applyFill="1" applyBorder="1" applyAlignment="1">
      <alignment horizontal="left" vertical="center" wrapText="1"/>
    </xf>
    <xf numFmtId="0" fontId="27" fillId="9" borderId="1" xfId="0" applyFont="1" applyFill="1" applyBorder="1" applyAlignment="1">
      <alignment vertical="center" wrapText="1"/>
    </xf>
    <xf numFmtId="0" fontId="29" fillId="19" borderId="0" xfId="0" applyFont="1" applyFill="1" applyAlignment="1">
      <alignment vertical="center"/>
    </xf>
    <xf numFmtId="0" fontId="29" fillId="19" borderId="0" xfId="0" applyFont="1" applyFill="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27" fillId="9" borderId="4" xfId="0" applyFont="1" applyFill="1" applyBorder="1" applyAlignment="1">
      <alignment horizontal="center" vertical="center" wrapText="1"/>
    </xf>
    <xf numFmtId="49" fontId="27" fillId="9" borderId="10" xfId="0" applyNumberFormat="1" applyFont="1" applyFill="1" applyBorder="1" applyAlignment="1">
      <alignment horizontal="center" vertical="center" wrapText="1"/>
    </xf>
    <xf numFmtId="0" fontId="29" fillId="0" borderId="1" xfId="0" applyFont="1" applyBorder="1" applyAlignment="1">
      <alignment vertical="center"/>
    </xf>
    <xf numFmtId="178" fontId="29" fillId="0" borderId="1" xfId="17" applyNumberFormat="1" applyFont="1" applyBorder="1" applyAlignment="1">
      <alignment vertical="center"/>
    </xf>
    <xf numFmtId="0" fontId="29" fillId="27" borderId="1" xfId="0" applyFont="1" applyFill="1" applyBorder="1" applyAlignment="1">
      <alignment horizontal="center" vertical="center"/>
    </xf>
    <xf numFmtId="177" fontId="28" fillId="28" borderId="1" xfId="18" applyNumberFormat="1" applyFont="1" applyFill="1" applyBorder="1" applyAlignment="1">
      <alignment horizontal="center" vertical="center"/>
    </xf>
    <xf numFmtId="177" fontId="28" fillId="0" borderId="1" xfId="18" applyNumberFormat="1"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8" fillId="28" borderId="1" xfId="0" applyFont="1" applyFill="1" applyBorder="1" applyAlignment="1">
      <alignment horizontal="left" vertical="center"/>
    </xf>
    <xf numFmtId="0" fontId="28" fillId="28" borderId="1" xfId="0" applyFont="1" applyFill="1" applyBorder="1" applyAlignment="1">
      <alignment horizontal="center" vertical="center"/>
    </xf>
    <xf numFmtId="178" fontId="28" fillId="28" borderId="1" xfId="17" applyNumberFormat="1" applyFont="1" applyFill="1" applyBorder="1" applyAlignment="1">
      <alignment horizontal="center" vertical="center"/>
    </xf>
    <xf numFmtId="0" fontId="28" fillId="27" borderId="1" xfId="0" applyFont="1" applyFill="1" applyBorder="1" applyAlignment="1">
      <alignment horizontal="center" vertical="center"/>
    </xf>
    <xf numFmtId="177" fontId="28"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0" fillId="0" borderId="0" xfId="0" applyFont="1" applyAlignment="1">
      <alignment horizontal="justify" vertical="center" wrapText="1"/>
    </xf>
    <xf numFmtId="3" fontId="42" fillId="0" borderId="1" xfId="11" applyNumberFormat="1" applyFont="1" applyFill="1" applyBorder="1" applyAlignment="1">
      <alignment horizontal="center" vertical="center" wrapText="1"/>
    </xf>
    <xf numFmtId="168" fontId="42" fillId="0" borderId="1" xfId="11" applyFont="1" applyFill="1" applyBorder="1" applyAlignment="1">
      <alignment horizontal="center" vertical="center" wrapText="1"/>
    </xf>
    <xf numFmtId="0" fontId="42" fillId="0" borderId="1" xfId="0" applyFont="1" applyBorder="1" applyAlignment="1">
      <alignment horizontal="justify" vertical="center" wrapText="1"/>
    </xf>
    <xf numFmtId="3" fontId="42"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2" fillId="19" borderId="1" xfId="0" applyFont="1" applyFill="1" applyBorder="1" applyAlignment="1">
      <alignment horizontal="center" vertical="center"/>
    </xf>
    <xf numFmtId="3" fontId="42"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169" fontId="30" fillId="0" borderId="0" xfId="10" applyFont="1" applyBorder="1" applyAlignment="1">
      <alignment vertical="center"/>
    </xf>
    <xf numFmtId="169" fontId="0" fillId="0" borderId="0" xfId="10" applyFont="1" applyAlignment="1">
      <alignment vertical="center"/>
    </xf>
    <xf numFmtId="0" fontId="42" fillId="19" borderId="1" xfId="0" applyFont="1" applyFill="1" applyBorder="1" applyAlignment="1">
      <alignment vertical="center"/>
    </xf>
    <xf numFmtId="9" fontId="42" fillId="19" borderId="1" xfId="31" applyFont="1" applyFill="1" applyBorder="1" applyAlignment="1">
      <alignment vertical="center"/>
    </xf>
    <xf numFmtId="3" fontId="42" fillId="19" borderId="1" xfId="0" applyNumberFormat="1" applyFont="1" applyFill="1" applyBorder="1" applyAlignment="1">
      <alignment horizontal="center" vertical="center"/>
    </xf>
    <xf numFmtId="0" fontId="11" fillId="19" borderId="1" xfId="0" applyFont="1" applyFill="1" applyBorder="1" applyAlignment="1">
      <alignment vertical="center"/>
    </xf>
    <xf numFmtId="0" fontId="19" fillId="19" borderId="75" xfId="25" applyFont="1" applyFill="1" applyBorder="1" applyAlignment="1">
      <alignment vertical="center" wrapText="1"/>
    </xf>
    <xf numFmtId="0" fontId="19" fillId="19" borderId="82" xfId="25" applyFont="1" applyFill="1" applyBorder="1" applyAlignment="1">
      <alignment vertical="center" wrapText="1"/>
    </xf>
    <xf numFmtId="0" fontId="19" fillId="19" borderId="83" xfId="25" applyFont="1" applyFill="1" applyBorder="1" applyAlignment="1">
      <alignment vertical="center" wrapText="1"/>
    </xf>
    <xf numFmtId="0" fontId="19" fillId="19" borderId="0" xfId="25" applyFont="1" applyFill="1" applyAlignment="1">
      <alignment vertical="center" wrapText="1"/>
    </xf>
    <xf numFmtId="0" fontId="55" fillId="19" borderId="0" xfId="25" applyFont="1" applyFill="1" applyAlignment="1">
      <alignment vertical="center" wrapText="1"/>
    </xf>
    <xf numFmtId="0" fontId="19" fillId="19" borderId="11" xfId="25" applyFont="1" applyFill="1" applyBorder="1" applyAlignment="1">
      <alignment vertical="center" wrapText="1"/>
    </xf>
    <xf numFmtId="0" fontId="54" fillId="19" borderId="11" xfId="25" applyFont="1" applyFill="1" applyBorder="1" applyAlignment="1">
      <alignment vertical="center" wrapText="1"/>
    </xf>
    <xf numFmtId="0" fontId="54" fillId="19" borderId="12" xfId="25" applyFont="1" applyFill="1" applyBorder="1" applyAlignment="1">
      <alignment vertical="center" wrapText="1"/>
    </xf>
    <xf numFmtId="0" fontId="19" fillId="19" borderId="13" xfId="25" applyFont="1" applyFill="1" applyBorder="1" applyAlignment="1">
      <alignment vertical="center" wrapText="1"/>
    </xf>
    <xf numFmtId="0" fontId="54" fillId="19" borderId="0" xfId="25" applyFont="1" applyFill="1" applyAlignment="1">
      <alignment vertical="center" wrapText="1"/>
    </xf>
    <xf numFmtId="0" fontId="54" fillId="19" borderId="14" xfId="25" applyFont="1" applyFill="1" applyBorder="1" applyAlignment="1">
      <alignment vertical="center" wrapText="1"/>
    </xf>
    <xf numFmtId="0" fontId="19" fillId="19" borderId="0" xfId="25" applyFont="1" applyFill="1" applyAlignment="1">
      <alignment horizontal="justify" vertical="center" wrapText="1"/>
    </xf>
    <xf numFmtId="0" fontId="55" fillId="19" borderId="0" xfId="25" applyFont="1" applyFill="1" applyAlignment="1">
      <alignment horizontal="justify" vertical="center" wrapText="1"/>
    </xf>
    <xf numFmtId="0" fontId="54" fillId="19" borderId="0" xfId="25" applyFont="1" applyFill="1" applyAlignment="1">
      <alignment horizontal="justify" vertical="center" wrapText="1"/>
    </xf>
    <xf numFmtId="0" fontId="54" fillId="19" borderId="14" xfId="25" applyFont="1" applyFill="1" applyBorder="1" applyAlignment="1">
      <alignment horizontal="justify" vertical="center" wrapText="1"/>
    </xf>
    <xf numFmtId="0" fontId="19" fillId="0" borderId="13" xfId="25" applyFont="1" applyBorder="1" applyAlignment="1">
      <alignment vertical="center" wrapText="1"/>
    </xf>
    <xf numFmtId="0" fontId="19" fillId="0" borderId="0" xfId="25" applyFont="1" applyAlignment="1">
      <alignment vertical="center" wrapText="1"/>
    </xf>
    <xf numFmtId="0" fontId="19" fillId="0" borderId="0" xfId="25" applyFont="1" applyAlignment="1">
      <alignment horizontal="center" vertical="center" wrapText="1"/>
    </xf>
    <xf numFmtId="0" fontId="56" fillId="0" borderId="0" xfId="0" applyFont="1" applyAlignment="1">
      <alignment horizontal="center" vertical="center"/>
    </xf>
    <xf numFmtId="0" fontId="57" fillId="0" borderId="0" xfId="0" applyFont="1" applyAlignment="1">
      <alignment horizontal="center" vertical="center" wrapText="1"/>
    </xf>
    <xf numFmtId="0" fontId="58" fillId="0" borderId="0" xfId="0" applyFont="1" applyAlignment="1">
      <alignment horizontal="center" vertical="center"/>
    </xf>
    <xf numFmtId="0" fontId="55" fillId="0" borderId="0" xfId="25" applyFont="1" applyAlignment="1">
      <alignment vertical="center" wrapText="1"/>
    </xf>
    <xf numFmtId="0" fontId="54" fillId="0" borderId="0" xfId="25" applyFont="1" applyAlignment="1">
      <alignment vertical="center" wrapText="1"/>
    </xf>
    <xf numFmtId="0" fontId="54" fillId="0" borderId="14" xfId="25" applyFont="1" applyBorder="1" applyAlignment="1">
      <alignment vertical="center" wrapText="1"/>
    </xf>
    <xf numFmtId="0" fontId="19" fillId="19" borderId="13" xfId="25" applyFont="1" applyFill="1" applyBorder="1" applyAlignment="1">
      <alignment horizontal="center" vertical="center" wrapText="1"/>
    </xf>
    <xf numFmtId="0" fontId="19" fillId="19" borderId="81" xfId="25" applyFont="1" applyFill="1" applyBorder="1" applyAlignment="1">
      <alignment horizontal="center" vertical="center" wrapText="1"/>
    </xf>
    <xf numFmtId="0" fontId="59" fillId="19" borderId="0" xfId="25" applyFont="1" applyFill="1" applyAlignment="1">
      <alignment horizontal="center" vertical="center" wrapText="1"/>
    </xf>
    <xf numFmtId="0" fontId="19" fillId="19" borderId="0" xfId="25" applyFont="1" applyFill="1" applyAlignment="1">
      <alignment horizontal="center" vertical="center" wrapText="1"/>
    </xf>
    <xf numFmtId="0" fontId="59" fillId="0" borderId="0" xfId="25" applyFont="1" applyAlignment="1">
      <alignment horizontal="center" vertical="center" wrapText="1"/>
    </xf>
    <xf numFmtId="0" fontId="19" fillId="0" borderId="14" xfId="25" applyFont="1" applyBorder="1" applyAlignment="1">
      <alignment horizontal="center" vertical="center" wrapText="1"/>
    </xf>
    <xf numFmtId="0" fontId="54" fillId="19" borderId="15" xfId="25" applyFont="1" applyFill="1" applyBorder="1" applyAlignment="1">
      <alignment vertical="center" wrapText="1"/>
    </xf>
    <xf numFmtId="0" fontId="54" fillId="19" borderId="16" xfId="25" applyFont="1" applyFill="1" applyBorder="1" applyAlignment="1">
      <alignment vertical="center" wrapText="1"/>
    </xf>
    <xf numFmtId="0" fontId="60" fillId="19" borderId="13" xfId="0" applyFont="1" applyFill="1" applyBorder="1" applyAlignment="1">
      <alignment vertical="center"/>
    </xf>
    <xf numFmtId="0" fontId="60" fillId="19" borderId="0" xfId="0" applyFont="1" applyFill="1" applyAlignment="1">
      <alignment vertical="center"/>
    </xf>
    <xf numFmtId="0" fontId="60" fillId="19" borderId="14" xfId="0" applyFont="1" applyFill="1" applyBorder="1" applyAlignment="1">
      <alignment vertical="center"/>
    </xf>
    <xf numFmtId="0" fontId="54" fillId="19" borderId="13" xfId="25" applyFont="1" applyFill="1" applyBorder="1" applyAlignment="1">
      <alignment vertical="center" wrapText="1"/>
    </xf>
    <xf numFmtId="0" fontId="19" fillId="20" borderId="29" xfId="25" applyFont="1" applyFill="1" applyBorder="1" applyAlignment="1">
      <alignment horizontal="center" vertical="center" wrapText="1"/>
    </xf>
    <xf numFmtId="0" fontId="19" fillId="20" borderId="30" xfId="25" applyFont="1" applyFill="1" applyBorder="1" applyAlignment="1">
      <alignment horizontal="center" vertical="center" wrapText="1"/>
    </xf>
    <xf numFmtId="0" fontId="19" fillId="20" borderId="31" xfId="25" applyFont="1" applyFill="1" applyBorder="1" applyAlignment="1">
      <alignment horizontal="center" vertical="center" wrapText="1"/>
    </xf>
    <xf numFmtId="173" fontId="58" fillId="0" borderId="27" xfId="10" applyNumberFormat="1" applyFont="1" applyBorder="1" applyAlignment="1">
      <alignment vertical="center"/>
    </xf>
    <xf numFmtId="173" fontId="58" fillId="0" borderId="4" xfId="10" applyNumberFormat="1" applyFont="1" applyBorder="1" applyAlignment="1">
      <alignment vertical="center"/>
    </xf>
    <xf numFmtId="173" fontId="58" fillId="0" borderId="20" xfId="10" applyNumberFormat="1" applyFont="1" applyBorder="1" applyAlignment="1">
      <alignment vertical="center"/>
    </xf>
    <xf numFmtId="173" fontId="58" fillId="19" borderId="34" xfId="10" applyNumberFormat="1" applyFont="1" applyFill="1" applyBorder="1" applyAlignment="1">
      <alignment vertical="center"/>
    </xf>
    <xf numFmtId="173" fontId="58" fillId="19" borderId="35" xfId="10" applyNumberFormat="1" applyFont="1" applyFill="1" applyBorder="1" applyAlignment="1">
      <alignment vertical="center"/>
    </xf>
    <xf numFmtId="173" fontId="58" fillId="0" borderId="35" xfId="10" applyNumberFormat="1" applyFont="1" applyBorder="1" applyAlignment="1">
      <alignment vertical="center"/>
    </xf>
    <xf numFmtId="9" fontId="58" fillId="0" borderId="49" xfId="31" applyFont="1" applyBorder="1" applyAlignment="1">
      <alignment vertical="center"/>
    </xf>
    <xf numFmtId="0" fontId="19" fillId="20" borderId="8" xfId="25" applyFont="1" applyFill="1" applyBorder="1" applyAlignment="1">
      <alignment horizontal="center" vertical="center" wrapText="1"/>
    </xf>
    <xf numFmtId="173" fontId="58" fillId="0" borderId="8" xfId="10" applyNumberFormat="1" applyFont="1" applyBorder="1" applyAlignment="1">
      <alignment vertical="center"/>
    </xf>
    <xf numFmtId="173" fontId="58" fillId="0" borderId="1" xfId="10" applyNumberFormat="1" applyFont="1" applyBorder="1" applyAlignment="1">
      <alignment vertical="center"/>
    </xf>
    <xf numFmtId="9" fontId="58" fillId="0" borderId="2" xfId="31" applyFont="1" applyBorder="1" applyAlignment="1">
      <alignment vertical="center"/>
    </xf>
    <xf numFmtId="173" fontId="58" fillId="19" borderId="8" xfId="10" applyNumberFormat="1" applyFont="1" applyFill="1" applyBorder="1" applyAlignment="1">
      <alignment vertical="center"/>
    </xf>
    <xf numFmtId="173" fontId="58" fillId="19" borderId="1" xfId="10" applyNumberFormat="1" applyFont="1" applyFill="1" applyBorder="1" applyAlignment="1">
      <alignment vertical="center"/>
    </xf>
    <xf numFmtId="9" fontId="58" fillId="0" borderId="9" xfId="31" applyFont="1" applyBorder="1" applyAlignment="1">
      <alignment vertical="center"/>
    </xf>
    <xf numFmtId="173" fontId="58" fillId="0" borderId="2" xfId="10" applyNumberFormat="1" applyFont="1" applyBorder="1" applyAlignment="1">
      <alignment vertical="center"/>
    </xf>
    <xf numFmtId="173" fontId="58" fillId="0" borderId="9" xfId="10" applyNumberFormat="1" applyFont="1" applyBorder="1" applyAlignment="1">
      <alignment vertical="center"/>
    </xf>
    <xf numFmtId="0" fontId="19" fillId="20" borderId="26"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173" fontId="58" fillId="0" borderId="26" xfId="10" applyNumberFormat="1" applyFont="1" applyBorder="1" applyAlignment="1">
      <alignment vertical="center"/>
    </xf>
    <xf numFmtId="173" fontId="58" fillId="0" borderId="19" xfId="10" applyNumberFormat="1" applyFont="1" applyBorder="1" applyAlignment="1">
      <alignment vertical="center"/>
    </xf>
    <xf numFmtId="173" fontId="58" fillId="19" borderId="19" xfId="10" applyNumberFormat="1" applyFont="1" applyFill="1" applyBorder="1" applyAlignment="1">
      <alignment vertical="center"/>
    </xf>
    <xf numFmtId="9" fontId="58" fillId="0" borderId="21" xfId="31" applyFont="1" applyBorder="1" applyAlignment="1">
      <alignment vertical="center"/>
    </xf>
    <xf numFmtId="173" fontId="58" fillId="0" borderId="32" xfId="10" applyNumberFormat="1" applyFont="1" applyBorder="1" applyAlignment="1">
      <alignment vertical="center"/>
    </xf>
    <xf numFmtId="173" fontId="58" fillId="0" borderId="33" xfId="10" applyNumberFormat="1" applyFont="1" applyBorder="1" applyAlignment="1">
      <alignment vertical="center"/>
    </xf>
    <xf numFmtId="174" fontId="58" fillId="0" borderId="37" xfId="31" applyNumberFormat="1" applyFont="1" applyBorder="1" applyAlignment="1">
      <alignment vertical="center"/>
    </xf>
    <xf numFmtId="173" fontId="19" fillId="19" borderId="0" xfId="25" applyNumberFormat="1" applyFont="1" applyFill="1" applyAlignment="1">
      <alignment horizontal="left" vertical="center" wrapText="1"/>
    </xf>
    <xf numFmtId="0" fontId="19" fillId="19" borderId="0" xfId="25" applyFont="1" applyFill="1" applyAlignment="1">
      <alignment horizontal="left" vertical="center" wrapText="1"/>
    </xf>
    <xf numFmtId="0" fontId="19" fillId="20" borderId="1"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0" borderId="18" xfId="25" applyFont="1" applyBorder="1" applyAlignment="1">
      <alignment horizontal="justify" vertical="center" wrapText="1"/>
    </xf>
    <xf numFmtId="0" fontId="19" fillId="0" borderId="10" xfId="25" applyFont="1" applyBorder="1" applyAlignment="1">
      <alignment horizontal="center" vertical="center" wrapText="1"/>
    </xf>
    <xf numFmtId="168" fontId="19" fillId="0" borderId="10" xfId="11" applyFont="1" applyFill="1" applyBorder="1" applyAlignment="1" applyProtection="1">
      <alignment horizontal="center" vertical="center" wrapText="1"/>
    </xf>
    <xf numFmtId="9" fontId="19" fillId="0" borderId="10" xfId="25" applyNumberFormat="1" applyFont="1" applyBorder="1" applyAlignment="1">
      <alignment horizontal="center" vertical="center" wrapText="1"/>
    </xf>
    <xf numFmtId="0" fontId="19" fillId="0" borderId="4" xfId="25" applyFont="1" applyBorder="1" applyAlignment="1">
      <alignment horizontal="left" vertical="center" wrapText="1"/>
    </xf>
    <xf numFmtId="4" fontId="19" fillId="0" borderId="10" xfId="31" applyNumberFormat="1" applyFont="1" applyFill="1" applyBorder="1" applyAlignment="1" applyProtection="1">
      <alignment horizontal="center" vertical="center" wrapText="1"/>
    </xf>
    <xf numFmtId="4" fontId="19" fillId="0" borderId="36" xfId="31" applyNumberFormat="1" applyFont="1" applyFill="1" applyBorder="1" applyAlignment="1" applyProtection="1">
      <alignment horizontal="center" vertical="center" wrapText="1"/>
    </xf>
    <xf numFmtId="0" fontId="19" fillId="9" borderId="19" xfId="25" applyFont="1" applyFill="1" applyBorder="1" applyAlignment="1">
      <alignment horizontal="left" vertical="center" wrapText="1"/>
    </xf>
    <xf numFmtId="4" fontId="19" fillId="9" borderId="19" xfId="31" applyNumberFormat="1" applyFont="1" applyFill="1" applyBorder="1" applyAlignment="1" applyProtection="1">
      <alignment horizontal="center" vertical="center" wrapText="1"/>
    </xf>
    <xf numFmtId="4" fontId="19" fillId="9" borderId="37" xfId="31" applyNumberFormat="1" applyFont="1" applyFill="1" applyBorder="1" applyAlignment="1" applyProtection="1">
      <alignment horizontal="center" vertical="center"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9" fontId="54" fillId="0" borderId="4" xfId="32" applyFont="1" applyFill="1" applyBorder="1" applyAlignment="1" applyProtection="1">
      <alignment horizontal="center" vertical="center" wrapText="1"/>
      <protection locked="0"/>
    </xf>
    <xf numFmtId="9" fontId="19" fillId="0" borderId="28" xfId="25" applyNumberFormat="1" applyFont="1" applyBorder="1" applyAlignment="1">
      <alignment horizontal="center" vertical="center" wrapText="1"/>
    </xf>
    <xf numFmtId="0" fontId="19" fillId="9" borderId="1" xfId="25" applyFont="1" applyFill="1" applyBorder="1" applyAlignment="1">
      <alignment horizontal="left" vertical="center" wrapText="1"/>
    </xf>
    <xf numFmtId="9" fontId="54" fillId="9" borderId="1" xfId="31" applyFont="1" applyFill="1" applyBorder="1" applyAlignment="1" applyProtection="1">
      <alignment horizontal="center" vertical="center" wrapText="1"/>
      <protection locked="0"/>
    </xf>
    <xf numFmtId="9" fontId="19" fillId="0" borderId="9" xfId="25" applyNumberFormat="1" applyFont="1" applyBorder="1" applyAlignment="1">
      <alignment horizontal="center" vertical="center" wrapText="1"/>
    </xf>
    <xf numFmtId="0" fontId="19" fillId="0" borderId="1" xfId="25" applyFont="1" applyBorder="1" applyAlignment="1">
      <alignment horizontal="left" vertical="center" wrapText="1"/>
    </xf>
    <xf numFmtId="9" fontId="54" fillId="0" borderId="1" xfId="32" applyFont="1" applyFill="1" applyBorder="1" applyAlignment="1" applyProtection="1">
      <alignment horizontal="center" vertical="center" wrapText="1"/>
      <protection locked="0"/>
    </xf>
    <xf numFmtId="9" fontId="54" fillId="9" borderId="2" xfId="31" applyFont="1" applyFill="1" applyBorder="1" applyAlignment="1" applyProtection="1">
      <alignment horizontal="center" vertical="center" wrapText="1"/>
      <protection locked="0"/>
    </xf>
    <xf numFmtId="9" fontId="54" fillId="9" borderId="19" xfId="31" applyFont="1" applyFill="1" applyBorder="1" applyAlignment="1" applyProtection="1">
      <alignment horizontal="center" vertical="center" wrapText="1"/>
      <protection locked="0"/>
    </xf>
    <xf numFmtId="9" fontId="54" fillId="9" borderId="21" xfId="31" applyFont="1" applyFill="1" applyBorder="1" applyAlignment="1" applyProtection="1">
      <alignment horizontal="center" vertical="center" wrapText="1"/>
      <protection locked="0"/>
    </xf>
    <xf numFmtId="9" fontId="19" fillId="0" borderId="37" xfId="25" applyNumberFormat="1" applyFont="1" applyBorder="1" applyAlignment="1">
      <alignment horizontal="center" vertical="center" wrapText="1"/>
    </xf>
    <xf numFmtId="173" fontId="63" fillId="19" borderId="35" xfId="10" applyNumberFormat="1" applyFont="1" applyFill="1" applyBorder="1" applyAlignment="1">
      <alignment vertical="center"/>
    </xf>
    <xf numFmtId="173" fontId="63" fillId="19" borderId="1" xfId="10" applyNumberFormat="1" applyFont="1" applyFill="1" applyBorder="1" applyAlignment="1">
      <alignment vertical="center"/>
    </xf>
    <xf numFmtId="0" fontId="54" fillId="0" borderId="18" xfId="25" applyFont="1" applyBorder="1" applyAlignment="1">
      <alignment horizontal="justify" vertical="center" wrapText="1"/>
    </xf>
    <xf numFmtId="174" fontId="19" fillId="9" borderId="19" xfId="31" applyNumberFormat="1" applyFont="1" applyFill="1" applyBorder="1" applyAlignment="1" applyProtection="1">
      <alignment vertical="center" wrapText="1"/>
    </xf>
    <xf numFmtId="0" fontId="19" fillId="0" borderId="27" xfId="25" applyFont="1" applyBorder="1" applyAlignment="1">
      <alignment horizontal="left" vertical="center" wrapText="1"/>
    </xf>
    <xf numFmtId="0" fontId="19" fillId="9" borderId="8" xfId="25" applyFont="1" applyFill="1" applyBorder="1" applyAlignment="1">
      <alignment horizontal="left" vertical="center" wrapText="1"/>
    </xf>
    <xf numFmtId="9" fontId="54" fillId="9" borderId="9" xfId="31" applyFont="1" applyFill="1" applyBorder="1" applyAlignment="1" applyProtection="1">
      <alignment horizontal="center" vertical="center" wrapText="1"/>
      <protection locked="0"/>
    </xf>
    <xf numFmtId="0" fontId="19" fillId="0" borderId="8" xfId="25" applyFont="1" applyBorder="1" applyAlignment="1">
      <alignment horizontal="left" vertical="center" wrapText="1"/>
    </xf>
    <xf numFmtId="0" fontId="19" fillId="19" borderId="8" xfId="25" applyFont="1" applyFill="1" applyBorder="1" applyAlignment="1">
      <alignment horizontal="left" vertical="center" wrapText="1"/>
    </xf>
    <xf numFmtId="9" fontId="54" fillId="19" borderId="1" xfId="32" applyFont="1" applyFill="1" applyBorder="1" applyAlignment="1" applyProtection="1">
      <alignment horizontal="center" vertical="center" wrapText="1"/>
      <protection locked="0"/>
    </xf>
    <xf numFmtId="0" fontId="19" fillId="9" borderId="26" xfId="25" applyFont="1" applyFill="1" applyBorder="1" applyAlignment="1">
      <alignment horizontal="left" vertical="center" wrapText="1"/>
    </xf>
    <xf numFmtId="9" fontId="54" fillId="9" borderId="37" xfId="31" applyFont="1" applyFill="1" applyBorder="1" applyAlignment="1" applyProtection="1">
      <alignment horizontal="center" vertical="center" wrapText="1"/>
      <protection locked="0"/>
    </xf>
    <xf numFmtId="173" fontId="58" fillId="0" borderId="8" xfId="10" applyNumberFormat="1" applyFont="1" applyFill="1" applyBorder="1" applyAlignment="1">
      <alignment vertical="center"/>
    </xf>
    <xf numFmtId="9" fontId="58" fillId="0" borderId="9" xfId="31" applyFont="1" applyFill="1" applyBorder="1" applyAlignment="1">
      <alignment vertical="center"/>
    </xf>
    <xf numFmtId="173" fontId="58" fillId="0" borderId="1" xfId="10" applyNumberFormat="1" applyFont="1" applyFill="1" applyBorder="1" applyAlignment="1">
      <alignment vertical="center"/>
    </xf>
    <xf numFmtId="5" fontId="60" fillId="19" borderId="4" xfId="10" applyNumberFormat="1" applyFont="1" applyFill="1" applyBorder="1" applyAlignment="1">
      <alignment horizontal="right" vertical="center"/>
    </xf>
    <xf numFmtId="5" fontId="60" fillId="19" borderId="1" xfId="10" applyNumberFormat="1" applyFont="1" applyFill="1" applyBorder="1" applyAlignment="1">
      <alignment horizontal="right" vertical="center"/>
    </xf>
    <xf numFmtId="5" fontId="54" fillId="19" borderId="1" xfId="10" applyNumberFormat="1" applyFont="1" applyFill="1" applyBorder="1" applyAlignment="1">
      <alignment horizontal="right" vertical="center"/>
    </xf>
    <xf numFmtId="173" fontId="58" fillId="19" borderId="26" xfId="10" applyNumberFormat="1" applyFont="1" applyFill="1" applyBorder="1" applyAlignment="1">
      <alignment vertical="center"/>
    </xf>
    <xf numFmtId="9" fontId="19" fillId="0" borderId="38" xfId="25" applyNumberFormat="1" applyFont="1" applyBorder="1" applyAlignment="1">
      <alignment horizontal="center" vertical="center" wrapText="1"/>
    </xf>
    <xf numFmtId="9" fontId="19" fillId="0" borderId="1" xfId="25" applyNumberFormat="1" applyFont="1" applyBorder="1" applyAlignment="1">
      <alignment horizontal="center" vertical="center" wrapText="1"/>
    </xf>
    <xf numFmtId="0" fontId="19" fillId="20" borderId="10" xfId="25" applyFont="1" applyFill="1" applyBorder="1" applyAlignment="1">
      <alignment horizontal="center" vertical="center" wrapText="1"/>
    </xf>
    <xf numFmtId="0" fontId="19" fillId="0" borderId="35" xfId="25" applyFont="1" applyBorder="1" applyAlignment="1">
      <alignment horizontal="left" vertical="center" wrapText="1"/>
    </xf>
    <xf numFmtId="4" fontId="19" fillId="0" borderId="62" xfId="31" applyNumberFormat="1" applyFont="1" applyFill="1" applyBorder="1" applyAlignment="1" applyProtection="1">
      <alignment horizontal="center" vertical="center" wrapText="1"/>
    </xf>
    <xf numFmtId="9" fontId="19" fillId="0" borderId="20" xfId="25" applyNumberFormat="1" applyFont="1" applyBorder="1" applyAlignment="1">
      <alignment horizontal="center" vertical="center" wrapText="1"/>
    </xf>
    <xf numFmtId="9" fontId="19" fillId="0" borderId="2" xfId="25" applyNumberFormat="1" applyFont="1" applyBorder="1" applyAlignment="1">
      <alignment horizontal="center" vertical="center" wrapText="1"/>
    </xf>
    <xf numFmtId="9" fontId="19" fillId="0" borderId="21" xfId="25" applyNumberFormat="1" applyFont="1" applyBorder="1" applyAlignment="1">
      <alignment horizontal="center" vertical="center" wrapText="1"/>
    </xf>
    <xf numFmtId="0" fontId="19" fillId="0" borderId="20" xfId="25" applyFont="1" applyBorder="1" applyAlignment="1">
      <alignment horizontal="left" vertical="center" wrapText="1"/>
    </xf>
    <xf numFmtId="4" fontId="19" fillId="0" borderId="18" xfId="31" applyNumberFormat="1" applyFont="1" applyFill="1" applyBorder="1" applyAlignment="1" applyProtection="1">
      <alignment horizontal="center" vertical="center" wrapText="1"/>
    </xf>
    <xf numFmtId="0" fontId="19" fillId="9" borderId="21" xfId="25" applyFont="1" applyFill="1" applyBorder="1" applyAlignment="1">
      <alignment horizontal="left" vertical="center" wrapText="1"/>
    </xf>
    <xf numFmtId="4" fontId="19" fillId="9" borderId="26" xfId="31" applyNumberFormat="1" applyFont="1" applyFill="1" applyBorder="1" applyAlignment="1" applyProtection="1">
      <alignment horizontal="center" vertical="center" wrapText="1"/>
    </xf>
    <xf numFmtId="173" fontId="58" fillId="19" borderId="27" xfId="10" applyNumberFormat="1" applyFont="1" applyFill="1" applyBorder="1" applyAlignment="1">
      <alignment vertical="center"/>
    </xf>
    <xf numFmtId="173" fontId="58" fillId="19" borderId="4" xfId="10" applyNumberFormat="1" applyFont="1" applyFill="1" applyBorder="1" applyAlignment="1">
      <alignment vertical="center"/>
    </xf>
    <xf numFmtId="9" fontId="58" fillId="0" borderId="28" xfId="31" applyFont="1" applyBorder="1" applyAlignment="1">
      <alignment vertical="center"/>
    </xf>
    <xf numFmtId="4" fontId="19" fillId="0" borderId="40" xfId="31" applyNumberFormat="1" applyFont="1" applyFill="1" applyBorder="1" applyAlignment="1" applyProtection="1">
      <alignment horizontal="center" vertical="center" wrapText="1"/>
    </xf>
    <xf numFmtId="4" fontId="19" fillId="0" borderId="38" xfId="31" applyNumberFormat="1" applyFont="1" applyFill="1" applyBorder="1" applyAlignment="1" applyProtection="1">
      <alignment horizontal="center" vertical="center" wrapText="1"/>
    </xf>
    <xf numFmtId="4" fontId="19" fillId="0" borderId="39" xfId="31" applyNumberFormat="1" applyFont="1" applyFill="1" applyBorder="1" applyAlignment="1" applyProtection="1">
      <alignment horizontal="center" vertical="center" wrapText="1"/>
    </xf>
    <xf numFmtId="0" fontId="42" fillId="19" borderId="1" xfId="0" applyFont="1" applyFill="1" applyBorder="1" applyAlignment="1">
      <alignment horizontal="justify" vertical="top" wrapText="1"/>
    </xf>
    <xf numFmtId="0" fontId="42" fillId="19" borderId="1" xfId="0" applyFont="1" applyFill="1" applyBorder="1" applyAlignment="1">
      <alignment horizontal="justify" vertical="top"/>
    </xf>
    <xf numFmtId="9" fontId="42" fillId="19" borderId="1" xfId="31" applyFont="1" applyFill="1" applyBorder="1" applyAlignment="1">
      <alignment horizontal="justify" vertical="top" wrapText="1"/>
    </xf>
    <xf numFmtId="0" fontId="69" fillId="0" borderId="0" xfId="0" applyFont="1" applyAlignment="1">
      <alignment vertical="center"/>
    </xf>
    <xf numFmtId="9" fontId="11" fillId="19" borderId="1" xfId="31" applyFont="1" applyFill="1" applyBorder="1" applyAlignment="1">
      <alignment vertical="center"/>
    </xf>
    <xf numFmtId="0" fontId="42" fillId="19" borderId="0" xfId="0" applyFont="1" applyFill="1" applyAlignment="1">
      <alignment horizontal="justify" vertical="top" wrapText="1"/>
    </xf>
    <xf numFmtId="0" fontId="37" fillId="0" borderId="0" xfId="0" applyFont="1" applyAlignment="1">
      <alignment vertical="center"/>
    </xf>
    <xf numFmtId="9" fontId="71" fillId="0" borderId="0" xfId="31" applyFont="1" applyBorder="1" applyAlignment="1">
      <alignment horizontal="center" vertical="center"/>
    </xf>
    <xf numFmtId="0" fontId="45" fillId="19" borderId="1" xfId="31" applyNumberFormat="1" applyFont="1" applyFill="1" applyBorder="1" applyAlignment="1">
      <alignment horizontal="justify" vertical="top" wrapText="1"/>
    </xf>
    <xf numFmtId="0" fontId="42" fillId="19" borderId="1" xfId="31" applyNumberFormat="1" applyFont="1" applyFill="1" applyBorder="1" applyAlignment="1">
      <alignment horizontal="justify" vertical="top" wrapText="1"/>
    </xf>
    <xf numFmtId="0" fontId="11" fillId="19" borderId="1" xfId="0" applyFont="1" applyFill="1" applyBorder="1" applyAlignment="1">
      <alignment horizontal="justify" vertical="top" wrapText="1"/>
    </xf>
    <xf numFmtId="9" fontId="11" fillId="19" borderId="1" xfId="31" applyFont="1" applyFill="1" applyBorder="1" applyAlignment="1">
      <alignment horizontal="justify" vertical="top" wrapText="1"/>
    </xf>
    <xf numFmtId="0" fontId="11" fillId="31" borderId="1" xfId="0" applyFont="1" applyFill="1" applyBorder="1" applyAlignment="1">
      <alignment horizontal="justify" vertical="top" wrapText="1"/>
    </xf>
    <xf numFmtId="0" fontId="11" fillId="19" borderId="1" xfId="31" applyNumberFormat="1" applyFont="1" applyFill="1" applyBorder="1" applyAlignment="1">
      <alignment horizontal="justify" vertical="top" wrapText="1"/>
    </xf>
    <xf numFmtId="0" fontId="11" fillId="19" borderId="1" xfId="31" applyNumberFormat="1" applyFont="1" applyFill="1" applyBorder="1" applyAlignment="1">
      <alignment horizontal="justify" vertical="center" wrapText="1"/>
    </xf>
    <xf numFmtId="0" fontId="11" fillId="19" borderId="1" xfId="0" applyFont="1" applyFill="1" applyBorder="1" applyAlignment="1">
      <alignment horizontal="justify" vertical="center" wrapText="1"/>
    </xf>
    <xf numFmtId="9" fontId="58" fillId="0" borderId="37" xfId="31" applyFont="1" applyBorder="1" applyAlignment="1">
      <alignment vertical="center"/>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54" fillId="19" borderId="23" xfId="25" applyNumberFormat="1" applyFont="1" applyFill="1" applyBorder="1" applyAlignment="1">
      <alignment horizontal="justify" vertical="center" wrapText="1"/>
    </xf>
    <xf numFmtId="9" fontId="54" fillId="19" borderId="24" xfId="25" applyNumberFormat="1" applyFont="1" applyFill="1" applyBorder="1" applyAlignment="1">
      <alignment horizontal="justify" vertical="center" wrapText="1"/>
    </xf>
    <xf numFmtId="9" fontId="54" fillId="19" borderId="65" xfId="25" applyNumberFormat="1" applyFont="1" applyFill="1" applyBorder="1" applyAlignment="1">
      <alignment horizontal="justify" vertical="center" wrapText="1"/>
    </xf>
    <xf numFmtId="9" fontId="54" fillId="19" borderId="6" xfId="25" applyNumberFormat="1" applyFont="1" applyFill="1" applyBorder="1" applyAlignment="1">
      <alignment horizontal="justify" vertical="center" wrapText="1"/>
    </xf>
    <xf numFmtId="9" fontId="54" fillId="19" borderId="3" xfId="25" applyNumberFormat="1" applyFont="1" applyFill="1" applyBorder="1" applyAlignment="1">
      <alignment horizontal="justify" vertical="center" wrapText="1"/>
    </xf>
    <xf numFmtId="9" fontId="54" fillId="19" borderId="7" xfId="25" applyNumberFormat="1" applyFont="1" applyFill="1" applyBorder="1" applyAlignment="1">
      <alignment horizontal="justify" vertical="center" wrapText="1"/>
    </xf>
    <xf numFmtId="9" fontId="54" fillId="0" borderId="5" xfId="25" applyNumberFormat="1" applyFont="1" applyBorder="1" applyAlignment="1">
      <alignment horizontal="justify" vertical="center" wrapText="1"/>
    </xf>
    <xf numFmtId="9" fontId="54" fillId="0" borderId="1" xfId="25" applyNumberFormat="1" applyFont="1" applyBorder="1" applyAlignment="1">
      <alignment horizontal="justify" vertical="center" wrapText="1"/>
    </xf>
    <xf numFmtId="9" fontId="54" fillId="0" borderId="9" xfId="25" applyNumberFormat="1" applyFont="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9" fontId="54" fillId="0" borderId="1" xfId="25" applyNumberFormat="1" applyFont="1" applyBorder="1" applyAlignment="1">
      <alignment horizontal="center" vertical="center" wrapText="1"/>
    </xf>
    <xf numFmtId="2" fontId="54" fillId="0" borderId="8" xfId="25" applyNumberFormat="1" applyFont="1" applyBorder="1" applyAlignment="1">
      <alignment horizontal="justify" vertical="center" wrapText="1"/>
    </xf>
    <xf numFmtId="2" fontId="54" fillId="0" borderId="8" xfId="25" applyNumberFormat="1" applyFont="1" applyBorder="1" applyAlignment="1">
      <alignment horizontal="justify" vertical="top" wrapText="1"/>
    </xf>
    <xf numFmtId="2" fontId="54" fillId="0" borderId="26" xfId="25" applyNumberFormat="1" applyFont="1" applyBorder="1" applyAlignment="1">
      <alignment horizontal="justify" vertical="top" wrapText="1"/>
    </xf>
    <xf numFmtId="0" fontId="54" fillId="0" borderId="47" xfId="25" applyFont="1" applyBorder="1" applyAlignment="1">
      <alignment horizontal="center" vertical="center" wrapText="1"/>
    </xf>
    <xf numFmtId="0" fontId="54" fillId="0" borderId="13" xfId="25" applyFont="1" applyBorder="1" applyAlignment="1">
      <alignment horizontal="center" vertical="center" wrapText="1"/>
    </xf>
    <xf numFmtId="0" fontId="54" fillId="0" borderId="45" xfId="25" applyFont="1" applyBorder="1" applyAlignment="1">
      <alignment horizontal="center" vertical="center" wrapText="1"/>
    </xf>
    <xf numFmtId="0" fontId="19" fillId="0" borderId="29" xfId="25" applyFont="1" applyBorder="1" applyAlignment="1">
      <alignment horizontal="center" vertical="center"/>
    </xf>
    <xf numFmtId="0" fontId="19" fillId="0" borderId="30" xfId="25" applyFont="1" applyBorder="1" applyAlignment="1">
      <alignment horizontal="center" vertical="center"/>
    </xf>
    <xf numFmtId="0" fontId="19"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59" fillId="0" borderId="42" xfId="25" applyFont="1" applyBorder="1" applyAlignment="1">
      <alignment horizontal="left" vertical="center" wrapText="1"/>
    </xf>
    <xf numFmtId="0" fontId="59" fillId="0" borderId="43" xfId="25" applyFont="1" applyBorder="1" applyAlignment="1">
      <alignment horizontal="left" vertical="center" wrapText="1"/>
    </xf>
    <xf numFmtId="0" fontId="59" fillId="0" borderId="44" xfId="25" applyFont="1" applyBorder="1" applyAlignment="1">
      <alignment horizontal="left" vertical="center" wrapText="1"/>
    </xf>
    <xf numFmtId="0" fontId="19" fillId="30" borderId="34" xfId="25" applyFont="1" applyFill="1" applyBorder="1" applyAlignment="1">
      <alignment horizontal="center" vertical="center" wrapText="1"/>
    </xf>
    <xf numFmtId="0" fontId="19" fillId="30" borderId="35" xfId="25" applyFont="1" applyFill="1" applyBorder="1" applyAlignment="1">
      <alignment horizontal="center" vertical="center" wrapText="1"/>
    </xf>
    <xf numFmtId="0" fontId="19" fillId="30" borderId="49" xfId="25" applyFont="1" applyFill="1" applyBorder="1" applyAlignment="1">
      <alignment horizontal="center" vertical="center" wrapText="1"/>
    </xf>
    <xf numFmtId="0" fontId="19" fillId="30" borderId="26" xfId="25" applyFont="1" applyFill="1" applyBorder="1" applyAlignment="1">
      <alignment horizontal="center" vertical="center" wrapText="1"/>
    </xf>
    <xf numFmtId="0" fontId="19" fillId="30" borderId="19" xfId="25" applyFont="1" applyFill="1" applyBorder="1" applyAlignment="1">
      <alignment horizontal="center" vertical="center" wrapText="1"/>
    </xf>
    <xf numFmtId="0" fontId="19" fillId="30" borderId="37" xfId="25" applyFont="1" applyFill="1" applyBorder="1" applyAlignment="1">
      <alignment horizontal="center" vertical="center" wrapText="1"/>
    </xf>
    <xf numFmtId="0" fontId="51" fillId="0" borderId="41" xfId="0" applyFont="1" applyBorder="1" applyAlignment="1">
      <alignment horizontal="left" vertical="center" wrapText="1"/>
    </xf>
    <xf numFmtId="0" fontId="51" fillId="0" borderId="19" xfId="0" applyFont="1" applyBorder="1" applyAlignment="1">
      <alignment horizontal="left" vertical="center" wrapText="1"/>
    </xf>
    <xf numFmtId="0" fontId="51" fillId="0" borderId="37" xfId="0" applyFont="1" applyBorder="1" applyAlignment="1">
      <alignment horizontal="left" vertical="center" wrapText="1"/>
    </xf>
    <xf numFmtId="0" fontId="19" fillId="20" borderId="47" xfId="25" applyFont="1" applyFill="1" applyBorder="1" applyAlignment="1">
      <alignment horizontal="left" vertical="center" wrapText="1"/>
    </xf>
    <xf numFmtId="0" fontId="19" fillId="20" borderId="12" xfId="25" applyFont="1" applyFill="1" applyBorder="1" applyAlignment="1">
      <alignment horizontal="left" vertical="center" wrapText="1"/>
    </xf>
    <xf numFmtId="0" fontId="19" fillId="20" borderId="13" xfId="25" applyFont="1" applyFill="1" applyBorder="1" applyAlignment="1">
      <alignment horizontal="left" vertical="center" wrapText="1"/>
    </xf>
    <xf numFmtId="0" fontId="19" fillId="20" borderId="14" xfId="25" applyFont="1" applyFill="1" applyBorder="1" applyAlignment="1">
      <alignment horizontal="left" vertical="center" wrapText="1"/>
    </xf>
    <xf numFmtId="0" fontId="19" fillId="20" borderId="45" xfId="25" applyFont="1" applyFill="1" applyBorder="1" applyAlignment="1">
      <alignment horizontal="left" vertical="center" wrapText="1"/>
    </xf>
    <xf numFmtId="0" fontId="19" fillId="20" borderId="16" xfId="25" applyFont="1" applyFill="1" applyBorder="1" applyAlignment="1">
      <alignment horizontal="left" vertical="center" wrapText="1"/>
    </xf>
    <xf numFmtId="0" fontId="19" fillId="20" borderId="47" xfId="25" applyFont="1" applyFill="1" applyBorder="1" applyAlignment="1">
      <alignment horizontal="justify" vertical="center" wrapText="1"/>
    </xf>
    <xf numFmtId="0" fontId="19" fillId="20" borderId="11" xfId="25" applyFont="1" applyFill="1" applyBorder="1" applyAlignment="1">
      <alignment horizontal="justify" vertical="center" wrapText="1"/>
    </xf>
    <xf numFmtId="0" fontId="19" fillId="20" borderId="12" xfId="25" applyFont="1" applyFill="1" applyBorder="1" applyAlignment="1">
      <alignment horizontal="justify" vertical="center" wrapText="1"/>
    </xf>
    <xf numFmtId="0" fontId="19" fillId="20" borderId="13" xfId="25" applyFont="1" applyFill="1" applyBorder="1" applyAlignment="1">
      <alignment horizontal="justify" vertical="center" wrapText="1"/>
    </xf>
    <xf numFmtId="0" fontId="19" fillId="20" borderId="0" xfId="25" applyFont="1" applyFill="1" applyAlignment="1">
      <alignment horizontal="justify" vertical="center" wrapText="1"/>
    </xf>
    <xf numFmtId="0" fontId="19" fillId="20" borderId="14" xfId="25" applyFont="1" applyFill="1" applyBorder="1" applyAlignment="1">
      <alignment horizontal="justify" vertical="center" wrapText="1"/>
    </xf>
    <xf numFmtId="0" fontId="19" fillId="20" borderId="45" xfId="25" applyFont="1" applyFill="1" applyBorder="1" applyAlignment="1">
      <alignment horizontal="justify" vertical="center" wrapText="1"/>
    </xf>
    <xf numFmtId="0" fontId="19" fillId="20" borderId="15" xfId="25" applyFont="1" applyFill="1" applyBorder="1" applyAlignment="1">
      <alignment horizontal="justify" vertical="center" wrapText="1"/>
    </xf>
    <xf numFmtId="0" fontId="19" fillId="20" borderId="16" xfId="25" applyFont="1" applyFill="1" applyBorder="1" applyAlignment="1">
      <alignment horizontal="justify" vertical="center" wrapText="1"/>
    </xf>
    <xf numFmtId="14" fontId="56" fillId="0" borderId="47" xfId="0" applyNumberFormat="1"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16"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justify" vertical="center" wrapText="1"/>
    </xf>
    <xf numFmtId="0" fontId="57" fillId="0" borderId="22" xfId="0" applyFont="1" applyBorder="1" applyAlignment="1">
      <alignment horizontal="justify" vertical="center" wrapText="1"/>
    </xf>
    <xf numFmtId="4" fontId="19" fillId="0" borderId="59" xfId="25" applyNumberFormat="1" applyFont="1" applyBorder="1" applyAlignment="1">
      <alignment horizontal="center" vertical="center" wrapText="1"/>
    </xf>
    <xf numFmtId="4" fontId="19" fillId="0" borderId="25" xfId="25" applyNumberFormat="1" applyFont="1" applyBorder="1" applyAlignment="1">
      <alignment horizontal="center" vertical="center" wrapText="1"/>
    </xf>
    <xf numFmtId="0" fontId="61" fillId="0" borderId="1" xfId="25" applyFont="1" applyBorder="1" applyAlignment="1">
      <alignment horizontal="left" vertical="center" wrapText="1"/>
    </xf>
    <xf numFmtId="0" fontId="61" fillId="0" borderId="9" xfId="25" applyFont="1" applyBorder="1" applyAlignment="1">
      <alignment horizontal="left" vertical="center" wrapText="1"/>
    </xf>
    <xf numFmtId="0" fontId="19" fillId="0" borderId="61" xfId="25" applyFont="1" applyBorder="1" applyAlignment="1">
      <alignment horizontal="center" vertical="center" wrapText="1"/>
    </xf>
    <xf numFmtId="0" fontId="19" fillId="0" borderId="62" xfId="25" applyFont="1" applyBorder="1" applyAlignment="1">
      <alignment horizontal="center" vertical="center" wrapText="1"/>
    </xf>
    <xf numFmtId="0" fontId="19" fillId="0" borderId="35" xfId="25" applyFont="1" applyBorder="1" applyAlignment="1">
      <alignment horizontal="center" vertical="center" wrapText="1"/>
    </xf>
    <xf numFmtId="0" fontId="19" fillId="0" borderId="49" xfId="25" applyFont="1" applyBorder="1" applyAlignment="1">
      <alignment horizontal="center" vertical="center" wrapText="1"/>
    </xf>
    <xf numFmtId="0" fontId="19" fillId="20" borderId="34" xfId="25" applyFont="1" applyFill="1" applyBorder="1" applyAlignment="1">
      <alignment horizontal="center" vertical="center" wrapText="1"/>
    </xf>
    <xf numFmtId="0" fontId="19" fillId="20" borderId="8" xfId="25" applyFont="1" applyFill="1" applyBorder="1" applyAlignment="1">
      <alignment horizontal="center" vertical="center" wrapText="1"/>
    </xf>
    <xf numFmtId="0" fontId="19" fillId="20" borderId="35" xfId="25" applyFont="1" applyFill="1" applyBorder="1" applyAlignment="1">
      <alignment horizontal="center" vertical="center" wrapText="1"/>
    </xf>
    <xf numFmtId="0" fontId="19" fillId="20" borderId="1" xfId="25" applyFont="1" applyFill="1" applyBorder="1" applyAlignment="1">
      <alignment horizontal="center" vertical="center" wrapText="1"/>
    </xf>
    <xf numFmtId="0" fontId="54" fillId="20" borderId="1" xfId="25" applyFont="1" applyFill="1" applyBorder="1" applyAlignment="1">
      <alignment horizontal="center" vertical="center" wrapText="1"/>
    </xf>
    <xf numFmtId="0" fontId="58" fillId="0" borderId="52" xfId="0" applyFont="1" applyBorder="1" applyAlignment="1">
      <alignment horizontal="justify" vertical="center" wrapText="1"/>
    </xf>
    <xf numFmtId="0" fontId="58" fillId="0" borderId="22" xfId="0" applyFont="1" applyBorder="1" applyAlignment="1">
      <alignment horizontal="justify" vertical="center" wrapText="1"/>
    </xf>
    <xf numFmtId="0" fontId="57" fillId="0" borderId="50" xfId="0" applyFont="1" applyBorder="1" applyAlignment="1">
      <alignment horizontal="justify" vertical="center" wrapText="1"/>
    </xf>
    <xf numFmtId="0" fontId="57" fillId="0" borderId="51" xfId="0" applyFont="1" applyBorder="1" applyAlignment="1">
      <alignment horizontal="justify" vertical="center" wrapText="1"/>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19" fillId="0" borderId="29" xfId="25" applyFont="1" applyBorder="1" applyAlignment="1">
      <alignment horizontal="center" vertical="center" wrapText="1"/>
    </xf>
    <xf numFmtId="0" fontId="19" fillId="0" borderId="30" xfId="25" applyFont="1" applyBorder="1" applyAlignment="1">
      <alignment horizontal="center" vertical="center" wrapText="1"/>
    </xf>
    <xf numFmtId="0" fontId="19" fillId="0" borderId="31" xfId="25" applyFont="1" applyBorder="1" applyAlignment="1">
      <alignment horizontal="center" vertical="center" wrapText="1"/>
    </xf>
    <xf numFmtId="0" fontId="19" fillId="20" borderId="42" xfId="25" applyFont="1" applyFill="1" applyBorder="1" applyAlignment="1">
      <alignment horizontal="center" vertical="center" wrapText="1"/>
    </xf>
    <xf numFmtId="0" fontId="19" fillId="20" borderId="44" xfId="25" applyFont="1" applyFill="1" applyBorder="1" applyAlignment="1">
      <alignment horizontal="center" vertical="center" wrapText="1"/>
    </xf>
    <xf numFmtId="2" fontId="19" fillId="0" borderId="42" xfId="31" applyNumberFormat="1" applyFont="1" applyFill="1" applyBorder="1" applyAlignment="1" applyProtection="1">
      <alignment horizontal="center" vertical="center" wrapText="1"/>
    </xf>
    <xf numFmtId="2" fontId="19" fillId="0" borderId="44" xfId="31" applyNumberFormat="1" applyFont="1" applyFill="1" applyBorder="1" applyAlignment="1" applyProtection="1">
      <alignment horizontal="center" vertical="center" wrapText="1"/>
    </xf>
    <xf numFmtId="0" fontId="19" fillId="20" borderId="43" xfId="25" applyFont="1" applyFill="1" applyBorder="1" applyAlignment="1">
      <alignment horizontal="center" vertical="center" wrapText="1"/>
    </xf>
    <xf numFmtId="0" fontId="19" fillId="20" borderId="42" xfId="25" applyFont="1" applyFill="1" applyBorder="1" applyAlignment="1">
      <alignment horizontal="left" vertical="center" wrapText="1"/>
    </xf>
    <xf numFmtId="0" fontId="19" fillId="20" borderId="44" xfId="25" applyFont="1" applyFill="1" applyBorder="1" applyAlignment="1">
      <alignment horizontal="left" vertical="center" wrapText="1"/>
    </xf>
    <xf numFmtId="0" fontId="57" fillId="0" borderId="56"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56" xfId="0" applyFont="1" applyBorder="1" applyAlignment="1">
      <alignment horizontal="center" vertical="center" wrapText="1"/>
    </xf>
    <xf numFmtId="0" fontId="57" fillId="0" borderId="57" xfId="0" applyFont="1" applyBorder="1" applyAlignment="1">
      <alignment horizontal="center" vertical="center" wrapText="1"/>
    </xf>
    <xf numFmtId="0" fontId="19" fillId="0" borderId="47" xfId="25" applyFont="1" applyBorder="1" applyAlignment="1">
      <alignment horizontal="left" vertical="center" wrapText="1"/>
    </xf>
    <xf numFmtId="0" fontId="19" fillId="0" borderId="11" xfId="25" applyFont="1" applyBorder="1" applyAlignment="1">
      <alignment horizontal="left" vertical="center" wrapText="1"/>
    </xf>
    <xf numFmtId="0" fontId="19" fillId="0" borderId="12" xfId="25" applyFont="1" applyBorder="1" applyAlignment="1">
      <alignment horizontal="left" vertical="center" wrapText="1"/>
    </xf>
    <xf numFmtId="0" fontId="19" fillId="0" borderId="13" xfId="25" applyFont="1" applyBorder="1" applyAlignment="1">
      <alignment horizontal="left" vertical="center" wrapText="1"/>
    </xf>
    <xf numFmtId="0" fontId="19" fillId="0" borderId="0" xfId="25" applyFont="1" applyAlignment="1">
      <alignment horizontal="left" vertical="center" wrapText="1"/>
    </xf>
    <xf numFmtId="0" fontId="19" fillId="0" borderId="14" xfId="25" applyFont="1" applyBorder="1" applyAlignment="1">
      <alignment horizontal="left" vertical="center" wrapText="1"/>
    </xf>
    <xf numFmtId="0" fontId="19" fillId="0" borderId="45" xfId="25" applyFont="1" applyBorder="1" applyAlignment="1">
      <alignment horizontal="left" vertical="center" wrapText="1"/>
    </xf>
    <xf numFmtId="0" fontId="19" fillId="0" borderId="15" xfId="25" applyFont="1" applyBorder="1" applyAlignment="1">
      <alignment horizontal="left" vertical="center" wrapText="1"/>
    </xf>
    <xf numFmtId="0" fontId="19" fillId="0" borderId="16" xfId="25" applyFont="1" applyBorder="1" applyAlignment="1">
      <alignment horizontal="left" vertical="center" wrapText="1"/>
    </xf>
    <xf numFmtId="0" fontId="19" fillId="20" borderId="2" xfId="25" applyFont="1" applyFill="1" applyBorder="1" applyAlignment="1">
      <alignment horizontal="center" vertical="center" wrapText="1"/>
    </xf>
    <xf numFmtId="0" fontId="19" fillId="20" borderId="13" xfId="25" applyFont="1" applyFill="1" applyBorder="1" applyAlignment="1">
      <alignment horizontal="center" vertical="center" wrapText="1"/>
    </xf>
    <xf numFmtId="0" fontId="19" fillId="20" borderId="0" xfId="25" applyFont="1" applyFill="1" applyAlignment="1">
      <alignment horizontal="center" vertical="center" wrapText="1"/>
    </xf>
    <xf numFmtId="0" fontId="19" fillId="20" borderId="14" xfId="25" applyFont="1" applyFill="1" applyBorder="1" applyAlignment="1">
      <alignment horizontal="center" vertical="center" wrapText="1"/>
    </xf>
    <xf numFmtId="0" fontId="19" fillId="20" borderId="45" xfId="25" applyFont="1" applyFill="1" applyBorder="1" applyAlignment="1">
      <alignment horizontal="center" vertical="center" wrapText="1"/>
    </xf>
    <xf numFmtId="0" fontId="19" fillId="20" borderId="15" xfId="25" applyFont="1" applyFill="1" applyBorder="1" applyAlignment="1">
      <alignment horizontal="center" vertical="center" wrapText="1"/>
    </xf>
    <xf numFmtId="0" fontId="19" fillId="20" borderId="16" xfId="25" applyFont="1" applyFill="1" applyBorder="1" applyAlignment="1">
      <alignment horizontal="center" vertical="center" wrapText="1"/>
    </xf>
    <xf numFmtId="0" fontId="19" fillId="19" borderId="34" xfId="25" applyFont="1" applyFill="1" applyBorder="1" applyAlignment="1">
      <alignment horizontal="center" vertical="center" wrapText="1"/>
    </xf>
    <xf numFmtId="0" fontId="19" fillId="19" borderId="48" xfId="25" applyFont="1" applyFill="1" applyBorder="1" applyAlignment="1">
      <alignment horizontal="center" vertical="center" wrapText="1"/>
    </xf>
    <xf numFmtId="0" fontId="19" fillId="19" borderId="35" xfId="25" applyFont="1" applyFill="1" applyBorder="1" applyAlignment="1">
      <alignment horizontal="center" vertical="center" wrapText="1"/>
    </xf>
    <xf numFmtId="0" fontId="19" fillId="19" borderId="49" xfId="25" applyFont="1" applyFill="1" applyBorder="1" applyAlignment="1">
      <alignment horizontal="center" vertical="center" wrapText="1"/>
    </xf>
    <xf numFmtId="0" fontId="19" fillId="20" borderId="26"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0" fontId="19" fillId="19" borderId="42" xfId="25" applyFont="1" applyFill="1" applyBorder="1" applyAlignment="1">
      <alignment horizontal="center" vertical="center" wrapText="1"/>
    </xf>
    <xf numFmtId="0" fontId="19" fillId="19" borderId="43" xfId="25" applyFont="1" applyFill="1" applyBorder="1" applyAlignment="1">
      <alignment horizontal="center" vertical="center" wrapText="1"/>
    </xf>
    <xf numFmtId="0" fontId="19" fillId="19" borderId="44" xfId="25" applyFont="1" applyFill="1" applyBorder="1" applyAlignment="1">
      <alignment horizontal="center" vertical="center" wrapText="1"/>
    </xf>
    <xf numFmtId="0" fontId="19" fillId="20" borderId="23" xfId="25" applyFont="1" applyFill="1" applyBorder="1" applyAlignment="1">
      <alignment horizontal="center" vertical="center" wrapText="1"/>
    </xf>
    <xf numFmtId="0" fontId="19" fillId="20" borderId="6" xfId="25" applyFont="1" applyFill="1" applyBorder="1" applyAlignment="1">
      <alignment horizontal="center" vertical="center" wrapText="1"/>
    </xf>
    <xf numFmtId="0" fontId="19" fillId="20" borderId="59" xfId="25" applyFont="1" applyFill="1" applyBorder="1" applyAlignment="1">
      <alignment horizontal="center" vertical="center" wrapText="1"/>
    </xf>
    <xf numFmtId="0" fontId="19" fillId="20" borderId="25" xfId="25" applyFont="1" applyFill="1" applyBorder="1" applyAlignment="1">
      <alignment horizontal="center" vertical="center" wrapText="1"/>
    </xf>
    <xf numFmtId="0" fontId="19" fillId="20" borderId="20" xfId="25" applyFont="1" applyFill="1" applyBorder="1" applyAlignment="1">
      <alignment horizontal="center" vertical="center" wrapText="1"/>
    </xf>
    <xf numFmtId="0" fontId="19" fillId="20" borderId="58" xfId="25" applyFont="1" applyFill="1" applyBorder="1" applyAlignment="1">
      <alignment horizontal="center" vertical="center" wrapText="1"/>
    </xf>
    <xf numFmtId="0" fontId="19" fillId="20" borderId="60" xfId="25" applyFont="1" applyFill="1" applyBorder="1" applyAlignment="1">
      <alignment horizontal="center" vertical="center" wrapText="1"/>
    </xf>
    <xf numFmtId="0" fontId="19" fillId="20" borderId="5"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20" borderId="46" xfId="25" applyFont="1" applyFill="1" applyBorder="1" applyAlignment="1">
      <alignment horizontal="center" vertical="center" wrapText="1"/>
    </xf>
    <xf numFmtId="9" fontId="19" fillId="0" borderId="42" xfId="25" applyNumberFormat="1" applyFont="1" applyBorder="1" applyAlignment="1">
      <alignment horizontal="center" vertical="center" wrapText="1"/>
    </xf>
    <xf numFmtId="9" fontId="19" fillId="0" borderId="44" xfId="25" applyNumberFormat="1" applyFont="1" applyBorder="1" applyAlignment="1">
      <alignment horizontal="center" vertical="center" wrapText="1"/>
    </xf>
    <xf numFmtId="0" fontId="19" fillId="19" borderId="15" xfId="25" applyFont="1" applyFill="1" applyBorder="1" applyAlignment="1">
      <alignment horizontal="left" vertical="center" wrapText="1"/>
    </xf>
    <xf numFmtId="0" fontId="19" fillId="0" borderId="42" xfId="25" applyFont="1" applyBorder="1" applyAlignment="1">
      <alignment horizontal="center" vertical="center" wrapText="1"/>
    </xf>
    <xf numFmtId="0" fontId="19" fillId="0" borderId="43" xfId="25" applyFont="1" applyBorder="1" applyAlignment="1">
      <alignment horizontal="center" vertical="center" wrapText="1"/>
    </xf>
    <xf numFmtId="0" fontId="19" fillId="0" borderId="44" xfId="25" applyFont="1" applyBorder="1" applyAlignment="1">
      <alignment horizontal="center" vertical="center" wrapText="1"/>
    </xf>
    <xf numFmtId="0" fontId="19" fillId="0" borderId="18" xfId="25" applyFont="1" applyBorder="1" applyAlignment="1">
      <alignment horizontal="justify" vertical="center" wrapText="1"/>
    </xf>
    <xf numFmtId="0" fontId="19" fillId="0" borderId="32" xfId="25" applyFont="1" applyBorder="1" applyAlignment="1">
      <alignment horizontal="justify" vertical="center" wrapText="1"/>
    </xf>
    <xf numFmtId="9" fontId="19" fillId="0" borderId="10" xfId="25" applyNumberFormat="1" applyFont="1" applyBorder="1" applyAlignment="1">
      <alignment horizontal="center" vertical="center" wrapText="1"/>
    </xf>
    <xf numFmtId="0" fontId="19" fillId="0" borderId="33" xfId="25" applyFont="1" applyBorder="1" applyAlignment="1">
      <alignment horizontal="center" vertical="center" wrapText="1"/>
    </xf>
    <xf numFmtId="9" fontId="54" fillId="19" borderId="59" xfId="33" applyFont="1" applyFill="1" applyBorder="1" applyAlignment="1" applyProtection="1">
      <alignment horizontal="justify" vertical="top" wrapText="1"/>
    </xf>
    <xf numFmtId="9" fontId="54" fillId="19" borderId="24" xfId="33" applyFont="1" applyFill="1" applyBorder="1" applyAlignment="1" applyProtection="1">
      <alignment horizontal="justify" vertical="top" wrapText="1"/>
    </xf>
    <xf numFmtId="9" fontId="54" fillId="19" borderId="25" xfId="33" applyFont="1" applyFill="1" applyBorder="1" applyAlignment="1" applyProtection="1">
      <alignment horizontal="justify" vertical="top" wrapText="1"/>
    </xf>
    <xf numFmtId="9" fontId="54" fillId="19" borderId="63" xfId="33" applyFont="1" applyFill="1" applyBorder="1" applyAlignment="1" applyProtection="1">
      <alignment horizontal="justify" vertical="top" wrapText="1"/>
    </xf>
    <xf numFmtId="9" fontId="54" fillId="19" borderId="15" xfId="33" applyFont="1" applyFill="1" applyBorder="1" applyAlignment="1" applyProtection="1">
      <alignment horizontal="justify" vertical="top" wrapText="1"/>
    </xf>
    <xf numFmtId="9" fontId="54" fillId="19" borderId="64" xfId="33" applyFont="1" applyFill="1" applyBorder="1" applyAlignment="1" applyProtection="1">
      <alignment horizontal="justify" vertical="top" wrapText="1"/>
    </xf>
    <xf numFmtId="9" fontId="54" fillId="19" borderId="65" xfId="33" applyFont="1" applyFill="1" applyBorder="1" applyAlignment="1" applyProtection="1">
      <alignment horizontal="justify" vertical="top" wrapText="1"/>
    </xf>
    <xf numFmtId="9" fontId="54" fillId="19" borderId="16" xfId="33" applyFont="1" applyFill="1" applyBorder="1" applyAlignment="1" applyProtection="1">
      <alignment horizontal="justify" vertical="top" wrapText="1"/>
    </xf>
    <xf numFmtId="9" fontId="54" fillId="19" borderId="23" xfId="33" applyFont="1" applyFill="1" applyBorder="1" applyAlignment="1" applyProtection="1">
      <alignment horizontal="justify" vertical="top" wrapText="1"/>
    </xf>
    <xf numFmtId="9" fontId="54" fillId="19" borderId="45" xfId="33" applyFont="1" applyFill="1" applyBorder="1" applyAlignment="1" applyProtection="1">
      <alignment horizontal="justify" vertical="top" wrapText="1"/>
    </xf>
    <xf numFmtId="0" fontId="19" fillId="20" borderId="49" xfId="25" applyFont="1" applyFill="1" applyBorder="1" applyAlignment="1">
      <alignment horizontal="center" vertical="center" wrapText="1"/>
    </xf>
    <xf numFmtId="0" fontId="19" fillId="20" borderId="3" xfId="25" applyFont="1" applyFill="1" applyBorder="1" applyAlignment="1">
      <alignment horizontal="center" vertical="center" wrapText="1"/>
    </xf>
    <xf numFmtId="0" fontId="19" fillId="20" borderId="7" xfId="25" applyFont="1" applyFill="1" applyBorder="1" applyAlignment="1">
      <alignment horizontal="center" vertical="center" wrapText="1"/>
    </xf>
    <xf numFmtId="9" fontId="54" fillId="0" borderId="19" xfId="25" applyNumberFormat="1" applyFont="1" applyBorder="1" applyAlignment="1">
      <alignment horizontal="center" vertical="center" wrapText="1"/>
    </xf>
    <xf numFmtId="174" fontId="54" fillId="0" borderId="1" xfId="25" applyNumberFormat="1" applyFont="1" applyBorder="1" applyAlignment="1">
      <alignment horizontal="center" vertical="center" wrapText="1"/>
    </xf>
    <xf numFmtId="2" fontId="60" fillId="0" borderId="8" xfId="25" applyNumberFormat="1" applyFont="1" applyBorder="1" applyAlignment="1">
      <alignment horizontal="justify" vertical="center" wrapText="1"/>
    </xf>
    <xf numFmtId="0" fontId="19" fillId="20" borderId="62" xfId="25" applyFont="1" applyFill="1" applyBorder="1" applyAlignment="1">
      <alignment horizontal="center" vertical="center" wrapText="1"/>
    </xf>
    <xf numFmtId="0" fontId="19" fillId="20" borderId="33" xfId="25" applyFont="1" applyFill="1" applyBorder="1" applyAlignment="1">
      <alignment horizontal="center" vertical="center" wrapText="1"/>
    </xf>
    <xf numFmtId="0" fontId="19" fillId="20" borderId="50" xfId="25" applyFont="1" applyFill="1" applyBorder="1" applyAlignment="1">
      <alignment horizontal="center" vertical="center" wrapText="1"/>
    </xf>
    <xf numFmtId="0" fontId="19" fillId="20" borderId="66" xfId="25" applyFont="1" applyFill="1" applyBorder="1" applyAlignment="1">
      <alignment horizontal="center" vertical="center" wrapText="1"/>
    </xf>
    <xf numFmtId="0" fontId="19" fillId="20" borderId="51" xfId="25" applyFont="1" applyFill="1" applyBorder="1" applyAlignment="1">
      <alignment horizontal="center" vertical="center" wrapText="1"/>
    </xf>
    <xf numFmtId="0" fontId="19" fillId="20" borderId="56" xfId="25" applyFont="1" applyFill="1" applyBorder="1" applyAlignment="1">
      <alignment horizontal="center" vertical="center" wrapText="1"/>
    </xf>
    <xf numFmtId="0" fontId="19" fillId="20" borderId="67" xfId="25" applyFont="1" applyFill="1" applyBorder="1" applyAlignment="1">
      <alignment horizontal="center" vertical="center" wrapText="1"/>
    </xf>
    <xf numFmtId="0" fontId="19" fillId="20" borderId="57" xfId="25" applyFont="1" applyFill="1" applyBorder="1" applyAlignment="1">
      <alignment horizontal="center" vertical="center" wrapText="1"/>
    </xf>
    <xf numFmtId="2" fontId="54" fillId="0" borderId="27" xfId="25" applyNumberFormat="1" applyFont="1" applyBorder="1" applyAlignment="1">
      <alignment horizontal="justify" vertical="center" wrapText="1"/>
    </xf>
    <xf numFmtId="9" fontId="54" fillId="0" borderId="4" xfId="25" applyNumberFormat="1" applyFont="1" applyBorder="1" applyAlignment="1">
      <alignment horizontal="center" vertical="center" wrapText="1"/>
    </xf>
    <xf numFmtId="9" fontId="64" fillId="19" borderId="47" xfId="25" applyNumberFormat="1" applyFont="1" applyFill="1" applyBorder="1" applyAlignment="1">
      <alignment horizontal="justify" vertical="center" wrapText="1"/>
    </xf>
    <xf numFmtId="9" fontId="54" fillId="19" borderId="11" xfId="25" applyNumberFormat="1" applyFont="1" applyFill="1" applyBorder="1" applyAlignment="1">
      <alignment horizontal="justify" vertical="center" wrapText="1"/>
    </xf>
    <xf numFmtId="9" fontId="54" fillId="19" borderId="12" xfId="25" applyNumberFormat="1" applyFont="1" applyFill="1" applyBorder="1" applyAlignment="1">
      <alignment horizontal="justify" vertical="center"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62" xfId="25" applyFont="1" applyFill="1" applyBorder="1" applyAlignment="1">
      <alignment horizontal="center" vertical="center" wrapText="1"/>
    </xf>
    <xf numFmtId="0" fontId="12" fillId="20" borderId="4" xfId="25" applyFont="1" applyFill="1" applyBorder="1" applyAlignment="1">
      <alignment horizontal="center" vertical="center" wrapText="1"/>
    </xf>
    <xf numFmtId="2" fontId="11" fillId="0" borderId="10" xfId="25" applyNumberFormat="1" applyFont="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20" borderId="34" xfId="25" applyFont="1" applyFill="1" applyBorder="1" applyAlignment="1">
      <alignment horizontal="center" vertical="center" wrapText="1"/>
    </xf>
    <xf numFmtId="0" fontId="12" fillId="20" borderId="8" xfId="25" applyFont="1" applyFill="1" applyBorder="1" applyAlignment="1">
      <alignment horizontal="center"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12" fillId="20" borderId="1" xfId="25" applyFont="1" applyFill="1" applyBorder="1" applyAlignment="1">
      <alignment horizontal="center" vertical="center" wrapText="1"/>
    </xf>
    <xf numFmtId="0" fontId="43" fillId="0" borderId="1" xfId="25" applyFont="1" applyBorder="1" applyAlignment="1">
      <alignment horizontal="left" vertical="center" wrapText="1"/>
    </xf>
    <xf numFmtId="0" fontId="43" fillId="0" borderId="9" xfId="25" applyFont="1" applyBorder="1" applyAlignment="1">
      <alignment horizontal="left" vertical="center" wrapText="1"/>
    </xf>
    <xf numFmtId="9" fontId="43" fillId="0" borderId="59" xfId="33" applyFont="1" applyFill="1" applyBorder="1" applyAlignment="1" applyProtection="1">
      <alignment horizontal="center" vertical="center" wrapText="1"/>
    </xf>
    <xf numFmtId="9" fontId="43" fillId="0" borderId="24" xfId="33" applyFont="1" applyFill="1" applyBorder="1" applyAlignment="1" applyProtection="1">
      <alignment horizontal="center" vertical="center" wrapText="1"/>
    </xf>
    <xf numFmtId="9" fontId="43" fillId="0" borderId="25" xfId="33" applyFont="1" applyFill="1" applyBorder="1" applyAlignment="1" applyProtection="1">
      <alignment horizontal="center" vertical="center" wrapText="1"/>
    </xf>
    <xf numFmtId="9" fontId="43" fillId="0" borderId="63" xfId="33" applyFont="1" applyFill="1" applyBorder="1" applyAlignment="1" applyProtection="1">
      <alignment horizontal="center" vertical="center" wrapText="1"/>
    </xf>
    <xf numFmtId="9" fontId="43" fillId="0" borderId="15" xfId="33" applyFont="1" applyFill="1" applyBorder="1" applyAlignment="1" applyProtection="1">
      <alignment horizontal="center" vertical="center" wrapText="1"/>
    </xf>
    <xf numFmtId="9" fontId="43" fillId="0" borderId="64" xfId="33" applyFont="1" applyFill="1" applyBorder="1" applyAlignment="1" applyProtection="1">
      <alignment horizontal="center" vertical="center" wrapText="1"/>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0" fontId="11" fillId="20" borderId="1"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6" fillId="0" borderId="41" xfId="0" applyFont="1" applyBorder="1" applyAlignment="1">
      <alignment horizontal="left" vertical="center" wrapText="1"/>
    </xf>
    <xf numFmtId="0" fontId="46" fillId="0" borderId="19" xfId="0" applyFont="1" applyBorder="1" applyAlignment="1">
      <alignment horizontal="left" vertical="center" wrapText="1"/>
    </xf>
    <xf numFmtId="0" fontId="46" fillId="0" borderId="37" xfId="0" applyFont="1" applyBorder="1" applyAlignment="1">
      <alignment horizontal="left" vertical="center" wrapText="1"/>
    </xf>
    <xf numFmtId="0" fontId="12" fillId="20" borderId="47" xfId="25" applyFont="1" applyFill="1" applyBorder="1" applyAlignment="1">
      <alignment horizontal="center" vertical="center" wrapText="1"/>
    </xf>
    <xf numFmtId="0" fontId="12" fillId="20" borderId="11"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20" borderId="42"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19" borderId="0" xfId="25" applyFont="1" applyFill="1" applyAlignment="1">
      <alignment horizontal="center"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20"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20" borderId="7" xfId="25" applyFont="1" applyFill="1" applyBorder="1" applyAlignment="1">
      <alignment horizontal="center" vertical="center" wrapText="1"/>
    </xf>
    <xf numFmtId="0" fontId="12" fillId="20" borderId="2"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22" xfId="25" applyFont="1" applyFill="1" applyBorder="1" applyAlignment="1">
      <alignment horizontal="center" vertical="center" wrapText="1"/>
    </xf>
    <xf numFmtId="9" fontId="43" fillId="0" borderId="59" xfId="25" applyNumberFormat="1" applyFont="1" applyBorder="1" applyAlignment="1">
      <alignment horizontal="left" vertical="center" wrapText="1"/>
    </xf>
    <xf numFmtId="9" fontId="43" fillId="0" borderId="24" xfId="25" applyNumberFormat="1" applyFont="1" applyBorder="1" applyAlignment="1">
      <alignment horizontal="left" vertical="center" wrapText="1"/>
    </xf>
    <xf numFmtId="9" fontId="43" fillId="0" borderId="65" xfId="25" applyNumberFormat="1" applyFont="1" applyBorder="1" applyAlignment="1">
      <alignment horizontal="left" vertical="center" wrapText="1"/>
    </xf>
    <xf numFmtId="9" fontId="43" fillId="0" borderId="68" xfId="25" applyNumberFormat="1" applyFont="1" applyBorder="1" applyAlignment="1">
      <alignment horizontal="left" vertical="center" wrapText="1"/>
    </xf>
    <xf numFmtId="9" fontId="43" fillId="0" borderId="0" xfId="25" applyNumberFormat="1" applyFont="1" applyAlignment="1">
      <alignment horizontal="left" vertical="center" wrapText="1"/>
    </xf>
    <xf numFmtId="9" fontId="43" fillId="0" borderId="14" xfId="25" applyNumberFormat="1" applyFont="1" applyBorder="1" applyAlignment="1">
      <alignment horizontal="left" vertical="center" wrapText="1"/>
    </xf>
    <xf numFmtId="0" fontId="12" fillId="20" borderId="46"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47" fillId="0" borderId="53" xfId="0" applyFont="1" applyBorder="1" applyAlignment="1">
      <alignment horizontal="center" vertical="center"/>
    </xf>
    <xf numFmtId="0" fontId="47" fillId="0" borderId="55" xfId="0" applyFont="1" applyBorder="1" applyAlignment="1">
      <alignment horizontal="center" vertical="center"/>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0" fontId="12" fillId="20" borderId="9" xfId="25" applyFont="1" applyFill="1" applyBorder="1" applyAlignment="1">
      <alignment horizontal="center" vertical="center" wrapText="1"/>
    </xf>
    <xf numFmtId="9" fontId="43" fillId="0" borderId="59" xfId="25" applyNumberFormat="1" applyFont="1" applyBorder="1" applyAlignment="1">
      <alignment horizontal="center" vertical="center" wrapText="1"/>
    </xf>
    <xf numFmtId="9" fontId="43" fillId="0" borderId="24" xfId="25" applyNumberFormat="1" applyFont="1" applyBorder="1" applyAlignment="1">
      <alignment horizontal="center" vertical="center" wrapText="1"/>
    </xf>
    <xf numFmtId="9" fontId="43" fillId="0" borderId="65" xfId="25" applyNumberFormat="1" applyFont="1" applyBorder="1" applyAlignment="1">
      <alignment horizontal="center" vertical="center" wrapText="1"/>
    </xf>
    <xf numFmtId="9" fontId="43" fillId="0" borderId="63" xfId="25" applyNumberFormat="1" applyFont="1" applyBorder="1" applyAlignment="1">
      <alignment horizontal="center" vertical="center" wrapText="1"/>
    </xf>
    <xf numFmtId="9" fontId="43" fillId="0" borderId="15" xfId="25" applyNumberFormat="1" applyFont="1" applyBorder="1" applyAlignment="1">
      <alignment horizontal="center" vertical="center" wrapText="1"/>
    </xf>
    <xf numFmtId="9" fontId="43" fillId="0" borderId="16" xfId="25" applyNumberFormat="1" applyFont="1" applyBorder="1" applyAlignment="1">
      <alignment horizontal="center" vertical="center" wrapText="1"/>
    </xf>
    <xf numFmtId="0" fontId="12" fillId="20" borderId="58" xfId="25" applyFont="1" applyFill="1" applyBorder="1" applyAlignment="1">
      <alignment horizontal="center" vertical="center" wrapText="1"/>
    </xf>
    <xf numFmtId="9" fontId="43" fillId="0" borderId="68" xfId="25" applyNumberFormat="1" applyFont="1" applyBorder="1" applyAlignment="1">
      <alignment horizontal="center" vertical="center" wrapText="1"/>
    </xf>
    <xf numFmtId="9" fontId="43" fillId="0" borderId="0" xfId="25" applyNumberFormat="1" applyFont="1" applyAlignment="1">
      <alignment horizontal="center" vertical="center" wrapText="1"/>
    </xf>
    <xf numFmtId="9" fontId="43" fillId="0" borderId="14" xfId="25" applyNumberFormat="1"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9" fontId="43" fillId="0" borderId="65" xfId="33" applyFont="1" applyFill="1" applyBorder="1" applyAlignment="1" applyProtection="1">
      <alignment horizontal="center" vertical="center" wrapText="1"/>
    </xf>
    <xf numFmtId="9" fontId="43" fillId="0" borderId="16" xfId="33" applyFont="1" applyFill="1" applyBorder="1" applyAlignment="1" applyProtection="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19" borderId="6"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12" fillId="20" borderId="43" xfId="25" applyFont="1" applyFill="1" applyBorder="1" applyAlignment="1">
      <alignment horizontal="center" vertical="center" wrapText="1"/>
    </xf>
    <xf numFmtId="0" fontId="41" fillId="0" borderId="52" xfId="0" applyFont="1" applyBorder="1" applyAlignment="1">
      <alignment horizontal="center" vertical="center" wrapText="1"/>
    </xf>
    <xf numFmtId="0" fontId="41" fillId="0" borderId="22" xfId="0"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10" xfId="25" applyFont="1" applyBorder="1" applyAlignment="1">
      <alignment horizontal="center" vertical="center" wrapText="1"/>
    </xf>
    <xf numFmtId="0" fontId="12" fillId="0" borderId="33" xfId="25" applyFont="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7" fillId="0" borderId="47"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45" xfId="0" applyFont="1" applyBorder="1" applyAlignment="1">
      <alignment horizontal="center" vertical="center"/>
    </xf>
    <xf numFmtId="0" fontId="47" fillId="0" borderId="16" xfId="0" applyFont="1" applyBorder="1" applyAlignment="1">
      <alignment horizontal="center" vertical="center"/>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9" fontId="54" fillId="19" borderId="2" xfId="25" applyNumberFormat="1" applyFont="1" applyFill="1" applyBorder="1" applyAlignment="1">
      <alignment horizontal="center" vertical="center" wrapText="1"/>
    </xf>
    <xf numFmtId="9" fontId="54" fillId="0" borderId="2" xfId="25" applyNumberFormat="1" applyFont="1" applyBorder="1" applyAlignment="1">
      <alignment horizontal="center" vertical="center" wrapText="1"/>
    </xf>
    <xf numFmtId="2" fontId="54" fillId="19" borderId="8" xfId="25" applyNumberFormat="1" applyFont="1" applyFill="1" applyBorder="1" applyAlignment="1">
      <alignment horizontal="justify" vertical="center" wrapText="1"/>
    </xf>
    <xf numFmtId="0" fontId="58" fillId="19" borderId="8" xfId="0" applyFont="1" applyFill="1" applyBorder="1" applyAlignment="1">
      <alignment horizontal="justify" vertical="center" wrapText="1"/>
    </xf>
    <xf numFmtId="9" fontId="54" fillId="19" borderId="5" xfId="25" applyNumberFormat="1" applyFont="1" applyFill="1" applyBorder="1" applyAlignment="1">
      <alignment horizontal="justify" vertical="center" wrapText="1"/>
    </xf>
    <xf numFmtId="9" fontId="54" fillId="19" borderId="1" xfId="25" applyNumberFormat="1" applyFont="1" applyFill="1" applyBorder="1" applyAlignment="1">
      <alignment horizontal="justify" vertical="center" wrapText="1"/>
    </xf>
    <xf numFmtId="9" fontId="54" fillId="19" borderId="9" xfId="25" applyNumberFormat="1" applyFont="1" applyFill="1" applyBorder="1" applyAlignment="1">
      <alignment horizontal="justify" vertical="center" wrapText="1"/>
    </xf>
    <xf numFmtId="9" fontId="54" fillId="19" borderId="1" xfId="25" applyNumberFormat="1" applyFont="1" applyFill="1" applyBorder="1" applyAlignment="1">
      <alignment horizontal="justify" vertical="center"/>
    </xf>
    <xf numFmtId="9" fontId="54" fillId="19" borderId="9" xfId="25" applyNumberFormat="1" applyFont="1" applyFill="1" applyBorder="1" applyAlignment="1">
      <alignment horizontal="justify" vertical="center"/>
    </xf>
    <xf numFmtId="9" fontId="54" fillId="19" borderId="5" xfId="25" applyNumberFormat="1" applyFont="1" applyFill="1" applyBorder="1" applyAlignment="1">
      <alignment horizontal="justify" vertical="center"/>
    </xf>
    <xf numFmtId="9" fontId="54" fillId="19" borderId="5" xfId="25" applyNumberFormat="1" applyFont="1" applyFill="1" applyBorder="1" applyAlignment="1">
      <alignment horizontal="justify" vertical="top" wrapText="1"/>
    </xf>
    <xf numFmtId="9" fontId="54" fillId="19" borderId="1" xfId="25" applyNumberFormat="1" applyFont="1" applyFill="1" applyBorder="1" applyAlignment="1">
      <alignment horizontal="justify" vertical="top" wrapText="1"/>
    </xf>
    <xf numFmtId="9" fontId="54" fillId="19" borderId="9" xfId="25" applyNumberFormat="1" applyFont="1" applyFill="1" applyBorder="1" applyAlignment="1">
      <alignment horizontal="justify" vertical="top" wrapText="1"/>
    </xf>
    <xf numFmtId="0" fontId="19" fillId="20" borderId="61" xfId="25" applyFont="1" applyFill="1" applyBorder="1" applyAlignment="1">
      <alignment horizontal="center" vertical="center" wrapText="1"/>
    </xf>
    <xf numFmtId="0" fontId="19" fillId="20" borderId="32" xfId="25" applyFont="1" applyFill="1" applyBorder="1" applyAlignment="1">
      <alignment horizontal="center" vertical="center" wrapText="1"/>
    </xf>
    <xf numFmtId="0" fontId="19" fillId="20" borderId="69" xfId="25" applyFont="1" applyFill="1" applyBorder="1" applyAlignment="1">
      <alignment horizontal="center" vertical="center" wrapText="1"/>
    </xf>
    <xf numFmtId="0" fontId="19" fillId="20" borderId="63" xfId="25" applyFont="1" applyFill="1" applyBorder="1" applyAlignment="1">
      <alignment horizontal="center" vertical="center" wrapText="1"/>
    </xf>
    <xf numFmtId="9" fontId="54" fillId="19" borderId="58" xfId="25" applyNumberFormat="1" applyFont="1" applyFill="1" applyBorder="1" applyAlignment="1">
      <alignment horizontal="justify" vertical="top" wrapText="1"/>
    </xf>
    <xf numFmtId="9" fontId="54" fillId="19" borderId="4" xfId="25" applyNumberFormat="1" applyFont="1" applyFill="1" applyBorder="1" applyAlignment="1">
      <alignment horizontal="justify" vertical="top" wrapText="1"/>
    </xf>
    <xf numFmtId="9" fontId="54" fillId="19" borderId="28" xfId="25" applyNumberFormat="1" applyFont="1" applyFill="1" applyBorder="1" applyAlignment="1">
      <alignment horizontal="justify" vertical="top" wrapText="1"/>
    </xf>
    <xf numFmtId="9" fontId="54" fillId="0" borderId="20" xfId="25" applyNumberFormat="1" applyFont="1" applyBorder="1" applyAlignment="1">
      <alignment horizontal="center" vertical="center" wrapText="1"/>
    </xf>
    <xf numFmtId="3" fontId="19" fillId="0" borderId="59" xfId="25" applyNumberFormat="1" applyFont="1" applyBorder="1" applyAlignment="1">
      <alignment horizontal="center" vertical="center" wrapText="1"/>
    </xf>
    <xf numFmtId="3" fontId="19" fillId="0" borderId="25" xfId="25" applyNumberFormat="1" applyFont="1" applyBorder="1" applyAlignment="1">
      <alignment horizontal="center" vertical="center" wrapText="1"/>
    </xf>
    <xf numFmtId="0" fontId="19" fillId="0" borderId="34" xfId="25" applyFont="1" applyBorder="1" applyAlignment="1">
      <alignment horizontal="center" vertical="center" wrapText="1"/>
    </xf>
    <xf numFmtId="0" fontId="19" fillId="0" borderId="42" xfId="25" applyFont="1" applyBorder="1" applyAlignment="1">
      <alignment horizontal="left" vertical="center" wrapText="1"/>
    </xf>
    <xf numFmtId="0" fontId="19" fillId="0" borderId="43" xfId="25" applyFont="1" applyBorder="1" applyAlignment="1">
      <alignment horizontal="left" vertical="center" wrapText="1"/>
    </xf>
    <xf numFmtId="0" fontId="19" fillId="0" borderId="44" xfId="25" applyFont="1" applyBorder="1" applyAlignment="1">
      <alignment horizontal="left" vertical="center" wrapText="1"/>
    </xf>
    <xf numFmtId="0" fontId="19" fillId="0" borderId="26" xfId="25" applyFont="1" applyBorder="1" applyAlignment="1">
      <alignment horizontal="center" vertical="center" wrapText="1"/>
    </xf>
    <xf numFmtId="0" fontId="19" fillId="0" borderId="19" xfId="25" applyFont="1" applyBorder="1" applyAlignment="1">
      <alignment horizontal="center" vertical="center" wrapText="1"/>
    </xf>
    <xf numFmtId="0" fontId="19" fillId="0" borderId="37" xfId="25"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wrapText="1"/>
    </xf>
    <xf numFmtId="2" fontId="54" fillId="0" borderId="26" xfId="25" applyNumberFormat="1" applyFont="1" applyBorder="1" applyAlignment="1">
      <alignment horizontal="justify" vertical="center" wrapText="1"/>
    </xf>
    <xf numFmtId="0" fontId="54" fillId="31" borderId="23" xfId="0" applyFont="1" applyFill="1" applyBorder="1" applyAlignment="1">
      <alignment horizontal="justify" vertical="top" wrapText="1"/>
    </xf>
    <xf numFmtId="0" fontId="54" fillId="31" borderId="24" xfId="0" applyFont="1" applyFill="1" applyBorder="1" applyAlignment="1">
      <alignment horizontal="justify" vertical="top" wrapText="1"/>
    </xf>
    <xf numFmtId="0" fontId="54" fillId="31" borderId="25" xfId="0" applyFont="1" applyFill="1" applyBorder="1" applyAlignment="1">
      <alignment horizontal="justify" vertical="top" wrapText="1"/>
    </xf>
    <xf numFmtId="0" fontId="54" fillId="31" borderId="6" xfId="0" applyFont="1" applyFill="1" applyBorder="1" applyAlignment="1">
      <alignment horizontal="justify" vertical="top" wrapText="1"/>
    </xf>
    <xf numFmtId="0" fontId="54" fillId="31" borderId="3" xfId="0" applyFont="1" applyFill="1" applyBorder="1" applyAlignment="1">
      <alignment horizontal="justify" vertical="top" wrapText="1"/>
    </xf>
    <xf numFmtId="0" fontId="54" fillId="31" borderId="58" xfId="0" applyFont="1" applyFill="1" applyBorder="1" applyAlignment="1">
      <alignment horizontal="justify" vertical="top" wrapText="1"/>
    </xf>
    <xf numFmtId="9" fontId="54" fillId="0" borderId="21" xfId="25" applyNumberFormat="1" applyFont="1" applyBorder="1" applyAlignment="1">
      <alignment horizontal="center" vertical="center" wrapText="1"/>
    </xf>
    <xf numFmtId="0" fontId="54" fillId="31" borderId="23" xfId="0" applyFont="1" applyFill="1" applyBorder="1" applyAlignment="1">
      <alignment horizontal="justify" vertical="center" wrapText="1"/>
    </xf>
    <xf numFmtId="0" fontId="54" fillId="31" borderId="24" xfId="0" applyFont="1" applyFill="1" applyBorder="1" applyAlignment="1">
      <alignment horizontal="justify" vertical="center" wrapText="1"/>
    </xf>
    <xf numFmtId="0" fontId="54" fillId="31" borderId="25" xfId="0" applyFont="1" applyFill="1" applyBorder="1" applyAlignment="1">
      <alignment horizontal="justify" vertical="center" wrapText="1"/>
    </xf>
    <xf numFmtId="0" fontId="54" fillId="31" borderId="6" xfId="0" applyFont="1" applyFill="1" applyBorder="1" applyAlignment="1">
      <alignment horizontal="justify" vertical="center" wrapText="1"/>
    </xf>
    <xf numFmtId="0" fontId="54" fillId="31" borderId="3" xfId="0" applyFont="1" applyFill="1" applyBorder="1" applyAlignment="1">
      <alignment horizontal="justify" vertical="center" wrapText="1"/>
    </xf>
    <xf numFmtId="0" fontId="54" fillId="31" borderId="58" xfId="0" applyFont="1" applyFill="1" applyBorder="1" applyAlignment="1">
      <alignment horizontal="justify"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9" fontId="24" fillId="0" borderId="92" xfId="0" applyNumberFormat="1" applyFont="1" applyBorder="1" applyAlignment="1">
      <alignment horizontal="justify" vertical="center" wrapText="1"/>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9" fontId="64" fillId="19" borderId="23" xfId="25" applyNumberFormat="1" applyFont="1" applyFill="1" applyBorder="1" applyAlignment="1">
      <alignment horizontal="left" vertical="top" wrapText="1"/>
    </xf>
    <xf numFmtId="9" fontId="54" fillId="19" borderId="24" xfId="25" applyNumberFormat="1" applyFont="1" applyFill="1" applyBorder="1" applyAlignment="1">
      <alignment horizontal="left" vertical="top" wrapText="1"/>
    </xf>
    <xf numFmtId="9" fontId="54" fillId="19" borderId="65" xfId="25" applyNumberFormat="1" applyFont="1" applyFill="1" applyBorder="1" applyAlignment="1">
      <alignment horizontal="left" vertical="top" wrapText="1"/>
    </xf>
    <xf numFmtId="9" fontId="54" fillId="19" borderId="45" xfId="25" applyNumberFormat="1" applyFont="1" applyFill="1" applyBorder="1" applyAlignment="1">
      <alignment horizontal="left" vertical="top" wrapText="1"/>
    </xf>
    <xf numFmtId="9" fontId="54" fillId="19" borderId="15" xfId="25" applyNumberFormat="1" applyFont="1" applyFill="1" applyBorder="1" applyAlignment="1">
      <alignment horizontal="left" vertical="top" wrapText="1"/>
    </xf>
    <xf numFmtId="9" fontId="54" fillId="19" borderId="16" xfId="25" applyNumberFormat="1" applyFont="1" applyFill="1" applyBorder="1" applyAlignment="1">
      <alignment horizontal="left" vertical="top" wrapText="1"/>
    </xf>
    <xf numFmtId="9" fontId="54" fillId="19" borderId="23" xfId="25" applyNumberFormat="1" applyFont="1" applyFill="1" applyBorder="1" applyAlignment="1">
      <alignment horizontal="justify" vertical="top" wrapText="1"/>
    </xf>
    <xf numFmtId="9" fontId="54" fillId="19" borderId="24" xfId="25" applyNumberFormat="1" applyFont="1" applyFill="1" applyBorder="1" applyAlignment="1">
      <alignment horizontal="justify" vertical="top" wrapText="1"/>
    </xf>
    <xf numFmtId="9" fontId="54" fillId="19" borderId="65" xfId="25" applyNumberFormat="1" applyFont="1" applyFill="1" applyBorder="1" applyAlignment="1">
      <alignment horizontal="justify" vertical="top" wrapText="1"/>
    </xf>
    <xf numFmtId="9" fontId="54" fillId="19" borderId="6" xfId="25" applyNumberFormat="1" applyFont="1" applyFill="1" applyBorder="1" applyAlignment="1">
      <alignment horizontal="justify" vertical="top" wrapText="1"/>
    </xf>
    <xf numFmtId="9" fontId="54" fillId="19" borderId="3" xfId="25" applyNumberFormat="1" applyFont="1" applyFill="1" applyBorder="1" applyAlignment="1">
      <alignment horizontal="justify" vertical="top" wrapText="1"/>
    </xf>
    <xf numFmtId="9" fontId="54" fillId="19" borderId="7" xfId="25" applyNumberFormat="1" applyFont="1" applyFill="1" applyBorder="1" applyAlignment="1">
      <alignment horizontal="justify" vertical="top" wrapText="1"/>
    </xf>
    <xf numFmtId="9" fontId="54" fillId="19" borderId="23" xfId="25" applyNumberFormat="1" applyFont="1" applyFill="1" applyBorder="1" applyAlignment="1">
      <alignment horizontal="left" vertical="top" wrapText="1"/>
    </xf>
    <xf numFmtId="9" fontId="54" fillId="19" borderId="6" xfId="25" applyNumberFormat="1" applyFont="1" applyFill="1" applyBorder="1" applyAlignment="1">
      <alignment horizontal="left" vertical="top" wrapText="1"/>
    </xf>
    <xf numFmtId="9" fontId="54" fillId="19" borderId="3" xfId="25" applyNumberFormat="1" applyFont="1" applyFill="1" applyBorder="1" applyAlignment="1">
      <alignment horizontal="left" vertical="top" wrapText="1"/>
    </xf>
    <xf numFmtId="9" fontId="54" fillId="19" borderId="7" xfId="25" applyNumberFormat="1" applyFont="1" applyFill="1" applyBorder="1" applyAlignment="1">
      <alignment horizontal="left" vertical="top" wrapText="1"/>
    </xf>
    <xf numFmtId="0" fontId="60" fillId="19" borderId="26" xfId="0" applyFont="1" applyFill="1" applyBorder="1" applyAlignment="1">
      <alignment horizontal="justify" vertical="center" wrapText="1"/>
    </xf>
    <xf numFmtId="2" fontId="54" fillId="19" borderId="27" xfId="25" applyNumberFormat="1" applyFont="1" applyFill="1" applyBorder="1" applyAlignment="1">
      <alignment horizontal="justify" vertical="center" wrapText="1"/>
    </xf>
    <xf numFmtId="9" fontId="54" fillId="19" borderId="47" xfId="25" applyNumberFormat="1" applyFont="1" applyFill="1" applyBorder="1" applyAlignment="1">
      <alignment horizontal="left" vertical="top" wrapText="1"/>
    </xf>
    <xf numFmtId="9" fontId="54" fillId="19" borderId="11" xfId="25" applyNumberFormat="1" applyFont="1" applyFill="1" applyBorder="1" applyAlignment="1">
      <alignment horizontal="left" vertical="top" wrapText="1"/>
    </xf>
    <xf numFmtId="9" fontId="54" fillId="19" borderId="12" xfId="25" applyNumberFormat="1" applyFont="1" applyFill="1" applyBorder="1" applyAlignment="1">
      <alignment horizontal="left" vertical="top" wrapText="1"/>
    </xf>
    <xf numFmtId="9" fontId="54" fillId="0" borderId="68" xfId="25" applyNumberFormat="1" applyFont="1" applyBorder="1" applyAlignment="1">
      <alignment horizontal="center" vertical="center" wrapText="1"/>
    </xf>
    <xf numFmtId="0" fontId="54" fillId="31" borderId="1" xfId="0" applyFont="1" applyFill="1" applyBorder="1" applyAlignment="1">
      <alignment horizontal="justify" vertical="top" wrapText="1"/>
    </xf>
    <xf numFmtId="173" fontId="19" fillId="0" borderId="42" xfId="31" applyNumberFormat="1" applyFont="1" applyFill="1" applyBorder="1" applyAlignment="1" applyProtection="1">
      <alignment horizontal="center" vertical="center" wrapText="1"/>
    </xf>
    <xf numFmtId="173" fontId="19" fillId="0" borderId="44" xfId="31" applyNumberFormat="1" applyFont="1" applyFill="1" applyBorder="1" applyAlignment="1" applyProtection="1">
      <alignment horizontal="center" vertical="center" wrapText="1"/>
    </xf>
    <xf numFmtId="0" fontId="24" fillId="0" borderId="88" xfId="0" applyFont="1" applyBorder="1" applyAlignment="1">
      <alignment horizontal="justify" vertical="center" wrapText="1"/>
    </xf>
    <xf numFmtId="0" fontId="54" fillId="31" borderId="8" xfId="0" applyFont="1" applyFill="1" applyBorder="1" applyAlignment="1">
      <alignment horizontal="left" vertical="center" wrapText="1"/>
    </xf>
    <xf numFmtId="0" fontId="54" fillId="31" borderId="1" xfId="0" applyFont="1" applyFill="1" applyBorder="1" applyAlignment="1">
      <alignment horizontal="left" vertical="center" wrapText="1"/>
    </xf>
    <xf numFmtId="0" fontId="54" fillId="31" borderId="9" xfId="0" applyFont="1" applyFill="1" applyBorder="1" applyAlignment="1">
      <alignment horizontal="left" vertical="center" wrapText="1"/>
    </xf>
    <xf numFmtId="2" fontId="54" fillId="0" borderId="40" xfId="25" applyNumberFormat="1" applyFont="1" applyBorder="1" applyAlignment="1">
      <alignment horizontal="justify" vertical="top" wrapText="1"/>
    </xf>
    <xf numFmtId="2" fontId="54" fillId="0" borderId="32" xfId="25" applyNumberFormat="1" applyFont="1" applyBorder="1" applyAlignment="1">
      <alignment horizontal="justify" vertical="top" wrapText="1"/>
    </xf>
    <xf numFmtId="0" fontId="54" fillId="31" borderId="8" xfId="0" applyFont="1" applyFill="1" applyBorder="1" applyAlignment="1">
      <alignment horizontal="justify" vertical="center" wrapText="1"/>
    </xf>
    <xf numFmtId="0" fontId="54" fillId="31" borderId="1" xfId="0" applyFont="1" applyFill="1" applyBorder="1" applyAlignment="1">
      <alignment horizontal="justify" vertical="center" wrapText="1"/>
    </xf>
    <xf numFmtId="0" fontId="54" fillId="31" borderId="9" xfId="0" applyFont="1" applyFill="1" applyBorder="1" applyAlignment="1">
      <alignment horizontal="justify" vertical="center" wrapText="1"/>
    </xf>
    <xf numFmtId="0" fontId="54" fillId="31" borderId="26" xfId="0" applyFont="1" applyFill="1" applyBorder="1" applyAlignment="1">
      <alignment horizontal="justify" vertical="center" wrapText="1"/>
    </xf>
    <xf numFmtId="0" fontId="54" fillId="31" borderId="19" xfId="0" applyFont="1" applyFill="1" applyBorder="1" applyAlignment="1">
      <alignment horizontal="justify" vertical="center" wrapText="1"/>
    </xf>
    <xf numFmtId="0" fontId="54" fillId="31" borderId="37" xfId="0" applyFont="1" applyFill="1" applyBorder="1" applyAlignment="1">
      <alignment horizontal="justify" vertical="center" wrapText="1"/>
    </xf>
    <xf numFmtId="9" fontId="54" fillId="0" borderId="59" xfId="25" applyNumberFormat="1" applyFont="1" applyBorder="1" applyAlignment="1">
      <alignment horizontal="center" vertical="center" wrapText="1"/>
    </xf>
    <xf numFmtId="0" fontId="54" fillId="31" borderId="27" xfId="0" applyFont="1" applyFill="1" applyBorder="1" applyAlignment="1">
      <alignment horizontal="justify" vertical="center" wrapText="1"/>
    </xf>
    <xf numFmtId="0" fontId="54" fillId="31" borderId="4" xfId="0" applyFont="1" applyFill="1" applyBorder="1" applyAlignment="1">
      <alignment horizontal="justify" vertical="center" wrapText="1"/>
    </xf>
    <xf numFmtId="0" fontId="54" fillId="31" borderId="28" xfId="0" applyFont="1" applyFill="1" applyBorder="1" applyAlignment="1">
      <alignment horizontal="justify" vertical="center" wrapText="1"/>
    </xf>
    <xf numFmtId="0" fontId="19" fillId="20" borderId="68" xfId="25" applyFont="1" applyFill="1" applyBorder="1" applyAlignment="1">
      <alignment horizontal="center" vertical="center" wrapText="1"/>
    </xf>
    <xf numFmtId="0" fontId="19" fillId="20" borderId="71" xfId="25" applyFont="1" applyFill="1" applyBorder="1" applyAlignment="1">
      <alignment horizontal="center" vertical="center" wrapText="1"/>
    </xf>
    <xf numFmtId="0" fontId="54" fillId="0" borderId="61" xfId="25" applyFont="1" applyBorder="1" applyAlignment="1">
      <alignment horizontal="justify" vertical="center" wrapText="1"/>
    </xf>
    <xf numFmtId="0" fontId="54" fillId="0" borderId="32" xfId="25" applyFont="1" applyBorder="1" applyAlignment="1">
      <alignment horizontal="justify" vertical="center" wrapText="1"/>
    </xf>
    <xf numFmtId="9" fontId="19" fillId="0" borderId="62" xfId="25" applyNumberFormat="1" applyFont="1" applyBorder="1" applyAlignment="1">
      <alignment horizontal="center" vertical="center" wrapText="1"/>
    </xf>
    <xf numFmtId="0" fontId="54" fillId="31" borderId="35" xfId="0" applyFont="1" applyFill="1" applyBorder="1" applyAlignment="1">
      <alignment horizontal="justify" vertical="top" wrapText="1"/>
    </xf>
    <xf numFmtId="0" fontId="54" fillId="31" borderId="49" xfId="0" applyFont="1" applyFill="1" applyBorder="1" applyAlignment="1">
      <alignment horizontal="justify" vertical="top" wrapText="1"/>
    </xf>
    <xf numFmtId="0" fontId="54" fillId="31" borderId="19" xfId="0" applyFont="1" applyFill="1" applyBorder="1" applyAlignment="1">
      <alignment horizontal="justify" vertical="top" wrapText="1"/>
    </xf>
    <xf numFmtId="0" fontId="54" fillId="31" borderId="37" xfId="0" applyFont="1" applyFill="1" applyBorder="1" applyAlignment="1">
      <alignment horizontal="justify" vertical="top" wrapText="1"/>
    </xf>
    <xf numFmtId="0" fontId="54" fillId="31" borderId="69" xfId="0" applyFont="1" applyFill="1" applyBorder="1" applyAlignment="1">
      <alignment horizontal="justify" vertical="top" wrapText="1"/>
    </xf>
    <xf numFmtId="0" fontId="54" fillId="31" borderId="11" xfId="0" applyFont="1" applyFill="1" applyBorder="1" applyAlignment="1">
      <alignment horizontal="justify" vertical="top" wrapText="1"/>
    </xf>
    <xf numFmtId="0" fontId="54" fillId="31" borderId="105" xfId="0" applyFont="1" applyFill="1" applyBorder="1" applyAlignment="1">
      <alignment horizontal="justify" vertical="top" wrapText="1"/>
    </xf>
    <xf numFmtId="0" fontId="54" fillId="31" borderId="63" xfId="0" applyFont="1" applyFill="1" applyBorder="1" applyAlignment="1">
      <alignment horizontal="justify" vertical="top" wrapText="1"/>
    </xf>
    <xf numFmtId="0" fontId="54" fillId="31" borderId="15" xfId="0" applyFont="1" applyFill="1" applyBorder="1" applyAlignment="1">
      <alignment horizontal="justify" vertical="top" wrapText="1"/>
    </xf>
    <xf numFmtId="0" fontId="54" fillId="31" borderId="64" xfId="0" applyFont="1" applyFill="1" applyBorder="1" applyAlignment="1">
      <alignment horizontal="justify" vertical="top"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0" fontId="19" fillId="0" borderId="70" xfId="25" applyFont="1" applyBorder="1" applyAlignment="1">
      <alignment horizontal="center" vertical="center" wrapText="1"/>
    </xf>
    <xf numFmtId="0" fontId="19" fillId="20" borderId="18" xfId="25" applyFont="1" applyFill="1" applyBorder="1" applyAlignment="1">
      <alignment horizontal="center" vertical="center" wrapText="1"/>
    </xf>
    <xf numFmtId="0" fontId="19" fillId="20" borderId="10" xfId="25" applyFont="1" applyFill="1" applyBorder="1" applyAlignment="1">
      <alignment horizontal="center" vertical="center" wrapText="1"/>
    </xf>
    <xf numFmtId="0" fontId="54" fillId="20" borderId="10" xfId="25" applyFont="1" applyFill="1" applyBorder="1" applyAlignment="1">
      <alignment horizontal="center" vertical="center" wrapText="1"/>
    </xf>
    <xf numFmtId="0" fontId="54" fillId="20" borderId="2" xfId="25" applyFont="1" applyFill="1" applyBorder="1" applyAlignment="1">
      <alignment horizontal="center" vertical="center" wrapText="1"/>
    </xf>
    <xf numFmtId="0" fontId="19" fillId="19" borderId="50" xfId="25" applyFont="1" applyFill="1" applyBorder="1" applyAlignment="1">
      <alignment horizontal="center" vertical="center" wrapText="1"/>
    </xf>
    <xf numFmtId="0" fontId="19" fillId="19" borderId="66" xfId="25" applyFont="1" applyFill="1" applyBorder="1" applyAlignment="1">
      <alignment horizontal="center" vertical="center" wrapText="1"/>
    </xf>
    <xf numFmtId="0" fontId="19" fillId="19" borderId="51" xfId="25" applyFont="1" applyFill="1" applyBorder="1" applyAlignment="1">
      <alignment horizontal="center" vertical="center" wrapText="1"/>
    </xf>
    <xf numFmtId="0" fontId="19" fillId="20" borderId="52" xfId="25" applyFont="1" applyFill="1" applyBorder="1" applyAlignment="1">
      <alignment horizontal="center" vertical="center" wrapText="1"/>
    </xf>
    <xf numFmtId="0" fontId="19" fillId="20" borderId="22" xfId="25" applyFont="1" applyFill="1" applyBorder="1" applyAlignment="1">
      <alignment horizontal="center" vertical="center" wrapText="1"/>
    </xf>
    <xf numFmtId="9" fontId="54" fillId="19" borderId="47" xfId="25" applyNumberFormat="1" applyFont="1" applyFill="1" applyBorder="1" applyAlignment="1">
      <alignment horizontal="justify" vertical="center" wrapText="1"/>
    </xf>
    <xf numFmtId="9" fontId="54" fillId="19" borderId="45" xfId="25" applyNumberFormat="1" applyFont="1" applyFill="1" applyBorder="1" applyAlignment="1">
      <alignment horizontal="justify" vertical="center" wrapText="1"/>
    </xf>
    <xf numFmtId="9" fontId="54" fillId="19" borderId="15" xfId="25" applyNumberFormat="1" applyFont="1" applyFill="1" applyBorder="1" applyAlignment="1">
      <alignment horizontal="justify" vertical="center" wrapText="1"/>
    </xf>
    <xf numFmtId="9" fontId="54" fillId="19" borderId="16" xfId="25" applyNumberFormat="1" applyFont="1" applyFill="1" applyBorder="1" applyAlignment="1">
      <alignment horizontal="justify" vertical="center" wrapText="1"/>
    </xf>
    <xf numFmtId="0" fontId="64" fillId="0" borderId="59"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25" xfId="0" applyFont="1" applyBorder="1" applyAlignment="1">
      <alignment horizontal="justify" vertical="center" wrapText="1"/>
    </xf>
    <xf numFmtId="0" fontId="64" fillId="0" borderId="101" xfId="0" applyFont="1" applyBorder="1" applyAlignment="1">
      <alignment horizontal="justify" vertical="center" wrapText="1"/>
    </xf>
    <xf numFmtId="0" fontId="64" fillId="0" borderId="102" xfId="0" applyFont="1" applyBorder="1" applyAlignment="1">
      <alignment horizontal="justify" vertical="center" wrapText="1"/>
    </xf>
    <xf numFmtId="0" fontId="64" fillId="0" borderId="103" xfId="0" applyFont="1" applyBorder="1" applyAlignment="1">
      <alignment horizontal="justify" vertical="center" wrapText="1"/>
    </xf>
    <xf numFmtId="9" fontId="54" fillId="0" borderId="24" xfId="33" applyFont="1" applyFill="1" applyBorder="1" applyAlignment="1" applyProtection="1">
      <alignment horizontal="justify" vertical="center" wrapText="1"/>
    </xf>
    <xf numFmtId="9" fontId="54" fillId="0" borderId="25" xfId="33" applyFont="1" applyFill="1" applyBorder="1" applyAlignment="1" applyProtection="1">
      <alignment horizontal="justify" vertical="center" wrapText="1"/>
    </xf>
    <xf numFmtId="9" fontId="54" fillId="0" borderId="15" xfId="33" applyFont="1" applyFill="1" applyBorder="1" applyAlignment="1" applyProtection="1">
      <alignment horizontal="justify" vertical="center" wrapText="1"/>
    </xf>
    <xf numFmtId="9" fontId="54" fillId="0" borderId="64" xfId="33" applyFont="1" applyFill="1" applyBorder="1" applyAlignment="1" applyProtection="1">
      <alignment horizontal="justify" vertical="center" wrapText="1"/>
    </xf>
    <xf numFmtId="0" fontId="19" fillId="20" borderId="24" xfId="25" applyFont="1" applyFill="1" applyBorder="1" applyAlignment="1">
      <alignment horizontal="center" vertical="center" wrapText="1"/>
    </xf>
    <xf numFmtId="0" fontId="19" fillId="20" borderId="65" xfId="25" applyFont="1" applyFill="1" applyBorder="1" applyAlignment="1">
      <alignment horizontal="center" vertical="center" wrapText="1"/>
    </xf>
    <xf numFmtId="0" fontId="19" fillId="20" borderId="53" xfId="25" applyFont="1" applyFill="1" applyBorder="1" applyAlignment="1">
      <alignment horizontal="center" vertical="center" wrapText="1"/>
    </xf>
    <xf numFmtId="0" fontId="19" fillId="20" borderId="55" xfId="25" applyFont="1" applyFill="1" applyBorder="1" applyAlignment="1">
      <alignment horizontal="center" vertical="center" wrapText="1"/>
    </xf>
    <xf numFmtId="0" fontId="19" fillId="20" borderId="47" xfId="25" applyFont="1" applyFill="1" applyBorder="1" applyAlignment="1">
      <alignment horizontal="center" vertical="center" wrapText="1"/>
    </xf>
    <xf numFmtId="9" fontId="19" fillId="0" borderId="68" xfId="25" applyNumberFormat="1" applyFont="1" applyBorder="1" applyAlignment="1">
      <alignment horizontal="center" vertical="center" wrapText="1"/>
    </xf>
    <xf numFmtId="0" fontId="19" fillId="0" borderId="63" xfId="25" applyFont="1" applyBorder="1" applyAlignment="1">
      <alignment horizontal="center" vertical="center" wrapText="1"/>
    </xf>
    <xf numFmtId="0" fontId="19" fillId="19" borderId="43" xfId="25" applyFont="1" applyFill="1" applyBorder="1" applyAlignment="1">
      <alignment horizontal="left" vertical="center" wrapText="1"/>
    </xf>
    <xf numFmtId="0" fontId="54" fillId="0" borderId="42" xfId="25" applyFont="1" applyBorder="1" applyAlignment="1">
      <alignment horizontal="left" vertical="center" wrapText="1"/>
    </xf>
    <xf numFmtId="0" fontId="54" fillId="0" borderId="43" xfId="25" applyFont="1" applyBorder="1" applyAlignment="1">
      <alignment horizontal="left" vertical="center" wrapText="1"/>
    </xf>
    <xf numFmtId="0" fontId="54" fillId="0" borderId="44"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54" fillId="0" borderId="18" xfId="25" applyFont="1" applyBorder="1" applyAlignment="1">
      <alignment horizontal="justify" vertical="center" wrapText="1"/>
    </xf>
    <xf numFmtId="0" fontId="19" fillId="20" borderId="48" xfId="25" applyFont="1" applyFill="1" applyBorder="1" applyAlignment="1">
      <alignment horizontal="center" vertical="center" wrapText="1"/>
    </xf>
    <xf numFmtId="0" fontId="60" fillId="0" borderId="1" xfId="25" applyFont="1" applyBorder="1" applyAlignment="1">
      <alignment horizontal="left" vertical="center" wrapText="1"/>
    </xf>
    <xf numFmtId="0" fontId="60" fillId="0" borderId="9" xfId="25" applyFont="1" applyBorder="1" applyAlignment="1">
      <alignment horizontal="left" vertical="center" wrapText="1"/>
    </xf>
    <xf numFmtId="0" fontId="51" fillId="0" borderId="56" xfId="0" applyFont="1" applyBorder="1" applyAlignment="1">
      <alignment horizontal="left" vertical="center" wrapText="1"/>
    </xf>
    <xf numFmtId="0" fontId="51" fillId="0" borderId="67" xfId="0" applyFont="1" applyBorder="1" applyAlignment="1">
      <alignment horizontal="left" vertical="center" wrapText="1"/>
    </xf>
    <xf numFmtId="0" fontId="51" fillId="0" borderId="57" xfId="0" applyFont="1" applyBorder="1" applyAlignment="1">
      <alignment horizontal="left" vertical="center" wrapText="1"/>
    </xf>
    <xf numFmtId="0" fontId="19" fillId="0" borderId="47" xfId="25" applyFont="1" applyBorder="1" applyAlignment="1">
      <alignment horizontal="center" vertical="center" wrapText="1"/>
    </xf>
    <xf numFmtId="0" fontId="19" fillId="0" borderId="11" xfId="25" applyFont="1" applyBorder="1" applyAlignment="1">
      <alignment horizontal="center" vertical="center" wrapText="1"/>
    </xf>
    <xf numFmtId="0" fontId="19" fillId="0" borderId="12" xfId="25" applyFont="1" applyBorder="1" applyAlignment="1">
      <alignment horizontal="center" vertical="center" wrapText="1"/>
    </xf>
    <xf numFmtId="0" fontId="19" fillId="0" borderId="45" xfId="25" applyFont="1" applyBorder="1" applyAlignment="1">
      <alignment horizontal="center" vertical="center" wrapText="1"/>
    </xf>
    <xf numFmtId="0" fontId="19" fillId="0" borderId="15" xfId="25" applyFont="1" applyBorder="1" applyAlignment="1">
      <alignment horizontal="center" vertical="center" wrapText="1"/>
    </xf>
    <xf numFmtId="0" fontId="19" fillId="0" borderId="16" xfId="25" applyFont="1" applyBorder="1" applyAlignment="1">
      <alignment horizontal="center"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54" fillId="0" borderId="53" xfId="25" applyFont="1" applyBorder="1" applyAlignment="1">
      <alignment horizontal="center" vertical="center" wrapText="1"/>
    </xf>
    <xf numFmtId="0" fontId="54" fillId="0" borderId="54" xfId="25" applyFont="1" applyBorder="1" applyAlignment="1">
      <alignment horizontal="center" vertical="center" wrapText="1"/>
    </xf>
    <xf numFmtId="0" fontId="54" fillId="0" borderId="55" xfId="25" applyFont="1" applyBorder="1" applyAlignment="1">
      <alignment horizontal="center" vertical="center" wrapText="1"/>
    </xf>
    <xf numFmtId="0" fontId="19" fillId="0" borderId="42" xfId="25" applyFont="1" applyBorder="1" applyAlignment="1">
      <alignment horizontal="center" vertical="center"/>
    </xf>
    <xf numFmtId="0" fontId="19" fillId="0" borderId="43" xfId="25" applyFont="1" applyBorder="1" applyAlignment="1">
      <alignment horizontal="center" vertical="center"/>
    </xf>
    <xf numFmtId="0" fontId="19"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14" fontId="56" fillId="0" borderId="12" xfId="0" applyNumberFormat="1" applyFont="1" applyBorder="1" applyAlignment="1">
      <alignment horizontal="center" vertical="center" wrapText="1"/>
    </xf>
    <xf numFmtId="14" fontId="56" fillId="0" borderId="13" xfId="0" applyNumberFormat="1" applyFont="1" applyBorder="1" applyAlignment="1">
      <alignment horizontal="center" vertical="center" wrapText="1"/>
    </xf>
    <xf numFmtId="14" fontId="56" fillId="0" borderId="14" xfId="0" applyNumberFormat="1" applyFont="1" applyBorder="1" applyAlignment="1">
      <alignment horizontal="center" vertical="center" wrapText="1"/>
    </xf>
    <xf numFmtId="14" fontId="56" fillId="0" borderId="45" xfId="0" applyNumberFormat="1" applyFont="1" applyBorder="1" applyAlignment="1">
      <alignment horizontal="center" vertical="center" wrapText="1"/>
    </xf>
    <xf numFmtId="14" fontId="56" fillId="0" borderId="16" xfId="0" applyNumberFormat="1" applyFont="1" applyBorder="1" applyAlignment="1">
      <alignment horizontal="center" vertical="center" wrapText="1"/>
    </xf>
    <xf numFmtId="10" fontId="54" fillId="0" borderId="9" xfId="25" applyNumberFormat="1" applyFont="1" applyBorder="1" applyAlignment="1">
      <alignment horizontal="center" vertical="center" wrapText="1"/>
    </xf>
    <xf numFmtId="10" fontId="54" fillId="0" borderId="37" xfId="25" applyNumberFormat="1" applyFont="1" applyBorder="1" applyAlignment="1">
      <alignment horizontal="center" vertical="center" wrapText="1"/>
    </xf>
    <xf numFmtId="1" fontId="19" fillId="0" borderId="42" xfId="31" applyNumberFormat="1" applyFont="1" applyFill="1" applyBorder="1" applyAlignment="1" applyProtection="1">
      <alignment horizontal="center" vertical="center" wrapText="1"/>
    </xf>
    <xf numFmtId="1" fontId="19" fillId="0" borderId="44" xfId="31" applyNumberFormat="1" applyFont="1" applyFill="1" applyBorder="1" applyAlignment="1" applyProtection="1">
      <alignment horizontal="center" vertical="center" wrapText="1"/>
    </xf>
    <xf numFmtId="0" fontId="19" fillId="20" borderId="70" xfId="25" applyFont="1" applyFill="1" applyBorder="1" applyAlignment="1">
      <alignment horizontal="center" vertical="center" wrapText="1"/>
    </xf>
    <xf numFmtId="0" fontId="19" fillId="20" borderId="28" xfId="25" applyFont="1" applyFill="1" applyBorder="1" applyAlignment="1">
      <alignment horizontal="center" vertical="center" wrapText="1"/>
    </xf>
    <xf numFmtId="9" fontId="64" fillId="19" borderId="59" xfId="33" applyFont="1" applyFill="1" applyBorder="1" applyAlignment="1" applyProtection="1">
      <alignment horizontal="justify" vertical="center" wrapText="1"/>
    </xf>
    <xf numFmtId="9" fontId="64" fillId="19" borderId="24" xfId="33" applyFont="1" applyFill="1" applyBorder="1" applyAlignment="1" applyProtection="1">
      <alignment horizontal="justify" vertical="center" wrapText="1"/>
    </xf>
    <xf numFmtId="9" fontId="64" fillId="19" borderId="25" xfId="33" applyFont="1" applyFill="1" applyBorder="1" applyAlignment="1" applyProtection="1">
      <alignment horizontal="justify" vertical="center" wrapText="1"/>
    </xf>
    <xf numFmtId="9" fontId="64" fillId="19" borderId="63" xfId="33" applyFont="1" applyFill="1" applyBorder="1" applyAlignment="1" applyProtection="1">
      <alignment horizontal="justify" vertical="center" wrapText="1"/>
    </xf>
    <xf numFmtId="9" fontId="64" fillId="19" borderId="15" xfId="33" applyFont="1" applyFill="1" applyBorder="1" applyAlignment="1" applyProtection="1">
      <alignment horizontal="justify" vertical="center" wrapText="1"/>
    </xf>
    <xf numFmtId="9" fontId="64" fillId="19" borderId="64" xfId="33" applyFont="1" applyFill="1" applyBorder="1" applyAlignment="1" applyProtection="1">
      <alignment horizontal="justify" vertical="center" wrapText="1"/>
    </xf>
    <xf numFmtId="9" fontId="54" fillId="19" borderId="24" xfId="33" applyFont="1" applyFill="1" applyBorder="1" applyAlignment="1" applyProtection="1">
      <alignment horizontal="justify" vertical="center" wrapText="1"/>
    </xf>
    <xf numFmtId="9" fontId="54" fillId="19" borderId="25" xfId="33" applyFont="1" applyFill="1" applyBorder="1" applyAlignment="1" applyProtection="1">
      <alignment horizontal="justify" vertical="center" wrapText="1"/>
    </xf>
    <xf numFmtId="9" fontId="54" fillId="19" borderId="15" xfId="33" applyFont="1" applyFill="1" applyBorder="1" applyAlignment="1" applyProtection="1">
      <alignment horizontal="justify" vertical="center" wrapText="1"/>
    </xf>
    <xf numFmtId="9" fontId="54" fillId="19" borderId="64" xfId="33" applyFont="1" applyFill="1" applyBorder="1" applyAlignment="1" applyProtection="1">
      <alignment horizontal="justify" vertical="center" wrapText="1"/>
    </xf>
    <xf numFmtId="9" fontId="60" fillId="19" borderId="23" xfId="25" applyNumberFormat="1" applyFont="1" applyFill="1" applyBorder="1" applyAlignment="1">
      <alignment horizontal="justify" vertical="center" wrapText="1"/>
    </xf>
    <xf numFmtId="9" fontId="60" fillId="19" borderId="24" xfId="25" applyNumberFormat="1" applyFont="1" applyFill="1" applyBorder="1" applyAlignment="1">
      <alignment horizontal="justify" vertical="center" wrapText="1"/>
    </xf>
    <xf numFmtId="9" fontId="60" fillId="19" borderId="65" xfId="25" applyNumberFormat="1" applyFont="1" applyFill="1" applyBorder="1" applyAlignment="1">
      <alignment horizontal="justify" vertical="center" wrapText="1"/>
    </xf>
    <xf numFmtId="9" fontId="60" fillId="19" borderId="13" xfId="25" applyNumberFormat="1" applyFont="1" applyFill="1" applyBorder="1" applyAlignment="1">
      <alignment horizontal="justify" vertical="center" wrapText="1"/>
    </xf>
    <xf numFmtId="9" fontId="60" fillId="19" borderId="0" xfId="25" applyNumberFormat="1" applyFont="1" applyFill="1" applyAlignment="1">
      <alignment horizontal="justify" vertical="center" wrapText="1"/>
    </xf>
    <xf numFmtId="9" fontId="60" fillId="19" borderId="14" xfId="25" applyNumberFormat="1" applyFont="1" applyFill="1" applyBorder="1" applyAlignment="1">
      <alignment horizontal="justify" vertical="center" wrapText="1"/>
    </xf>
    <xf numFmtId="9" fontId="54" fillId="0" borderId="63" xfId="25" applyNumberFormat="1" applyFont="1" applyBorder="1" applyAlignment="1">
      <alignment horizontal="center" vertical="center" wrapText="1"/>
    </xf>
    <xf numFmtId="9" fontId="54" fillId="19" borderId="58" xfId="25" applyNumberFormat="1" applyFont="1" applyFill="1" applyBorder="1" applyAlignment="1">
      <alignment horizontal="justify" vertical="center" wrapText="1"/>
    </xf>
    <xf numFmtId="9" fontId="54" fillId="19" borderId="4" xfId="25" applyNumberFormat="1" applyFont="1" applyFill="1" applyBorder="1" applyAlignment="1">
      <alignment horizontal="justify" vertical="center" wrapText="1"/>
    </xf>
    <xf numFmtId="9" fontId="54" fillId="19" borderId="28" xfId="25" applyNumberFormat="1" applyFont="1" applyFill="1" applyBorder="1" applyAlignment="1">
      <alignment horizontal="justify" vertical="center" wrapText="1"/>
    </xf>
    <xf numFmtId="0" fontId="19" fillId="0" borderId="40" xfId="25" applyFont="1" applyBorder="1" applyAlignment="1">
      <alignment horizontal="justify" vertical="center" wrapText="1"/>
    </xf>
    <xf numFmtId="9" fontId="19" fillId="0" borderId="38" xfId="25" applyNumberFormat="1" applyFont="1" applyBorder="1" applyAlignment="1">
      <alignment horizontal="center" vertical="center" wrapText="1"/>
    </xf>
    <xf numFmtId="9" fontId="19" fillId="0" borderId="33" xfId="25" applyNumberFormat="1" applyFont="1" applyBorder="1" applyAlignment="1">
      <alignment horizontal="center" vertical="center" wrapText="1"/>
    </xf>
    <xf numFmtId="0" fontId="54" fillId="20" borderId="21" xfId="25" applyFont="1" applyFill="1" applyBorder="1" applyAlignment="1">
      <alignment horizontal="center" vertical="center" wrapText="1"/>
    </xf>
    <xf numFmtId="0" fontId="19" fillId="20" borderId="64" xfId="25" applyFont="1" applyFill="1" applyBorder="1" applyAlignment="1">
      <alignment horizontal="center" vertical="center" wrapText="1"/>
    </xf>
    <xf numFmtId="9" fontId="54" fillId="19" borderId="8" xfId="25" applyNumberFormat="1" applyFont="1" applyFill="1" applyBorder="1" applyAlignment="1">
      <alignment horizontal="justify" vertical="center" wrapText="1"/>
    </xf>
    <xf numFmtId="9" fontId="54" fillId="19" borderId="26" xfId="25" applyNumberFormat="1" applyFont="1" applyFill="1" applyBorder="1" applyAlignment="1">
      <alignment horizontal="justify" vertical="center" wrapText="1"/>
    </xf>
    <xf numFmtId="9" fontId="54" fillId="19" borderId="19" xfId="25" applyNumberFormat="1" applyFont="1" applyFill="1" applyBorder="1" applyAlignment="1">
      <alignment horizontal="justify" vertical="center" wrapText="1"/>
    </xf>
    <xf numFmtId="9" fontId="54" fillId="19" borderId="37" xfId="25" applyNumberFormat="1" applyFont="1" applyFill="1" applyBorder="1" applyAlignment="1">
      <alignment horizontal="justify" vertical="center" wrapText="1"/>
    </xf>
    <xf numFmtId="0" fontId="46" fillId="0" borderId="1" xfId="0" applyFont="1" applyBorder="1" applyAlignment="1">
      <alignment horizontal="center" vertical="center" wrapText="1"/>
    </xf>
    <xf numFmtId="0" fontId="46" fillId="0" borderId="2" xfId="0" applyFont="1" applyBorder="1" applyAlignment="1">
      <alignment horizontal="left" vertical="center"/>
    </xf>
    <xf numFmtId="0" fontId="46" fillId="0" borderId="60" xfId="0" applyFont="1" applyBorder="1" applyAlignment="1">
      <alignment horizontal="left" vertical="center"/>
    </xf>
    <xf numFmtId="0" fontId="46" fillId="0" borderId="5" xfId="0" applyFont="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58" xfId="0" applyFont="1" applyBorder="1" applyAlignment="1">
      <alignment horizontal="left" vertical="center"/>
    </xf>
    <xf numFmtId="0" fontId="68" fillId="0" borderId="1" xfId="25" applyFont="1" applyBorder="1" applyAlignment="1">
      <alignment horizontal="left" vertical="center" wrapText="1"/>
    </xf>
    <xf numFmtId="0" fontId="68" fillId="0" borderId="1" xfId="25" applyFont="1" applyBorder="1" applyAlignment="1">
      <alignment horizontal="center" vertical="center" wrapText="1"/>
    </xf>
    <xf numFmtId="0" fontId="42" fillId="0" borderId="2" xfId="0" applyFont="1" applyBorder="1" applyAlignment="1">
      <alignment horizontal="left" vertical="center"/>
    </xf>
    <xf numFmtId="0" fontId="42" fillId="0" borderId="60" xfId="0" applyFont="1" applyBorder="1" applyAlignment="1">
      <alignment horizontal="left" vertical="center"/>
    </xf>
    <xf numFmtId="0" fontId="42" fillId="0" borderId="5" xfId="0" applyFont="1" applyBorder="1" applyAlignment="1">
      <alignment horizontal="left" vertical="center"/>
    </xf>
    <xf numFmtId="0" fontId="46" fillId="0" borderId="10"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4" xfId="0" applyFont="1" applyBorder="1" applyAlignment="1">
      <alignment horizontal="center" vertical="center" wrapText="1"/>
    </xf>
    <xf numFmtId="0" fontId="67" fillId="0" borderId="1" xfId="25" applyFont="1" applyBorder="1" applyAlignment="1">
      <alignment horizontal="center" vertical="center" wrapText="1"/>
    </xf>
    <xf numFmtId="41" fontId="48" fillId="0" borderId="10" xfId="12" applyFont="1" applyFill="1" applyBorder="1" applyAlignment="1">
      <alignment vertical="center" wrapText="1"/>
    </xf>
    <xf numFmtId="0" fontId="48" fillId="0" borderId="4" xfId="0" applyFont="1" applyBorder="1" applyAlignment="1">
      <alignment vertical="center"/>
    </xf>
    <xf numFmtId="41" fontId="48" fillId="0" borderId="10" xfId="12" applyFont="1" applyFill="1" applyBorder="1" applyAlignment="1">
      <alignment horizontal="justify" vertical="center" wrapText="1"/>
    </xf>
    <xf numFmtId="0" fontId="48" fillId="0" borderId="4" xfId="0" applyFont="1" applyBorder="1" applyAlignment="1">
      <alignment horizontal="justify" vertical="center"/>
    </xf>
    <xf numFmtId="0" fontId="46" fillId="0" borderId="2"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2" xfId="0" applyFont="1" applyBorder="1" applyAlignment="1">
      <alignment horizontal="center" vertical="center"/>
    </xf>
    <xf numFmtId="0" fontId="46" fillId="0" borderId="60" xfId="0" applyFont="1" applyBorder="1" applyAlignment="1">
      <alignment horizontal="center" vertical="center"/>
    </xf>
    <xf numFmtId="0" fontId="46"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6" fillId="0" borderId="1" xfId="0" applyFont="1" applyBorder="1" applyAlignment="1">
      <alignment horizontal="left" vertical="center" wrapText="1"/>
    </xf>
    <xf numFmtId="0" fontId="46" fillId="0" borderId="20" xfId="0" applyFont="1" applyBorder="1" applyAlignment="1">
      <alignment horizontal="center" vertical="center"/>
    </xf>
    <xf numFmtId="0" fontId="46" fillId="0" borderId="3"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68" xfId="0" applyFont="1" applyBorder="1" applyAlignment="1">
      <alignment horizontal="center" vertical="center"/>
    </xf>
    <xf numFmtId="0" fontId="46" fillId="0" borderId="0" xfId="0" applyFont="1" applyAlignment="1">
      <alignment horizontal="center" vertical="center"/>
    </xf>
    <xf numFmtId="0" fontId="46" fillId="0" borderId="71" xfId="0" applyFont="1" applyBorder="1" applyAlignment="1">
      <alignment horizontal="center" vertical="center"/>
    </xf>
    <xf numFmtId="0" fontId="42" fillId="0" borderId="20" xfId="0" applyFont="1" applyBorder="1" applyAlignment="1">
      <alignment horizontal="left" vertical="center"/>
    </xf>
    <xf numFmtId="0" fontId="42" fillId="0" borderId="3" xfId="0" applyFont="1" applyBorder="1" applyAlignment="1">
      <alignment horizontal="left" vertical="center"/>
    </xf>
    <xf numFmtId="0" fontId="46" fillId="0" borderId="1" xfId="0"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27" fillId="9" borderId="2"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60"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8" fillId="19" borderId="4" xfId="0" applyFont="1" applyFill="1" applyBorder="1" applyAlignment="1">
      <alignment horizontal="center" vertical="center"/>
    </xf>
    <xf numFmtId="0" fontId="28" fillId="19" borderId="1" xfId="0" applyFont="1" applyFill="1" applyBorder="1" applyAlignment="1">
      <alignment horizontal="center" vertical="center"/>
    </xf>
    <xf numFmtId="0" fontId="27" fillId="9" borderId="1" xfId="0" applyFont="1" applyFill="1" applyBorder="1" applyAlignment="1">
      <alignment horizontal="center" vertical="center"/>
    </xf>
    <xf numFmtId="0" fontId="53" fillId="0" borderId="59"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3" fillId="0" borderId="1" xfId="0" applyFont="1" applyBorder="1" applyAlignment="1">
      <alignment horizontal="center" vertical="center"/>
    </xf>
    <xf numFmtId="0" fontId="27"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6" fillId="21" borderId="2" xfId="0" applyFont="1" applyFill="1" applyBorder="1" applyAlignment="1">
      <alignment horizontal="center" vertical="center"/>
    </xf>
    <xf numFmtId="0" fontId="46" fillId="21" borderId="5" xfId="0" applyFont="1" applyFill="1" applyBorder="1" applyAlignment="1">
      <alignment horizontal="center" vertical="center"/>
    </xf>
    <xf numFmtId="0" fontId="46" fillId="0" borderId="2" xfId="0" applyFont="1" applyBorder="1" applyAlignment="1">
      <alignment horizontal="left" vertical="center" wrapText="1"/>
    </xf>
    <xf numFmtId="0" fontId="46" fillId="0" borderId="5" xfId="0" applyFont="1" applyBorder="1" applyAlignment="1">
      <alignment horizontal="left" vertical="center" wrapText="1"/>
    </xf>
    <xf numFmtId="0" fontId="42" fillId="0" borderId="10" xfId="0" applyFont="1" applyBorder="1" applyAlignment="1">
      <alignment horizontal="left" vertical="center" wrapText="1"/>
    </xf>
    <xf numFmtId="0" fontId="42" fillId="0" borderId="38" xfId="0" applyFont="1" applyBorder="1" applyAlignment="1">
      <alignment horizontal="left" vertical="center" wrapText="1"/>
    </xf>
    <xf numFmtId="0" fontId="42" fillId="0" borderId="4" xfId="0" applyFont="1" applyBorder="1" applyAlignment="1">
      <alignment horizontal="left" vertical="center" wrapText="1"/>
    </xf>
    <xf numFmtId="41" fontId="42" fillId="0" borderId="59" xfId="12" applyFont="1" applyFill="1" applyBorder="1" applyAlignment="1">
      <alignment horizontal="left" vertical="center"/>
    </xf>
    <xf numFmtId="41" fontId="42" fillId="0" borderId="68" xfId="12" applyFont="1" applyFill="1" applyBorder="1" applyAlignment="1">
      <alignment horizontal="left" vertical="center"/>
    </xf>
    <xf numFmtId="41" fontId="42"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1000125</xdr:colOff>
      <xdr:row>0</xdr:row>
      <xdr:rowOff>95250</xdr:rowOff>
    </xdr:from>
    <xdr:to>
      <xdr:col>0</xdr:col>
      <xdr:colOff>2181225</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118110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O303"/>
  <sheetViews>
    <sheetView showGridLines="0" view="pageBreakPreview" topLeftCell="Q47" zoomScale="80" zoomScaleNormal="60" zoomScaleSheetLayoutView="80" workbookViewId="0">
      <selection activeCell="Q48" sqref="Q48:AD49"/>
    </sheetView>
  </sheetViews>
  <sheetFormatPr baseColWidth="10" defaultColWidth="10.7109375" defaultRowHeight="15" x14ac:dyDescent="0.25"/>
  <cols>
    <col min="1" max="1" width="45.140625" style="50" customWidth="1"/>
    <col min="2" max="2" width="17.7109375" style="50" customWidth="1"/>
    <col min="3" max="14" width="20.7109375" style="50" customWidth="1"/>
    <col min="15" max="15" width="17.28515625" style="50" customWidth="1"/>
    <col min="16" max="16" width="18.140625" style="50" customWidth="1"/>
    <col min="17" max="19" width="19" style="50" customWidth="1"/>
    <col min="20" max="22" width="25.42578125" style="50" customWidth="1"/>
    <col min="23" max="24" width="17.7109375" style="50" customWidth="1"/>
    <col min="25" max="26" width="18.42578125" style="50" customWidth="1"/>
    <col min="27" max="27" width="19.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21.28515625" style="50"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427" t="s">
        <v>4</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421" t="s">
        <v>5</v>
      </c>
      <c r="AC3" s="422"/>
      <c r="AD3" s="423"/>
    </row>
    <row r="4" spans="1:33" ht="21.75" customHeight="1" thickBot="1" x14ac:dyDescent="0.3">
      <c r="A4" s="414"/>
      <c r="B4" s="430"/>
      <c r="C4" s="431"/>
      <c r="D4" s="431"/>
      <c r="E4" s="431"/>
      <c r="F4" s="431"/>
      <c r="G4" s="431"/>
      <c r="H4" s="431"/>
      <c r="I4" s="431"/>
      <c r="J4" s="431"/>
      <c r="K4" s="431"/>
      <c r="L4" s="431"/>
      <c r="M4" s="431"/>
      <c r="N4" s="431"/>
      <c r="O4" s="431"/>
      <c r="P4" s="431"/>
      <c r="Q4" s="431"/>
      <c r="R4" s="431"/>
      <c r="S4" s="431"/>
      <c r="T4" s="431"/>
      <c r="U4" s="431"/>
      <c r="V4" s="431"/>
      <c r="W4" s="431"/>
      <c r="X4" s="431"/>
      <c r="Y4" s="431"/>
      <c r="Z4" s="431"/>
      <c r="AA4" s="43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457"/>
      <c r="P7" s="458"/>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16</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9.15"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22</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533" t="s">
        <v>24</v>
      </c>
      <c r="D17" s="534"/>
      <c r="E17" s="534"/>
      <c r="F17" s="534"/>
      <c r="G17" s="534"/>
      <c r="H17" s="534"/>
      <c r="I17" s="534"/>
      <c r="J17" s="534"/>
      <c r="K17" s="534"/>
      <c r="L17" s="534"/>
      <c r="M17" s="534"/>
      <c r="N17" s="534"/>
      <c r="O17" s="534"/>
      <c r="P17" s="534"/>
      <c r="Q17" s="535"/>
      <c r="R17" s="484" t="s">
        <v>25</v>
      </c>
      <c r="S17" s="488"/>
      <c r="T17" s="488"/>
      <c r="U17" s="488"/>
      <c r="V17" s="485"/>
      <c r="W17" s="486">
        <v>0.55000000000000004</v>
      </c>
      <c r="X17" s="487"/>
      <c r="Y17" s="488" t="s">
        <v>26</v>
      </c>
      <c r="Z17" s="488"/>
      <c r="AA17" s="488"/>
      <c r="AB17" s="485"/>
      <c r="AC17" s="530">
        <v>0.18</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281">
        <v>752554960</v>
      </c>
      <c r="R22" s="282">
        <v>8537488</v>
      </c>
      <c r="S22" s="282">
        <v>0</v>
      </c>
      <c r="T22" s="282">
        <v>0</v>
      </c>
      <c r="U22" s="282">
        <v>0</v>
      </c>
      <c r="V22" s="282">
        <v>217351570</v>
      </c>
      <c r="W22" s="282">
        <v>0</v>
      </c>
      <c r="X22" s="282">
        <v>0</v>
      </c>
      <c r="Y22" s="282">
        <v>0</v>
      </c>
      <c r="Z22" s="282">
        <v>-8829365</v>
      </c>
      <c r="AA22" s="282">
        <v>0</v>
      </c>
      <c r="AB22" s="282">
        <v>0</v>
      </c>
      <c r="AC22" s="283">
        <f>SUM(Q22:AB22)</f>
        <v>969614653</v>
      </c>
      <c r="AD22" s="284"/>
      <c r="AE22" s="3"/>
      <c r="AF22" s="233"/>
      <c r="AG22" s="234"/>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289">
        <f>416447802</f>
        <v>416447802</v>
      </c>
      <c r="R23" s="290">
        <f>666232222-Q23</f>
        <v>249784420</v>
      </c>
      <c r="S23" s="290">
        <f>733025069-Q23-R23</f>
        <v>66792847</v>
      </c>
      <c r="T23" s="290">
        <f>714260395-Q23-R23-S23</f>
        <v>-18764674</v>
      </c>
      <c r="U23" s="290">
        <f>734170887-Q23-R23-S23-T23</f>
        <v>19910492</v>
      </c>
      <c r="V23" s="290">
        <f>734170885-Q23-R23-S23-T23-U23</f>
        <v>-2</v>
      </c>
      <c r="W23" s="290">
        <f>950385801-Q23-R23-S23-T23-U23-V23</f>
        <v>216214916</v>
      </c>
      <c r="X23" s="290">
        <f>950385801-Q23-R23-S23-T23-U23-V23-W23</f>
        <v>0</v>
      </c>
      <c r="Y23" s="290">
        <f>950385801-Q23-R23-S23-T23-U23-V23-W23-X23</f>
        <v>0</v>
      </c>
      <c r="Z23" s="290">
        <f>950385801-Q23-R23-S23-T23-U23-V23-W23-X23-Y23</f>
        <v>0</v>
      </c>
      <c r="AA23" s="290">
        <f>950385801-Q23-R23-S23-T23-U23-V23-W23-X23-Y23-Z23</f>
        <v>0</v>
      </c>
      <c r="AB23" s="290"/>
      <c r="AC23" s="279">
        <f>SUM(Q23:AB23)</f>
        <v>950385801</v>
      </c>
      <c r="AD23" s="291">
        <f>AC23/AC22</f>
        <v>0.98016856290227705</v>
      </c>
      <c r="AE23" s="3"/>
      <c r="AF23" s="233"/>
      <c r="AG23" s="234"/>
    </row>
    <row r="24" spans="1:41" ht="31.9" customHeight="1" x14ac:dyDescent="0.25">
      <c r="A24" s="470" t="s">
        <v>45</v>
      </c>
      <c r="B24" s="504"/>
      <c r="C24" s="286">
        <f>22111116</f>
        <v>22111116</v>
      </c>
      <c r="D24" s="287">
        <f>598400+1266667+1619390</f>
        <v>3484457</v>
      </c>
      <c r="E24" s="287">
        <v>10000000</v>
      </c>
      <c r="F24" s="287">
        <v>13369627</v>
      </c>
      <c r="G24" s="287"/>
      <c r="H24" s="287">
        <v>0</v>
      </c>
      <c r="I24" s="287"/>
      <c r="J24" s="287"/>
      <c r="K24" s="287"/>
      <c r="L24" s="287"/>
      <c r="M24" s="287"/>
      <c r="N24" s="287"/>
      <c r="O24" s="290">
        <f>SUM(C24:N24)</f>
        <v>48965200</v>
      </c>
      <c r="P24" s="292"/>
      <c r="Q24" s="289"/>
      <c r="R24" s="290">
        <f>5677247+15634065</f>
        <v>21311312</v>
      </c>
      <c r="S24" s="290">
        <f>9767318+40103208</f>
        <v>49870526</v>
      </c>
      <c r="T24" s="290">
        <f>9767318+40103208+1000000+14000000</f>
        <v>64870526</v>
      </c>
      <c r="U24" s="290">
        <f>8536960+9767318+40103208+14000000</f>
        <v>72407486</v>
      </c>
      <c r="V24" s="290">
        <f>9767318+40103208+1000000+24000000</f>
        <v>74870526</v>
      </c>
      <c r="W24" s="290">
        <f>18438000+9767318+40103208+30000000</f>
        <v>98308526</v>
      </c>
      <c r="X24" s="290">
        <f>2700000+814000+36000000+9767318+40103208+10000000</f>
        <v>99384526</v>
      </c>
      <c r="Y24" s="290">
        <f>30000000+9767318+40103208+42435278</f>
        <v>122305804</v>
      </c>
      <c r="Z24" s="290">
        <f>43200000+9767318+40103208+20000000-2943122</f>
        <v>110127404</v>
      </c>
      <c r="AA24" s="290">
        <f>39000000+9767318+40103208+40000000-2943122</f>
        <v>125927404</v>
      </c>
      <c r="AB24" s="290">
        <f>43200000+9767318+40103208+40103208-2943121</f>
        <v>130230613</v>
      </c>
      <c r="AC24" s="287">
        <f>SUM(Q24:AB24)</f>
        <v>969614653</v>
      </c>
      <c r="AD24" s="293"/>
      <c r="AE24" s="3"/>
      <c r="AF24" s="233"/>
      <c r="AG24" s="234"/>
    </row>
    <row r="25" spans="1:41" ht="31.9" customHeight="1" thickBot="1" x14ac:dyDescent="0.3">
      <c r="A25" s="515" t="s">
        <v>46</v>
      </c>
      <c r="B25" s="516"/>
      <c r="C25" s="296">
        <f>23224956</f>
        <v>23224956</v>
      </c>
      <c r="D25" s="297">
        <f>26061657-C25</f>
        <v>2836701</v>
      </c>
      <c r="E25" s="297">
        <f>27904269-C25-D25</f>
        <v>1842612</v>
      </c>
      <c r="F25" s="297">
        <f>48726721-C25-D25-E25</f>
        <v>20822452</v>
      </c>
      <c r="G25" s="297">
        <f>48965200-C25-D25-E25-F25</f>
        <v>238479</v>
      </c>
      <c r="H25" s="297">
        <v>0</v>
      </c>
      <c r="I25" s="297">
        <f>48965200-C25-D25-E25-F25-G25-H25</f>
        <v>0</v>
      </c>
      <c r="J25" s="297"/>
      <c r="K25" s="297"/>
      <c r="L25" s="297"/>
      <c r="M25" s="297"/>
      <c r="N25" s="297"/>
      <c r="O25" s="298">
        <f>SUM(C25:N25)</f>
        <v>48965200</v>
      </c>
      <c r="P25" s="299">
        <f>O25/O24</f>
        <v>1</v>
      </c>
      <c r="Q25" s="300"/>
      <c r="R25" s="301">
        <f>10341984</f>
        <v>10341984</v>
      </c>
      <c r="S25" s="301">
        <f>59458817-R25</f>
        <v>49116833</v>
      </c>
      <c r="T25" s="301">
        <f>119774632-R25-S25</f>
        <v>60315815</v>
      </c>
      <c r="U25" s="301">
        <f>197315348-R25-S25-T25</f>
        <v>77540716</v>
      </c>
      <c r="V25" s="301">
        <f>273125609-R25-S25-T25-U25</f>
        <v>75810261</v>
      </c>
      <c r="W25" s="301">
        <f>349586568-R25-S25-T25-U25-V25</f>
        <v>76460959</v>
      </c>
      <c r="X25" s="301">
        <f>415884758-R25-S25-T25-U25-V25-W25</f>
        <v>66298190</v>
      </c>
      <c r="Y25" s="301">
        <f>479731548-R25-S25-T25-U25-V25-W25-X25</f>
        <v>63846790</v>
      </c>
      <c r="Z25" s="301">
        <f>541363538-Q25-R25-S25-T25-U25-V25-W25-X25-Y25</f>
        <v>61631990</v>
      </c>
      <c r="AA25" s="301">
        <f>605136501-R25-S25-T25-U25-V25-W25-X25-Y25-Z25</f>
        <v>63772963</v>
      </c>
      <c r="AB25" s="301"/>
      <c r="AC25" s="297">
        <f>SUM(Q25:AB25)</f>
        <v>605136501</v>
      </c>
      <c r="AD25" s="302">
        <f>AC25/AC24</f>
        <v>0.62409999593931464</v>
      </c>
      <c r="AE25" s="3"/>
      <c r="AF25" s="233"/>
      <c r="AG25" s="234"/>
    </row>
    <row r="26" spans="1:41" ht="31.9" customHeight="1" thickBot="1" x14ac:dyDescent="0.3">
      <c r="A26" s="247"/>
      <c r="B26" s="242"/>
      <c r="C26" s="303"/>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c r="AF26" s="234"/>
      <c r="AG26" s="234"/>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c r="AF27" s="234"/>
      <c r="AG27" s="23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59.25" customHeight="1" thickBot="1" x14ac:dyDescent="0.3">
      <c r="A30" s="307" t="s">
        <v>52</v>
      </c>
      <c r="B30" s="461"/>
      <c r="C30" s="462"/>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thickBot="1" x14ac:dyDescent="0.3">
      <c r="A31" s="465" t="s">
        <v>53</v>
      </c>
      <c r="B31" s="466"/>
      <c r="C31" s="466"/>
      <c r="D31" s="466"/>
      <c r="E31" s="466"/>
      <c r="F31" s="466"/>
      <c r="G31" s="466"/>
      <c r="H31" s="466"/>
      <c r="I31" s="466"/>
      <c r="J31" s="466"/>
      <c r="K31" s="466"/>
      <c r="L31" s="466"/>
      <c r="M31" s="466"/>
      <c r="N31" s="466"/>
      <c r="O31" s="466"/>
      <c r="P31" s="466"/>
      <c r="Q31" s="467"/>
      <c r="R31" s="467"/>
      <c r="S31" s="467"/>
      <c r="T31" s="467"/>
      <c r="U31" s="467"/>
      <c r="V31" s="467"/>
      <c r="W31" s="467"/>
      <c r="X31" s="467"/>
      <c r="Y31" s="467"/>
      <c r="Z31" s="467"/>
      <c r="AA31" s="467"/>
      <c r="AB31" s="467"/>
      <c r="AC31" s="467"/>
      <c r="AD31" s="468"/>
    </row>
    <row r="32" spans="1:41" ht="22.9" customHeight="1" x14ac:dyDescent="0.25">
      <c r="A32" s="469" t="s">
        <v>54</v>
      </c>
      <c r="B32" s="471" t="s">
        <v>55</v>
      </c>
      <c r="C32" s="471" t="s">
        <v>49</v>
      </c>
      <c r="D32" s="471" t="s">
        <v>56</v>
      </c>
      <c r="E32" s="471"/>
      <c r="F32" s="471"/>
      <c r="G32" s="471"/>
      <c r="H32" s="471"/>
      <c r="I32" s="471"/>
      <c r="J32" s="471"/>
      <c r="K32" s="471"/>
      <c r="L32" s="471"/>
      <c r="M32" s="471"/>
      <c r="N32" s="471"/>
      <c r="O32" s="471"/>
      <c r="P32" s="550"/>
      <c r="Q32" s="527" t="s">
        <v>57</v>
      </c>
      <c r="R32" s="472"/>
      <c r="S32" s="472"/>
      <c r="T32" s="472"/>
      <c r="U32" s="472"/>
      <c r="V32" s="472"/>
      <c r="W32" s="472"/>
      <c r="X32" s="472"/>
      <c r="Y32" s="472"/>
      <c r="Z32" s="472"/>
      <c r="AA32" s="472"/>
      <c r="AB32" s="472"/>
      <c r="AC32" s="472"/>
      <c r="AD32" s="528"/>
      <c r="AG32" s="87"/>
      <c r="AH32" s="87"/>
      <c r="AI32" s="87"/>
      <c r="AJ32" s="87"/>
      <c r="AK32" s="87"/>
      <c r="AL32" s="87"/>
      <c r="AM32" s="87"/>
      <c r="AN32" s="87"/>
      <c r="AO32" s="87"/>
    </row>
    <row r="33" spans="1:41" ht="27" customHeight="1" x14ac:dyDescent="0.25">
      <c r="A33" s="470"/>
      <c r="B33" s="472"/>
      <c r="C33" s="473"/>
      <c r="D33" s="30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527" t="s">
        <v>58</v>
      </c>
      <c r="R33" s="472"/>
      <c r="S33" s="472"/>
      <c r="T33" s="472" t="s">
        <v>59</v>
      </c>
      <c r="U33" s="472"/>
      <c r="V33" s="472"/>
      <c r="W33" s="524" t="s">
        <v>60</v>
      </c>
      <c r="X33" s="551"/>
      <c r="Y33" s="551"/>
      <c r="Z33" s="525"/>
      <c r="AA33" s="524" t="s">
        <v>61</v>
      </c>
      <c r="AB33" s="551"/>
      <c r="AC33" s="551"/>
      <c r="AD33" s="552"/>
      <c r="AG33" s="87"/>
      <c r="AH33" s="87"/>
      <c r="AI33" s="87"/>
      <c r="AJ33" s="87"/>
      <c r="AK33" s="87"/>
      <c r="AL33" s="87"/>
      <c r="AM33" s="87"/>
      <c r="AN33" s="87"/>
      <c r="AO33" s="87"/>
    </row>
    <row r="34" spans="1:41" ht="199.15" customHeight="1" x14ac:dyDescent="0.25">
      <c r="A34" s="536" t="s">
        <v>52</v>
      </c>
      <c r="B34" s="538">
        <v>0.18</v>
      </c>
      <c r="C34" s="311" t="s">
        <v>62</v>
      </c>
      <c r="D34" s="312">
        <f>D75</f>
        <v>1.6041666666666673E-2</v>
      </c>
      <c r="E34" s="312">
        <f t="shared" ref="E34:O34" si="0">E75</f>
        <v>3.4375000000000017E-2</v>
      </c>
      <c r="F34" s="312">
        <f t="shared" si="0"/>
        <v>3.9416666666666676E-2</v>
      </c>
      <c r="G34" s="312">
        <f t="shared" si="0"/>
        <v>4.0944444444444457E-2</v>
      </c>
      <c r="H34" s="312">
        <f t="shared" si="0"/>
        <v>4.4763888888888902E-2</v>
      </c>
      <c r="I34" s="312">
        <f t="shared" si="0"/>
        <v>4.4763888888888902E-2</v>
      </c>
      <c r="J34" s="312">
        <f t="shared" si="0"/>
        <v>4.4763888888888902E-2</v>
      </c>
      <c r="K34" s="312">
        <f t="shared" si="0"/>
        <v>4.4763888888888902E-2</v>
      </c>
      <c r="L34" s="312">
        <f t="shared" si="0"/>
        <v>6.9208333333333358E-2</v>
      </c>
      <c r="M34" s="312">
        <f t="shared" si="0"/>
        <v>6.9208333333333358E-2</v>
      </c>
      <c r="N34" s="312">
        <f t="shared" si="0"/>
        <v>5.6986111111111126E-2</v>
      </c>
      <c r="O34" s="312">
        <f t="shared" si="0"/>
        <v>4.4763888888888902E-2</v>
      </c>
      <c r="P34" s="313">
        <f>SUM(D34:O34)</f>
        <v>0.55000000000000016</v>
      </c>
      <c r="Q34" s="548" t="s">
        <v>564</v>
      </c>
      <c r="R34" s="541"/>
      <c r="S34" s="542"/>
      <c r="T34" s="540" t="s">
        <v>588</v>
      </c>
      <c r="U34" s="541"/>
      <c r="V34" s="542"/>
      <c r="W34" s="540" t="s">
        <v>589</v>
      </c>
      <c r="X34" s="541"/>
      <c r="Y34" s="541"/>
      <c r="Z34" s="542"/>
      <c r="AA34" s="540" t="s">
        <v>567</v>
      </c>
      <c r="AB34" s="541"/>
      <c r="AC34" s="541"/>
      <c r="AD34" s="546"/>
      <c r="AE34" s="373"/>
      <c r="AF34" s="373"/>
      <c r="AG34" s="87"/>
      <c r="AH34" s="87"/>
      <c r="AI34" s="87"/>
      <c r="AJ34" s="87"/>
      <c r="AK34" s="87"/>
      <c r="AL34" s="87"/>
      <c r="AM34" s="87"/>
      <c r="AN34" s="87"/>
      <c r="AO34" s="87"/>
    </row>
    <row r="35" spans="1:41" ht="306" customHeight="1" thickBot="1" x14ac:dyDescent="0.3">
      <c r="A35" s="537"/>
      <c r="B35" s="539"/>
      <c r="C35" s="314" t="s">
        <v>63</v>
      </c>
      <c r="D35" s="315">
        <f>D72</f>
        <v>1.6041666666666673E-2</v>
      </c>
      <c r="E35" s="315">
        <f t="shared" ref="E35:O35" si="1">E72</f>
        <v>3.4375000000000017E-2</v>
      </c>
      <c r="F35" s="315">
        <f t="shared" si="1"/>
        <v>3.9416666666666676E-2</v>
      </c>
      <c r="G35" s="315">
        <f t="shared" si="1"/>
        <v>3.7888888888888896E-2</v>
      </c>
      <c r="H35" s="315">
        <f t="shared" si="1"/>
        <v>4.1708333333333347E-2</v>
      </c>
      <c r="I35" s="315">
        <f t="shared" si="1"/>
        <v>4.1708333333333347E-2</v>
      </c>
      <c r="J35" s="315">
        <f t="shared" si="1"/>
        <v>4.1708333333333347E-2</v>
      </c>
      <c r="K35" s="315">
        <f t="shared" si="1"/>
        <v>4.3236111111111121E-2</v>
      </c>
      <c r="L35" s="315">
        <f t="shared" si="1"/>
        <v>7.0736111111111125E-2</v>
      </c>
      <c r="M35" s="315">
        <f t="shared" si="1"/>
        <v>6.8444444444444461E-2</v>
      </c>
      <c r="N35" s="315">
        <f t="shared" si="1"/>
        <v>5.6222222222222236E-2</v>
      </c>
      <c r="O35" s="315">
        <f t="shared" si="1"/>
        <v>0</v>
      </c>
      <c r="P35" s="316">
        <f>SUM(D35:O35)</f>
        <v>0.49148611111111129</v>
      </c>
      <c r="Q35" s="549"/>
      <c r="R35" s="544"/>
      <c r="S35" s="545"/>
      <c r="T35" s="543"/>
      <c r="U35" s="544"/>
      <c r="V35" s="545"/>
      <c r="W35" s="543"/>
      <c r="X35" s="544"/>
      <c r="Y35" s="544"/>
      <c r="Z35" s="545"/>
      <c r="AA35" s="543"/>
      <c r="AB35" s="544"/>
      <c r="AC35" s="544"/>
      <c r="AD35" s="547"/>
      <c r="AE35" s="374"/>
      <c r="AF35" s="373"/>
      <c r="AG35" s="87"/>
      <c r="AH35" s="87"/>
      <c r="AI35" s="87"/>
      <c r="AJ35" s="87"/>
      <c r="AK35" s="87"/>
      <c r="AL35" s="87"/>
      <c r="AM35" s="87"/>
      <c r="AN35" s="87"/>
      <c r="AO35" s="87"/>
    </row>
    <row r="36" spans="1:41" ht="25.9" customHeight="1" x14ac:dyDescent="0.25">
      <c r="A36" s="469" t="s">
        <v>64</v>
      </c>
      <c r="B36" s="556" t="s">
        <v>65</v>
      </c>
      <c r="C36" s="471" t="s">
        <v>66</v>
      </c>
      <c r="D36" s="471"/>
      <c r="E36" s="471"/>
      <c r="F36" s="471"/>
      <c r="G36" s="471"/>
      <c r="H36" s="471"/>
      <c r="I36" s="471"/>
      <c r="J36" s="471"/>
      <c r="K36" s="471"/>
      <c r="L36" s="471"/>
      <c r="M36" s="471"/>
      <c r="N36" s="471"/>
      <c r="O36" s="471"/>
      <c r="P36" s="550"/>
      <c r="Q36" s="558" t="s">
        <v>67</v>
      </c>
      <c r="R36" s="559"/>
      <c r="S36" s="559"/>
      <c r="T36" s="559"/>
      <c r="U36" s="559"/>
      <c r="V36" s="559"/>
      <c r="W36" s="559"/>
      <c r="X36" s="559"/>
      <c r="Y36" s="559"/>
      <c r="Z36" s="559"/>
      <c r="AA36" s="559"/>
      <c r="AB36" s="559"/>
      <c r="AC36" s="559"/>
      <c r="AD36" s="560"/>
      <c r="AG36" s="87"/>
      <c r="AH36" s="87"/>
      <c r="AI36" s="87"/>
      <c r="AJ36" s="87"/>
      <c r="AK36" s="87"/>
      <c r="AL36" s="87"/>
      <c r="AM36" s="87"/>
      <c r="AN36" s="87"/>
      <c r="AO36" s="87"/>
    </row>
    <row r="37" spans="1:41" ht="60.75" customHeight="1" thickBot="1" x14ac:dyDescent="0.3">
      <c r="A37" s="515"/>
      <c r="B37" s="557"/>
      <c r="C37" s="317"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561" t="s">
        <v>82</v>
      </c>
      <c r="R37" s="562"/>
      <c r="S37" s="562"/>
      <c r="T37" s="562"/>
      <c r="U37" s="562"/>
      <c r="V37" s="562"/>
      <c r="W37" s="562"/>
      <c r="X37" s="562"/>
      <c r="Y37" s="562"/>
      <c r="Z37" s="562"/>
      <c r="AA37" s="562"/>
      <c r="AB37" s="562"/>
      <c r="AC37" s="562"/>
      <c r="AD37" s="563"/>
      <c r="AG37" s="94"/>
      <c r="AH37" s="94"/>
      <c r="AI37" s="94"/>
      <c r="AJ37" s="94"/>
      <c r="AK37" s="94"/>
      <c r="AL37" s="94"/>
      <c r="AM37" s="94"/>
      <c r="AN37" s="94"/>
      <c r="AO37" s="94"/>
    </row>
    <row r="38" spans="1:41" ht="61.15" customHeight="1" x14ac:dyDescent="0.25">
      <c r="A38" s="564" t="s">
        <v>83</v>
      </c>
      <c r="B38" s="565">
        <v>0.05</v>
      </c>
      <c r="C38" s="311" t="s">
        <v>62</v>
      </c>
      <c r="D38" s="319">
        <v>0.05</v>
      </c>
      <c r="E38" s="319">
        <v>0.05</v>
      </c>
      <c r="F38" s="319">
        <v>0.09</v>
      </c>
      <c r="G38" s="319">
        <v>0.09</v>
      </c>
      <c r="H38" s="319">
        <v>0.09</v>
      </c>
      <c r="I38" s="319">
        <v>0.09</v>
      </c>
      <c r="J38" s="319">
        <v>0.09</v>
      </c>
      <c r="K38" s="319">
        <v>0.09</v>
      </c>
      <c r="L38" s="319">
        <v>0.09</v>
      </c>
      <c r="M38" s="319">
        <v>0.09</v>
      </c>
      <c r="N38" s="319">
        <v>0.09</v>
      </c>
      <c r="O38" s="319">
        <v>0.09</v>
      </c>
      <c r="P38" s="320">
        <f t="shared" ref="P38:P49" si="2">SUM(D38:O38)</f>
        <v>0.99999999999999978</v>
      </c>
      <c r="Q38" s="566" t="s">
        <v>590</v>
      </c>
      <c r="R38" s="567"/>
      <c r="S38" s="567"/>
      <c r="T38" s="567"/>
      <c r="U38" s="567"/>
      <c r="V38" s="567"/>
      <c r="W38" s="567"/>
      <c r="X38" s="567"/>
      <c r="Y38" s="567"/>
      <c r="Z38" s="567"/>
      <c r="AA38" s="567"/>
      <c r="AB38" s="567"/>
      <c r="AC38" s="567"/>
      <c r="AD38" s="568"/>
      <c r="AE38" s="97"/>
      <c r="AG38" s="98"/>
      <c r="AH38" s="98"/>
      <c r="AI38" s="98"/>
      <c r="AJ38" s="98"/>
      <c r="AK38" s="98"/>
      <c r="AL38" s="98"/>
      <c r="AM38" s="98"/>
      <c r="AN38" s="98"/>
      <c r="AO38" s="98"/>
    </row>
    <row r="39" spans="1:41" ht="61.15" customHeight="1" x14ac:dyDescent="0.25">
      <c r="A39" s="409"/>
      <c r="B39" s="408"/>
      <c r="C39" s="321" t="s">
        <v>63</v>
      </c>
      <c r="D39" s="322">
        <v>0.05</v>
      </c>
      <c r="E39" s="322">
        <v>0.05</v>
      </c>
      <c r="F39" s="322">
        <v>0.09</v>
      </c>
      <c r="G39" s="322">
        <v>7.0000000000000007E-2</v>
      </c>
      <c r="H39" s="322">
        <v>0.09</v>
      </c>
      <c r="I39" s="322">
        <v>0.09</v>
      </c>
      <c r="J39" s="322">
        <v>7.0000000000000007E-2</v>
      </c>
      <c r="K39" s="322">
        <v>0.08</v>
      </c>
      <c r="L39" s="322">
        <v>0.1</v>
      </c>
      <c r="M39" s="322">
        <v>0.09</v>
      </c>
      <c r="N39" s="322">
        <v>0.09</v>
      </c>
      <c r="O39" s="322"/>
      <c r="P39" s="323">
        <f t="shared" si="2"/>
        <v>0.86999999999999988</v>
      </c>
      <c r="Q39" s="393"/>
      <c r="R39" s="394"/>
      <c r="S39" s="394"/>
      <c r="T39" s="394"/>
      <c r="U39" s="394"/>
      <c r="V39" s="394"/>
      <c r="W39" s="394"/>
      <c r="X39" s="394"/>
      <c r="Y39" s="394"/>
      <c r="Z39" s="394"/>
      <c r="AA39" s="394"/>
      <c r="AB39" s="394"/>
      <c r="AC39" s="394"/>
      <c r="AD39" s="395"/>
      <c r="AE39" s="97"/>
    </row>
    <row r="40" spans="1:41" ht="58.9" customHeight="1" x14ac:dyDescent="0.25">
      <c r="A40" s="409" t="s">
        <v>84</v>
      </c>
      <c r="B40" s="554">
        <v>2.5000000000000001E-2</v>
      </c>
      <c r="C40" s="324" t="s">
        <v>62</v>
      </c>
      <c r="D40" s="325">
        <v>0.05</v>
      </c>
      <c r="E40" s="325">
        <v>0.05</v>
      </c>
      <c r="F40" s="325">
        <v>0.05</v>
      </c>
      <c r="G40" s="325">
        <v>0.05</v>
      </c>
      <c r="H40" s="325">
        <v>0.1</v>
      </c>
      <c r="I40" s="325">
        <v>0.1</v>
      </c>
      <c r="J40" s="325">
        <v>0.1</v>
      </c>
      <c r="K40" s="325">
        <v>0.1</v>
      </c>
      <c r="L40" s="325">
        <v>0.1</v>
      </c>
      <c r="M40" s="325">
        <v>0.1</v>
      </c>
      <c r="N40" s="325">
        <v>0.1</v>
      </c>
      <c r="O40" s="325">
        <v>0.1</v>
      </c>
      <c r="P40" s="323">
        <f t="shared" si="2"/>
        <v>0.99999999999999989</v>
      </c>
      <c r="Q40" s="390" t="s">
        <v>565</v>
      </c>
      <c r="R40" s="391"/>
      <c r="S40" s="391"/>
      <c r="T40" s="391"/>
      <c r="U40" s="391"/>
      <c r="V40" s="391"/>
      <c r="W40" s="391"/>
      <c r="X40" s="391"/>
      <c r="Y40" s="391"/>
      <c r="Z40" s="391"/>
      <c r="AA40" s="391"/>
      <c r="AB40" s="391"/>
      <c r="AC40" s="391"/>
      <c r="AD40" s="392"/>
      <c r="AE40" s="97"/>
    </row>
    <row r="41" spans="1:41" ht="58.9" customHeight="1" x14ac:dyDescent="0.25">
      <c r="A41" s="409"/>
      <c r="B41" s="554"/>
      <c r="C41" s="321" t="s">
        <v>63</v>
      </c>
      <c r="D41" s="322">
        <v>0.05</v>
      </c>
      <c r="E41" s="322">
        <v>0.05</v>
      </c>
      <c r="F41" s="322">
        <v>0.05</v>
      </c>
      <c r="G41" s="322">
        <v>0.05</v>
      </c>
      <c r="H41" s="322">
        <v>0.1</v>
      </c>
      <c r="I41" s="322">
        <v>0.1</v>
      </c>
      <c r="J41" s="322">
        <v>0.1</v>
      </c>
      <c r="K41" s="322">
        <v>0.1</v>
      </c>
      <c r="L41" s="326">
        <v>0.1</v>
      </c>
      <c r="M41" s="326">
        <v>0.1</v>
      </c>
      <c r="N41" s="326">
        <v>0.1</v>
      </c>
      <c r="O41" s="326"/>
      <c r="P41" s="323">
        <f t="shared" si="2"/>
        <v>0.89999999999999991</v>
      </c>
      <c r="Q41" s="393"/>
      <c r="R41" s="394"/>
      <c r="S41" s="394"/>
      <c r="T41" s="394"/>
      <c r="U41" s="394"/>
      <c r="V41" s="394"/>
      <c r="W41" s="394"/>
      <c r="X41" s="394"/>
      <c r="Y41" s="394"/>
      <c r="Z41" s="394"/>
      <c r="AA41" s="394"/>
      <c r="AB41" s="394"/>
      <c r="AC41" s="394"/>
      <c r="AD41" s="395"/>
      <c r="AE41" s="97"/>
    </row>
    <row r="42" spans="1:41" ht="60" customHeight="1" x14ac:dyDescent="0.25">
      <c r="A42" s="555" t="s">
        <v>85</v>
      </c>
      <c r="B42" s="554">
        <v>2.5000000000000001E-2</v>
      </c>
      <c r="C42" s="324" t="s">
        <v>62</v>
      </c>
      <c r="D42" s="325">
        <v>0.06</v>
      </c>
      <c r="E42" s="325">
        <v>0.06</v>
      </c>
      <c r="F42" s="325">
        <v>7.0000000000000007E-2</v>
      </c>
      <c r="G42" s="325">
        <v>0.09</v>
      </c>
      <c r="H42" s="325">
        <v>0.09</v>
      </c>
      <c r="I42" s="325">
        <v>0.09</v>
      </c>
      <c r="J42" s="325">
        <v>0.09</v>
      </c>
      <c r="K42" s="325">
        <v>0.09</v>
      </c>
      <c r="L42" s="325">
        <v>0.09</v>
      </c>
      <c r="M42" s="325">
        <v>0.09</v>
      </c>
      <c r="N42" s="325">
        <v>0.09</v>
      </c>
      <c r="O42" s="325">
        <v>0.09</v>
      </c>
      <c r="P42" s="323">
        <f t="shared" si="2"/>
        <v>0.99999999999999978</v>
      </c>
      <c r="Q42" s="390" t="s">
        <v>566</v>
      </c>
      <c r="R42" s="391"/>
      <c r="S42" s="391"/>
      <c r="T42" s="391"/>
      <c r="U42" s="391"/>
      <c r="V42" s="391"/>
      <c r="W42" s="391"/>
      <c r="X42" s="391"/>
      <c r="Y42" s="391"/>
      <c r="Z42" s="391"/>
      <c r="AA42" s="391"/>
      <c r="AB42" s="391"/>
      <c r="AC42" s="391"/>
      <c r="AD42" s="392"/>
      <c r="AE42" s="97"/>
    </row>
    <row r="43" spans="1:41" ht="76.5" customHeight="1" x14ac:dyDescent="0.25">
      <c r="A43" s="555"/>
      <c r="B43" s="554"/>
      <c r="C43" s="321" t="s">
        <v>63</v>
      </c>
      <c r="D43" s="322">
        <v>0.06</v>
      </c>
      <c r="E43" s="322">
        <v>0.06</v>
      </c>
      <c r="F43" s="322">
        <v>7.0000000000000007E-2</v>
      </c>
      <c r="G43" s="322">
        <v>0.09</v>
      </c>
      <c r="H43" s="322">
        <v>0.05</v>
      </c>
      <c r="I43" s="322">
        <v>0.05</v>
      </c>
      <c r="J43" s="322">
        <v>0.09</v>
      </c>
      <c r="K43" s="322">
        <v>0.09</v>
      </c>
      <c r="L43" s="326">
        <v>0.09</v>
      </c>
      <c r="M43" s="326">
        <v>0.08</v>
      </c>
      <c r="N43" s="326">
        <v>0.08</v>
      </c>
      <c r="O43" s="326"/>
      <c r="P43" s="323">
        <f t="shared" si="2"/>
        <v>0.80999999999999983</v>
      </c>
      <c r="Q43" s="393"/>
      <c r="R43" s="394"/>
      <c r="S43" s="394"/>
      <c r="T43" s="394"/>
      <c r="U43" s="394"/>
      <c r="V43" s="394"/>
      <c r="W43" s="394"/>
      <c r="X43" s="394"/>
      <c r="Y43" s="394"/>
      <c r="Z43" s="394"/>
      <c r="AA43" s="394"/>
      <c r="AB43" s="394"/>
      <c r="AC43" s="394"/>
      <c r="AD43" s="395"/>
      <c r="AE43" s="97"/>
    </row>
    <row r="44" spans="1:41" ht="358.9" customHeight="1" x14ac:dyDescent="0.25">
      <c r="A44" s="409" t="s">
        <v>86</v>
      </c>
      <c r="B44" s="408">
        <v>0.03</v>
      </c>
      <c r="C44" s="324" t="s">
        <v>62</v>
      </c>
      <c r="D44" s="325">
        <v>0</v>
      </c>
      <c r="E44" s="325">
        <v>0.1</v>
      </c>
      <c r="F44" s="325">
        <v>0.09</v>
      </c>
      <c r="G44" s="325">
        <v>0.09</v>
      </c>
      <c r="H44" s="325">
        <v>0.09</v>
      </c>
      <c r="I44" s="325">
        <v>0.09</v>
      </c>
      <c r="J44" s="325">
        <v>0.09</v>
      </c>
      <c r="K44" s="325">
        <v>0.09</v>
      </c>
      <c r="L44" s="325">
        <v>0.09</v>
      </c>
      <c r="M44" s="325">
        <v>0.09</v>
      </c>
      <c r="N44" s="325">
        <v>0.09</v>
      </c>
      <c r="O44" s="325">
        <v>0.09</v>
      </c>
      <c r="P44" s="323">
        <f t="shared" si="2"/>
        <v>0.99999999999999978</v>
      </c>
      <c r="Q44" s="390" t="s">
        <v>545</v>
      </c>
      <c r="R44" s="391"/>
      <c r="S44" s="391"/>
      <c r="T44" s="391"/>
      <c r="U44" s="391"/>
      <c r="V44" s="391"/>
      <c r="W44" s="391"/>
      <c r="X44" s="391"/>
      <c r="Y44" s="391"/>
      <c r="Z44" s="391"/>
      <c r="AA44" s="391"/>
      <c r="AB44" s="391"/>
      <c r="AC44" s="391"/>
      <c r="AD44" s="392"/>
      <c r="AE44" s="97"/>
    </row>
    <row r="45" spans="1:41" ht="358.9" customHeight="1" x14ac:dyDescent="0.25">
      <c r="A45" s="409"/>
      <c r="B45" s="408"/>
      <c r="C45" s="321" t="s">
        <v>63</v>
      </c>
      <c r="D45" s="322">
        <v>0</v>
      </c>
      <c r="E45" s="322">
        <v>0.1</v>
      </c>
      <c r="F45" s="322">
        <v>0.09</v>
      </c>
      <c r="G45" s="322">
        <v>0.09</v>
      </c>
      <c r="H45" s="322">
        <v>0.09</v>
      </c>
      <c r="I45" s="322">
        <v>0.09</v>
      </c>
      <c r="J45" s="322">
        <v>0.09</v>
      </c>
      <c r="K45" s="322">
        <v>0.09</v>
      </c>
      <c r="L45" s="326">
        <v>0.09</v>
      </c>
      <c r="M45" s="326">
        <v>0.09</v>
      </c>
      <c r="N45" s="326">
        <v>0.09</v>
      </c>
      <c r="O45" s="326"/>
      <c r="P45" s="323">
        <f t="shared" si="2"/>
        <v>0.90999999999999981</v>
      </c>
      <c r="Q45" s="393"/>
      <c r="R45" s="394"/>
      <c r="S45" s="394"/>
      <c r="T45" s="394"/>
      <c r="U45" s="394"/>
      <c r="V45" s="394"/>
      <c r="W45" s="394"/>
      <c r="X45" s="394"/>
      <c r="Y45" s="394"/>
      <c r="Z45" s="394"/>
      <c r="AA45" s="394"/>
      <c r="AB45" s="394"/>
      <c r="AC45" s="394"/>
      <c r="AD45" s="395"/>
      <c r="AE45" s="97"/>
    </row>
    <row r="46" spans="1:41" ht="79.5" customHeight="1" x14ac:dyDescent="0.25">
      <c r="A46" s="409" t="s">
        <v>87</v>
      </c>
      <c r="B46" s="408">
        <v>0.03</v>
      </c>
      <c r="C46" s="324" t="s">
        <v>62</v>
      </c>
      <c r="D46" s="325">
        <v>0</v>
      </c>
      <c r="E46" s="325">
        <v>0.1</v>
      </c>
      <c r="F46" s="325">
        <v>0.09</v>
      </c>
      <c r="G46" s="325">
        <v>0.09</v>
      </c>
      <c r="H46" s="325">
        <v>0.09</v>
      </c>
      <c r="I46" s="325">
        <v>0.09</v>
      </c>
      <c r="J46" s="325">
        <v>0.09</v>
      </c>
      <c r="K46" s="325">
        <v>0.09</v>
      </c>
      <c r="L46" s="325">
        <v>0.09</v>
      </c>
      <c r="M46" s="325">
        <v>0.09</v>
      </c>
      <c r="N46" s="325">
        <v>0.09</v>
      </c>
      <c r="O46" s="325">
        <v>0.09</v>
      </c>
      <c r="P46" s="323">
        <f t="shared" si="2"/>
        <v>0.99999999999999978</v>
      </c>
      <c r="Q46" s="396" t="s">
        <v>591</v>
      </c>
      <c r="R46" s="397"/>
      <c r="S46" s="397"/>
      <c r="T46" s="397"/>
      <c r="U46" s="397"/>
      <c r="V46" s="397"/>
      <c r="W46" s="397"/>
      <c r="X46" s="397"/>
      <c r="Y46" s="397"/>
      <c r="Z46" s="397"/>
      <c r="AA46" s="397"/>
      <c r="AB46" s="397"/>
      <c r="AC46" s="397"/>
      <c r="AD46" s="398"/>
      <c r="AE46" s="97"/>
    </row>
    <row r="47" spans="1:41" ht="127.5" customHeight="1" x14ac:dyDescent="0.25">
      <c r="A47" s="409"/>
      <c r="B47" s="408"/>
      <c r="C47" s="321" t="s">
        <v>63</v>
      </c>
      <c r="D47" s="322">
        <v>0</v>
      </c>
      <c r="E47" s="322">
        <v>0.1</v>
      </c>
      <c r="F47" s="322">
        <v>0.09</v>
      </c>
      <c r="G47" s="322">
        <v>0.09</v>
      </c>
      <c r="H47" s="322">
        <v>0.09</v>
      </c>
      <c r="I47" s="322">
        <v>0.09</v>
      </c>
      <c r="J47" s="322">
        <v>0.09</v>
      </c>
      <c r="K47" s="322">
        <v>0.09</v>
      </c>
      <c r="L47" s="326">
        <v>0.09</v>
      </c>
      <c r="M47" s="326">
        <v>0.09</v>
      </c>
      <c r="N47" s="326">
        <v>0.09</v>
      </c>
      <c r="O47" s="326"/>
      <c r="P47" s="323">
        <f t="shared" si="2"/>
        <v>0.90999999999999981</v>
      </c>
      <c r="Q47" s="396"/>
      <c r="R47" s="397"/>
      <c r="S47" s="397"/>
      <c r="T47" s="397"/>
      <c r="U47" s="397"/>
      <c r="V47" s="397"/>
      <c r="W47" s="397"/>
      <c r="X47" s="397"/>
      <c r="Y47" s="397"/>
      <c r="Z47" s="397"/>
      <c r="AA47" s="397"/>
      <c r="AB47" s="397"/>
      <c r="AC47" s="397"/>
      <c r="AD47" s="398"/>
      <c r="AE47" s="97"/>
    </row>
    <row r="48" spans="1:41" ht="51" customHeight="1" x14ac:dyDescent="0.25">
      <c r="A48" s="410" t="s">
        <v>88</v>
      </c>
      <c r="B48" s="408">
        <v>0.02</v>
      </c>
      <c r="C48" s="324" t="s">
        <v>62</v>
      </c>
      <c r="D48" s="325">
        <v>0</v>
      </c>
      <c r="E48" s="325">
        <v>0</v>
      </c>
      <c r="F48" s="325">
        <v>0</v>
      </c>
      <c r="G48" s="325">
        <v>0</v>
      </c>
      <c r="H48" s="325">
        <v>0</v>
      </c>
      <c r="I48" s="325">
        <v>0</v>
      </c>
      <c r="J48" s="325">
        <v>0</v>
      </c>
      <c r="K48" s="325">
        <v>0</v>
      </c>
      <c r="L48" s="325">
        <v>0.4</v>
      </c>
      <c r="M48" s="325">
        <v>0.4</v>
      </c>
      <c r="N48" s="325">
        <v>0.2</v>
      </c>
      <c r="O48" s="325">
        <v>0</v>
      </c>
      <c r="P48" s="323">
        <f t="shared" si="2"/>
        <v>1</v>
      </c>
      <c r="Q48" s="396" t="s">
        <v>544</v>
      </c>
      <c r="R48" s="397"/>
      <c r="S48" s="397"/>
      <c r="T48" s="397"/>
      <c r="U48" s="397"/>
      <c r="V48" s="397"/>
      <c r="W48" s="397"/>
      <c r="X48" s="397"/>
      <c r="Y48" s="397"/>
      <c r="Z48" s="397"/>
      <c r="AA48" s="397"/>
      <c r="AB48" s="397"/>
      <c r="AC48" s="397"/>
      <c r="AD48" s="398"/>
      <c r="AE48" s="97"/>
    </row>
    <row r="49" spans="1:31" ht="51" customHeight="1" thickBot="1" x14ac:dyDescent="0.3">
      <c r="A49" s="411"/>
      <c r="B49" s="553"/>
      <c r="C49" s="314" t="s">
        <v>63</v>
      </c>
      <c r="D49" s="327">
        <v>0</v>
      </c>
      <c r="E49" s="327">
        <v>0</v>
      </c>
      <c r="F49" s="327">
        <v>0</v>
      </c>
      <c r="G49" s="327">
        <v>0</v>
      </c>
      <c r="H49" s="327">
        <v>0</v>
      </c>
      <c r="I49" s="327">
        <v>0</v>
      </c>
      <c r="J49" s="327">
        <v>0</v>
      </c>
      <c r="K49" s="327">
        <v>0</v>
      </c>
      <c r="L49" s="328">
        <v>0.4</v>
      </c>
      <c r="M49" s="328">
        <v>0.4</v>
      </c>
      <c r="N49" s="328">
        <v>0.2</v>
      </c>
      <c r="O49" s="328"/>
      <c r="P49" s="329">
        <f t="shared" si="2"/>
        <v>1</v>
      </c>
      <c r="Q49" s="396"/>
      <c r="R49" s="397"/>
      <c r="S49" s="397"/>
      <c r="T49" s="397"/>
      <c r="U49" s="397"/>
      <c r="V49" s="397"/>
      <c r="W49" s="397"/>
      <c r="X49" s="397"/>
      <c r="Y49" s="397"/>
      <c r="Z49" s="397"/>
      <c r="AA49" s="397"/>
      <c r="AB49" s="397"/>
      <c r="AC49" s="397"/>
      <c r="AD49" s="398"/>
      <c r="AE49" s="97"/>
    </row>
    <row r="50" spans="1:31" x14ac:dyDescent="0.25">
      <c r="A50" s="194" t="s">
        <v>89</v>
      </c>
      <c r="Q50" s="194"/>
      <c r="R50" s="194"/>
      <c r="S50" s="194"/>
      <c r="T50" s="194"/>
      <c r="U50" s="194"/>
      <c r="V50" s="194"/>
      <c r="W50" s="194"/>
      <c r="X50" s="194"/>
      <c r="Y50" s="194"/>
      <c r="Z50" s="194"/>
      <c r="AA50" s="194"/>
      <c r="AB50" s="194"/>
      <c r="AC50" s="194"/>
      <c r="AD50" s="194"/>
    </row>
    <row r="51" spans="1:31" x14ac:dyDescent="0.25">
      <c r="A51" s="194"/>
      <c r="Q51" s="194"/>
      <c r="R51" s="194"/>
      <c r="S51" s="194"/>
      <c r="T51" s="194"/>
      <c r="U51" s="194"/>
      <c r="V51" s="194"/>
      <c r="W51" s="194"/>
      <c r="X51" s="194"/>
      <c r="Y51" s="194"/>
      <c r="Z51" s="194"/>
      <c r="AA51" s="194"/>
      <c r="AB51" s="194"/>
      <c r="AC51" s="194"/>
      <c r="AD51" s="194"/>
    </row>
    <row r="52" spans="1:31" x14ac:dyDescent="0.25">
      <c r="A52" s="194"/>
      <c r="Q52" s="194"/>
      <c r="R52" s="194"/>
      <c r="S52" s="194"/>
      <c r="T52" s="194"/>
      <c r="U52" s="194"/>
      <c r="V52" s="194"/>
      <c r="W52" s="194"/>
      <c r="X52" s="194"/>
      <c r="Y52" s="194"/>
      <c r="Z52" s="194"/>
      <c r="AA52" s="194"/>
      <c r="AB52" s="194"/>
      <c r="AC52" s="194"/>
      <c r="AD52" s="194"/>
    </row>
    <row r="53" spans="1:31" x14ac:dyDescent="0.25">
      <c r="A53" s="194"/>
      <c r="Q53" s="194"/>
      <c r="R53" s="194"/>
      <c r="S53" s="194"/>
      <c r="T53" s="194"/>
      <c r="U53" s="194"/>
      <c r="V53" s="194"/>
      <c r="W53" s="194"/>
      <c r="X53" s="194"/>
      <c r="Y53" s="194"/>
      <c r="Z53" s="194"/>
      <c r="AA53" s="194"/>
      <c r="AB53" s="194"/>
      <c r="AC53" s="194"/>
      <c r="AD53" s="194"/>
    </row>
    <row r="54" spans="1:31" hidden="1" x14ac:dyDescent="0.25">
      <c r="A54" s="194"/>
      <c r="Q54" s="194"/>
      <c r="R54" s="194"/>
      <c r="S54" s="194"/>
      <c r="T54" s="194"/>
      <c r="U54" s="194"/>
      <c r="V54" s="194"/>
      <c r="W54" s="194"/>
      <c r="X54" s="194"/>
      <c r="Y54" s="194"/>
      <c r="Z54" s="194"/>
      <c r="AA54" s="194"/>
      <c r="AB54" s="194"/>
      <c r="AC54" s="194"/>
      <c r="AD54" s="194"/>
    </row>
    <row r="55" spans="1:31" ht="15" hidden="1" customHeight="1" x14ac:dyDescent="0.25">
      <c r="A55" s="399" t="s">
        <v>90</v>
      </c>
      <c r="B55" s="401" t="s">
        <v>65</v>
      </c>
      <c r="C55" s="403" t="s">
        <v>66</v>
      </c>
      <c r="D55" s="404"/>
      <c r="E55" s="404"/>
      <c r="F55" s="404"/>
      <c r="G55" s="404"/>
      <c r="H55" s="404"/>
      <c r="I55" s="404"/>
      <c r="J55" s="404"/>
      <c r="K55" s="404"/>
      <c r="L55" s="404"/>
      <c r="M55" s="404"/>
      <c r="N55" s="404"/>
      <c r="O55" s="404"/>
      <c r="P55" s="405"/>
      <c r="Q55" s="195"/>
      <c r="R55" s="195"/>
      <c r="S55" s="194"/>
      <c r="T55" s="194"/>
      <c r="U55" s="194"/>
      <c r="V55" s="194"/>
      <c r="W55" s="194"/>
      <c r="X55" s="194"/>
      <c r="Y55" s="194"/>
      <c r="Z55" s="194"/>
      <c r="AA55" s="194"/>
      <c r="AB55" s="194"/>
      <c r="AC55" s="194"/>
      <c r="AD55" s="194"/>
    </row>
    <row r="56" spans="1:31" ht="21" hidden="1" x14ac:dyDescent="0.25">
      <c r="A56" s="400"/>
      <c r="B56" s="402"/>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t="15" hidden="1" customHeight="1" x14ac:dyDescent="0.25">
      <c r="A57" s="384"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406">
        <f>B38</f>
        <v>0.05</v>
      </c>
      <c r="C57" s="176" t="s">
        <v>62</v>
      </c>
      <c r="D57" s="175">
        <f t="shared" ref="D57:O58" si="3">D38*$B$38/$P$38</f>
        <v>2.5000000000000009E-3</v>
      </c>
      <c r="E57" s="175">
        <f t="shared" si="3"/>
        <v>2.5000000000000009E-3</v>
      </c>
      <c r="F57" s="175">
        <f t="shared" si="3"/>
        <v>4.5000000000000005E-3</v>
      </c>
      <c r="G57" s="175">
        <f t="shared" si="3"/>
        <v>4.5000000000000005E-3</v>
      </c>
      <c r="H57" s="175">
        <f t="shared" si="3"/>
        <v>4.5000000000000005E-3</v>
      </c>
      <c r="I57" s="175">
        <f t="shared" si="3"/>
        <v>4.5000000000000005E-3</v>
      </c>
      <c r="J57" s="175">
        <f t="shared" si="3"/>
        <v>4.5000000000000005E-3</v>
      </c>
      <c r="K57" s="175">
        <f t="shared" si="3"/>
        <v>4.5000000000000005E-3</v>
      </c>
      <c r="L57" s="175">
        <f t="shared" si="3"/>
        <v>4.5000000000000005E-3</v>
      </c>
      <c r="M57" s="175">
        <f t="shared" si="3"/>
        <v>4.5000000000000005E-3</v>
      </c>
      <c r="N57" s="175">
        <f t="shared" si="3"/>
        <v>4.5000000000000005E-3</v>
      </c>
      <c r="O57" s="175">
        <f t="shared" si="3"/>
        <v>4.5000000000000005E-3</v>
      </c>
      <c r="P57" s="174">
        <f t="shared" ref="P57:P68" si="4">SUM(D57:O57)</f>
        <v>5.0000000000000017E-2</v>
      </c>
      <c r="Q57" s="197">
        <v>0.05</v>
      </c>
      <c r="R57" s="198">
        <f t="shared" ref="R57:R71" si="5">+P57-Q57</f>
        <v>0</v>
      </c>
      <c r="S57" s="194"/>
      <c r="T57" s="194"/>
      <c r="U57" s="194"/>
      <c r="V57" s="194"/>
      <c r="W57" s="194"/>
      <c r="X57" s="194"/>
      <c r="Y57" s="194"/>
      <c r="Z57" s="194"/>
      <c r="AA57" s="194"/>
      <c r="AB57" s="194"/>
      <c r="AC57" s="194"/>
      <c r="AD57" s="194"/>
    </row>
    <row r="58" spans="1:31" hidden="1" x14ac:dyDescent="0.25">
      <c r="A58" s="385"/>
      <c r="B58" s="407"/>
      <c r="C58" s="173" t="s">
        <v>63</v>
      </c>
      <c r="D58" s="172">
        <f t="shared" si="3"/>
        <v>2.5000000000000009E-3</v>
      </c>
      <c r="E58" s="172">
        <f t="shared" si="3"/>
        <v>2.5000000000000009E-3</v>
      </c>
      <c r="F58" s="172">
        <f t="shared" si="3"/>
        <v>4.5000000000000005E-3</v>
      </c>
      <c r="G58" s="172">
        <f t="shared" si="3"/>
        <v>3.5000000000000014E-3</v>
      </c>
      <c r="H58" s="172">
        <f t="shared" si="3"/>
        <v>4.5000000000000005E-3</v>
      </c>
      <c r="I58" s="172">
        <f t="shared" si="3"/>
        <v>4.5000000000000005E-3</v>
      </c>
      <c r="J58" s="172">
        <f t="shared" si="3"/>
        <v>3.5000000000000014E-3</v>
      </c>
      <c r="K58" s="172">
        <f t="shared" si="3"/>
        <v>4.000000000000001E-3</v>
      </c>
      <c r="L58" s="172">
        <f t="shared" si="3"/>
        <v>5.0000000000000018E-3</v>
      </c>
      <c r="M58" s="172">
        <f t="shared" si="3"/>
        <v>4.5000000000000005E-3</v>
      </c>
      <c r="N58" s="172">
        <f t="shared" si="3"/>
        <v>4.5000000000000005E-3</v>
      </c>
      <c r="O58" s="172">
        <f t="shared" si="3"/>
        <v>0</v>
      </c>
      <c r="P58" s="171">
        <f t="shared" si="4"/>
        <v>4.3500000000000011E-2</v>
      </c>
      <c r="Q58" s="199">
        <f>+P58</f>
        <v>4.3500000000000011E-2</v>
      </c>
      <c r="R58" s="198">
        <f t="shared" si="5"/>
        <v>0</v>
      </c>
      <c r="S58" s="194"/>
      <c r="T58" s="194"/>
      <c r="U58" s="194"/>
      <c r="V58" s="194"/>
      <c r="W58" s="194"/>
      <c r="X58" s="194"/>
      <c r="Y58" s="194"/>
      <c r="Z58" s="194"/>
      <c r="AA58" s="194"/>
      <c r="AB58" s="194"/>
      <c r="AC58" s="194"/>
      <c r="AD58" s="194"/>
    </row>
    <row r="59" spans="1:31" ht="15" hidden="1" customHeight="1" x14ac:dyDescent="0.25">
      <c r="A59" s="384"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386">
        <f>B40</f>
        <v>2.5000000000000001E-2</v>
      </c>
      <c r="C59" s="176" t="s">
        <v>62</v>
      </c>
      <c r="D59" s="175">
        <f t="shared" ref="D59:O60" si="6">D40*$B$40/$P$40</f>
        <v>1.2500000000000005E-3</v>
      </c>
      <c r="E59" s="175">
        <f t="shared" si="6"/>
        <v>1.2500000000000005E-3</v>
      </c>
      <c r="F59" s="175">
        <f t="shared" si="6"/>
        <v>1.2500000000000005E-3</v>
      </c>
      <c r="G59" s="175">
        <f t="shared" si="6"/>
        <v>1.2500000000000005E-3</v>
      </c>
      <c r="H59" s="175">
        <f t="shared" si="6"/>
        <v>2.5000000000000009E-3</v>
      </c>
      <c r="I59" s="175">
        <f t="shared" si="6"/>
        <v>2.5000000000000009E-3</v>
      </c>
      <c r="J59" s="175">
        <f t="shared" si="6"/>
        <v>2.5000000000000009E-3</v>
      </c>
      <c r="K59" s="175">
        <f t="shared" si="6"/>
        <v>2.5000000000000009E-3</v>
      </c>
      <c r="L59" s="175">
        <f t="shared" si="6"/>
        <v>2.5000000000000009E-3</v>
      </c>
      <c r="M59" s="175">
        <f t="shared" si="6"/>
        <v>2.5000000000000009E-3</v>
      </c>
      <c r="N59" s="175">
        <f t="shared" si="6"/>
        <v>2.5000000000000009E-3</v>
      </c>
      <c r="O59" s="175">
        <f t="shared" si="6"/>
        <v>2.5000000000000009E-3</v>
      </c>
      <c r="P59" s="174">
        <f t="shared" si="4"/>
        <v>2.5000000000000012E-2</v>
      </c>
      <c r="Q59" s="197">
        <v>2.5000000000000001E-2</v>
      </c>
      <c r="R59" s="198">
        <f t="shared" si="5"/>
        <v>0</v>
      </c>
      <c r="S59" s="194"/>
      <c r="T59" s="194"/>
      <c r="U59" s="194"/>
      <c r="V59" s="194"/>
      <c r="W59" s="194"/>
      <c r="X59" s="194"/>
      <c r="Y59" s="194"/>
      <c r="Z59" s="194"/>
      <c r="AA59" s="194"/>
      <c r="AB59" s="194"/>
      <c r="AC59" s="194"/>
      <c r="AD59" s="194"/>
    </row>
    <row r="60" spans="1:31" hidden="1" x14ac:dyDescent="0.25">
      <c r="A60" s="385"/>
      <c r="B60" s="387"/>
      <c r="C60" s="173" t="s">
        <v>63</v>
      </c>
      <c r="D60" s="172">
        <f t="shared" si="6"/>
        <v>1.2500000000000005E-3</v>
      </c>
      <c r="E60" s="172">
        <f t="shared" si="6"/>
        <v>1.2500000000000005E-3</v>
      </c>
      <c r="F60" s="172">
        <f t="shared" si="6"/>
        <v>1.2500000000000005E-3</v>
      </c>
      <c r="G60" s="172">
        <f t="shared" si="6"/>
        <v>1.2500000000000005E-3</v>
      </c>
      <c r="H60" s="172">
        <f t="shared" si="6"/>
        <v>2.5000000000000009E-3</v>
      </c>
      <c r="I60" s="172">
        <f t="shared" si="6"/>
        <v>2.5000000000000009E-3</v>
      </c>
      <c r="J60" s="172">
        <f t="shared" si="6"/>
        <v>2.5000000000000009E-3</v>
      </c>
      <c r="K60" s="172">
        <f t="shared" si="6"/>
        <v>2.5000000000000009E-3</v>
      </c>
      <c r="L60" s="172">
        <f t="shared" si="6"/>
        <v>2.5000000000000009E-3</v>
      </c>
      <c r="M60" s="172">
        <f t="shared" si="6"/>
        <v>2.5000000000000009E-3</v>
      </c>
      <c r="N60" s="172">
        <f t="shared" si="6"/>
        <v>2.5000000000000009E-3</v>
      </c>
      <c r="O60" s="172">
        <f t="shared" si="6"/>
        <v>0</v>
      </c>
      <c r="P60" s="171">
        <f t="shared" si="4"/>
        <v>2.250000000000001E-2</v>
      </c>
      <c r="Q60" s="199">
        <f>+P60</f>
        <v>2.250000000000001E-2</v>
      </c>
      <c r="R60" s="198">
        <f t="shared" si="5"/>
        <v>0</v>
      </c>
      <c r="S60" s="194"/>
      <c r="T60" s="194"/>
      <c r="U60" s="194"/>
      <c r="V60" s="194"/>
      <c r="W60" s="194"/>
      <c r="X60" s="194"/>
      <c r="Y60" s="194"/>
      <c r="Z60" s="194"/>
      <c r="AA60" s="194"/>
      <c r="AB60" s="194"/>
      <c r="AC60" s="194"/>
      <c r="AD60" s="194"/>
    </row>
    <row r="61" spans="1:31" ht="15" hidden="1" customHeight="1" x14ac:dyDescent="0.25">
      <c r="A61" s="384"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386">
        <f>B42</f>
        <v>2.5000000000000001E-2</v>
      </c>
      <c r="C61" s="176" t="s">
        <v>62</v>
      </c>
      <c r="D61" s="175">
        <f t="shared" ref="D61:O62" si="7">D42*$B$42/$P$42</f>
        <v>1.5000000000000005E-3</v>
      </c>
      <c r="E61" s="175">
        <f t="shared" si="7"/>
        <v>1.5000000000000005E-3</v>
      </c>
      <c r="F61" s="175">
        <f t="shared" si="7"/>
        <v>1.7500000000000007E-3</v>
      </c>
      <c r="G61" s="175">
        <f t="shared" si="7"/>
        <v>2.2500000000000003E-3</v>
      </c>
      <c r="H61" s="175">
        <f t="shared" si="7"/>
        <v>2.2500000000000003E-3</v>
      </c>
      <c r="I61" s="175">
        <f t="shared" si="7"/>
        <v>2.2500000000000003E-3</v>
      </c>
      <c r="J61" s="175">
        <f t="shared" si="7"/>
        <v>2.2500000000000003E-3</v>
      </c>
      <c r="K61" s="175">
        <f t="shared" si="7"/>
        <v>2.2500000000000003E-3</v>
      </c>
      <c r="L61" s="175">
        <f t="shared" si="7"/>
        <v>2.2500000000000003E-3</v>
      </c>
      <c r="M61" s="175">
        <f t="shared" si="7"/>
        <v>2.2500000000000003E-3</v>
      </c>
      <c r="N61" s="175">
        <f t="shared" si="7"/>
        <v>2.2500000000000003E-3</v>
      </c>
      <c r="O61" s="175">
        <f t="shared" si="7"/>
        <v>2.2500000000000003E-3</v>
      </c>
      <c r="P61" s="174">
        <f t="shared" si="4"/>
        <v>2.5000000000000008E-2</v>
      </c>
      <c r="Q61" s="197">
        <v>2.5000000000000001E-2</v>
      </c>
      <c r="R61" s="198">
        <f t="shared" si="5"/>
        <v>0</v>
      </c>
      <c r="S61" s="194"/>
      <c r="T61" s="194"/>
      <c r="U61" s="194"/>
      <c r="V61" s="194"/>
      <c r="W61" s="194"/>
      <c r="X61" s="194"/>
      <c r="Y61" s="194"/>
      <c r="Z61" s="194"/>
      <c r="AA61" s="194"/>
      <c r="AB61" s="194"/>
      <c r="AC61" s="194"/>
      <c r="AD61" s="194"/>
    </row>
    <row r="62" spans="1:31" hidden="1" x14ac:dyDescent="0.25">
      <c r="A62" s="385"/>
      <c r="B62" s="387"/>
      <c r="C62" s="173" t="s">
        <v>63</v>
      </c>
      <c r="D62" s="172">
        <f t="shared" si="7"/>
        <v>1.5000000000000005E-3</v>
      </c>
      <c r="E62" s="172">
        <f t="shared" si="7"/>
        <v>1.5000000000000005E-3</v>
      </c>
      <c r="F62" s="172">
        <f t="shared" si="7"/>
        <v>1.7500000000000007E-3</v>
      </c>
      <c r="G62" s="172">
        <f t="shared" si="7"/>
        <v>2.2500000000000003E-3</v>
      </c>
      <c r="H62" s="172">
        <f t="shared" si="7"/>
        <v>1.2500000000000005E-3</v>
      </c>
      <c r="I62" s="172">
        <f t="shared" si="7"/>
        <v>1.2500000000000005E-3</v>
      </c>
      <c r="J62" s="172">
        <f t="shared" si="7"/>
        <v>2.2500000000000003E-3</v>
      </c>
      <c r="K62" s="172">
        <f t="shared" si="7"/>
        <v>2.2500000000000003E-3</v>
      </c>
      <c r="L62" s="172">
        <f t="shared" si="7"/>
        <v>2.2500000000000003E-3</v>
      </c>
      <c r="M62" s="172">
        <f t="shared" si="7"/>
        <v>2.0000000000000005E-3</v>
      </c>
      <c r="N62" s="172">
        <f t="shared" si="7"/>
        <v>2.0000000000000005E-3</v>
      </c>
      <c r="O62" s="172">
        <f t="shared" si="7"/>
        <v>0</v>
      </c>
      <c r="P62" s="171">
        <f t="shared" si="4"/>
        <v>2.0250000000000008E-2</v>
      </c>
      <c r="Q62" s="199">
        <f>+P62</f>
        <v>2.0250000000000008E-2</v>
      </c>
      <c r="R62" s="198">
        <f t="shared" si="5"/>
        <v>0</v>
      </c>
      <c r="S62" s="194"/>
      <c r="T62" s="194"/>
      <c r="U62" s="194"/>
      <c r="V62" s="194"/>
      <c r="W62" s="194"/>
      <c r="X62" s="194"/>
      <c r="Y62" s="194"/>
      <c r="Z62" s="194"/>
      <c r="AA62" s="194"/>
      <c r="AB62" s="194"/>
      <c r="AC62" s="194"/>
      <c r="AD62" s="194"/>
    </row>
    <row r="63" spans="1:31" ht="15" hidden="1" customHeight="1" x14ac:dyDescent="0.25">
      <c r="A63" s="384" t="str">
        <f>A44</f>
        <v>4. Socializar e implementar la hoja de ruta para incorporar los enfoques de derechos de las mujeres, de género y diferencial, a través del acompañamiento y articulación con las consejeras  por el Sector Mujeres en el CTPD.</v>
      </c>
      <c r="B63" s="386">
        <f>B44</f>
        <v>0.03</v>
      </c>
      <c r="C63" s="176" t="s">
        <v>62</v>
      </c>
      <c r="D63" s="175">
        <f t="shared" ref="D63:O64" si="8">D44*$B$44/$P$44</f>
        <v>0</v>
      </c>
      <c r="E63" s="175">
        <f t="shared" si="8"/>
        <v>3.0000000000000009E-3</v>
      </c>
      <c r="F63" s="175">
        <f t="shared" si="8"/>
        <v>2.7000000000000001E-3</v>
      </c>
      <c r="G63" s="175">
        <f t="shared" si="8"/>
        <v>2.7000000000000001E-3</v>
      </c>
      <c r="H63" s="175">
        <f t="shared" si="8"/>
        <v>2.7000000000000001E-3</v>
      </c>
      <c r="I63" s="175">
        <f t="shared" si="8"/>
        <v>2.7000000000000001E-3</v>
      </c>
      <c r="J63" s="175">
        <f t="shared" si="8"/>
        <v>2.7000000000000001E-3</v>
      </c>
      <c r="K63" s="175">
        <f t="shared" si="8"/>
        <v>2.7000000000000001E-3</v>
      </c>
      <c r="L63" s="175">
        <f t="shared" si="8"/>
        <v>2.7000000000000001E-3</v>
      </c>
      <c r="M63" s="175">
        <f t="shared" si="8"/>
        <v>2.7000000000000001E-3</v>
      </c>
      <c r="N63" s="175">
        <f t="shared" si="8"/>
        <v>2.7000000000000001E-3</v>
      </c>
      <c r="O63" s="175">
        <f t="shared" si="8"/>
        <v>2.7000000000000001E-3</v>
      </c>
      <c r="P63" s="174">
        <f t="shared" si="4"/>
        <v>3.0000000000000009E-2</v>
      </c>
      <c r="Q63" s="197">
        <v>0.02</v>
      </c>
      <c r="R63" s="198">
        <f t="shared" si="5"/>
        <v>1.0000000000000009E-2</v>
      </c>
      <c r="S63" s="194"/>
      <c r="T63" s="194"/>
      <c r="U63" s="194"/>
      <c r="V63" s="194"/>
      <c r="W63" s="194"/>
      <c r="X63" s="194"/>
      <c r="Y63" s="194"/>
      <c r="Z63" s="194"/>
      <c r="AA63" s="194"/>
      <c r="AB63" s="194"/>
      <c r="AC63" s="194"/>
      <c r="AD63" s="194"/>
    </row>
    <row r="64" spans="1:31" hidden="1" x14ac:dyDescent="0.25">
      <c r="A64" s="385"/>
      <c r="B64" s="387"/>
      <c r="C64" s="173" t="s">
        <v>63</v>
      </c>
      <c r="D64" s="172">
        <f t="shared" si="8"/>
        <v>0</v>
      </c>
      <c r="E64" s="172">
        <f t="shared" si="8"/>
        <v>3.0000000000000009E-3</v>
      </c>
      <c r="F64" s="172">
        <f t="shared" si="8"/>
        <v>2.7000000000000001E-3</v>
      </c>
      <c r="G64" s="172">
        <f t="shared" si="8"/>
        <v>2.7000000000000001E-3</v>
      </c>
      <c r="H64" s="172">
        <f t="shared" si="8"/>
        <v>2.7000000000000001E-3</v>
      </c>
      <c r="I64" s="172">
        <f t="shared" si="8"/>
        <v>2.7000000000000001E-3</v>
      </c>
      <c r="J64" s="172">
        <f t="shared" si="8"/>
        <v>2.7000000000000001E-3</v>
      </c>
      <c r="K64" s="172">
        <f t="shared" si="8"/>
        <v>2.7000000000000001E-3</v>
      </c>
      <c r="L64" s="172">
        <f t="shared" si="8"/>
        <v>2.7000000000000001E-3</v>
      </c>
      <c r="M64" s="172">
        <f t="shared" si="8"/>
        <v>2.7000000000000001E-3</v>
      </c>
      <c r="N64" s="172">
        <f t="shared" si="8"/>
        <v>2.7000000000000001E-3</v>
      </c>
      <c r="O64" s="172">
        <f t="shared" si="8"/>
        <v>0</v>
      </c>
      <c r="P64" s="171">
        <f t="shared" si="4"/>
        <v>2.7300000000000008E-2</v>
      </c>
      <c r="Q64" s="199">
        <f>+P64</f>
        <v>2.7300000000000008E-2</v>
      </c>
      <c r="R64" s="198">
        <f t="shared" si="5"/>
        <v>0</v>
      </c>
      <c r="S64" s="194"/>
      <c r="T64" s="194"/>
      <c r="U64" s="194"/>
      <c r="V64" s="194"/>
      <c r="W64" s="194"/>
      <c r="X64" s="194"/>
      <c r="Y64" s="194"/>
      <c r="Z64" s="194"/>
      <c r="AA64" s="194"/>
      <c r="AB64" s="194"/>
      <c r="AC64" s="194"/>
      <c r="AD64" s="194"/>
    </row>
    <row r="65" spans="1:30" ht="15" hidden="1" customHeight="1" x14ac:dyDescent="0.25">
      <c r="A65" s="384"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386">
        <f>B46</f>
        <v>0.03</v>
      </c>
      <c r="C65" s="176" t="s">
        <v>62</v>
      </c>
      <c r="D65" s="175">
        <f t="shared" ref="D65:O66" si="9">D46*$B$46/$P$46</f>
        <v>0</v>
      </c>
      <c r="E65" s="175">
        <f t="shared" si="9"/>
        <v>3.0000000000000009E-3</v>
      </c>
      <c r="F65" s="175">
        <f t="shared" si="9"/>
        <v>2.7000000000000001E-3</v>
      </c>
      <c r="G65" s="175">
        <f t="shared" si="9"/>
        <v>2.7000000000000001E-3</v>
      </c>
      <c r="H65" s="175">
        <f t="shared" si="9"/>
        <v>2.7000000000000001E-3</v>
      </c>
      <c r="I65" s="175">
        <f t="shared" si="9"/>
        <v>2.7000000000000001E-3</v>
      </c>
      <c r="J65" s="175">
        <f t="shared" si="9"/>
        <v>2.7000000000000001E-3</v>
      </c>
      <c r="K65" s="175">
        <f t="shared" si="9"/>
        <v>2.7000000000000001E-3</v>
      </c>
      <c r="L65" s="175">
        <f t="shared" si="9"/>
        <v>2.7000000000000001E-3</v>
      </c>
      <c r="M65" s="175">
        <f t="shared" si="9"/>
        <v>2.7000000000000001E-3</v>
      </c>
      <c r="N65" s="175">
        <f t="shared" si="9"/>
        <v>2.7000000000000001E-3</v>
      </c>
      <c r="O65" s="175">
        <f t="shared" si="9"/>
        <v>2.7000000000000001E-3</v>
      </c>
      <c r="P65" s="174">
        <f t="shared" si="4"/>
        <v>3.0000000000000009E-2</v>
      </c>
      <c r="Q65" s="197">
        <v>0.02</v>
      </c>
      <c r="R65" s="198">
        <f t="shared" si="5"/>
        <v>1.0000000000000009E-2</v>
      </c>
      <c r="S65" s="194"/>
      <c r="T65" s="194"/>
      <c r="U65" s="194"/>
      <c r="V65" s="194"/>
      <c r="W65" s="194"/>
      <c r="X65" s="194"/>
      <c r="Y65" s="194"/>
      <c r="Z65" s="194"/>
      <c r="AA65" s="194"/>
      <c r="AB65" s="194"/>
      <c r="AC65" s="194"/>
      <c r="AD65" s="194"/>
    </row>
    <row r="66" spans="1:30" hidden="1" x14ac:dyDescent="0.25">
      <c r="A66" s="385"/>
      <c r="B66" s="387"/>
      <c r="C66" s="173" t="s">
        <v>63</v>
      </c>
      <c r="D66" s="172">
        <f t="shared" si="9"/>
        <v>0</v>
      </c>
      <c r="E66" s="172">
        <f t="shared" si="9"/>
        <v>3.0000000000000009E-3</v>
      </c>
      <c r="F66" s="172">
        <f t="shared" si="9"/>
        <v>2.7000000000000001E-3</v>
      </c>
      <c r="G66" s="172">
        <f t="shared" si="9"/>
        <v>2.7000000000000001E-3</v>
      </c>
      <c r="H66" s="172">
        <f t="shared" si="9"/>
        <v>2.7000000000000001E-3</v>
      </c>
      <c r="I66" s="172">
        <f t="shared" si="9"/>
        <v>2.7000000000000001E-3</v>
      </c>
      <c r="J66" s="172">
        <f t="shared" si="9"/>
        <v>2.7000000000000001E-3</v>
      </c>
      <c r="K66" s="172">
        <f t="shared" si="9"/>
        <v>2.7000000000000001E-3</v>
      </c>
      <c r="L66" s="172">
        <f t="shared" si="9"/>
        <v>2.7000000000000001E-3</v>
      </c>
      <c r="M66" s="172">
        <f t="shared" si="9"/>
        <v>2.7000000000000001E-3</v>
      </c>
      <c r="N66" s="172">
        <f t="shared" si="9"/>
        <v>2.7000000000000001E-3</v>
      </c>
      <c r="O66" s="172">
        <f t="shared" si="9"/>
        <v>0</v>
      </c>
      <c r="P66" s="171">
        <f t="shared" si="4"/>
        <v>2.7300000000000008E-2</v>
      </c>
      <c r="Q66" s="199">
        <f>+P66</f>
        <v>2.7300000000000008E-2</v>
      </c>
      <c r="R66" s="198">
        <f t="shared" si="5"/>
        <v>0</v>
      </c>
      <c r="S66" s="194"/>
      <c r="T66" s="194"/>
      <c r="U66" s="194"/>
      <c r="V66" s="194"/>
      <c r="W66" s="194"/>
      <c r="X66" s="194"/>
      <c r="Y66" s="194"/>
      <c r="Z66" s="194"/>
      <c r="AA66" s="194"/>
      <c r="AB66" s="194"/>
      <c r="AC66" s="194"/>
      <c r="AD66" s="194"/>
    </row>
    <row r="67" spans="1:30" ht="15" hidden="1" customHeight="1" x14ac:dyDescent="0.25">
      <c r="A67" s="384"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386">
        <f>B48</f>
        <v>0.02</v>
      </c>
      <c r="C67" s="176" t="s">
        <v>62</v>
      </c>
      <c r="D67" s="175">
        <f t="shared" ref="D67:O68" si="10">D48*$B$48/$P$48</f>
        <v>0</v>
      </c>
      <c r="E67" s="175">
        <f t="shared" si="10"/>
        <v>0</v>
      </c>
      <c r="F67" s="175">
        <f t="shared" si="10"/>
        <v>0</v>
      </c>
      <c r="G67" s="175">
        <f t="shared" si="10"/>
        <v>0</v>
      </c>
      <c r="H67" s="175">
        <f t="shared" si="10"/>
        <v>0</v>
      </c>
      <c r="I67" s="175">
        <f t="shared" si="10"/>
        <v>0</v>
      </c>
      <c r="J67" s="175">
        <f t="shared" si="10"/>
        <v>0</v>
      </c>
      <c r="K67" s="175">
        <f t="shared" si="10"/>
        <v>0</v>
      </c>
      <c r="L67" s="175">
        <f t="shared" si="10"/>
        <v>8.0000000000000002E-3</v>
      </c>
      <c r="M67" s="175">
        <f t="shared" si="10"/>
        <v>8.0000000000000002E-3</v>
      </c>
      <c r="N67" s="175">
        <f t="shared" si="10"/>
        <v>4.0000000000000001E-3</v>
      </c>
      <c r="O67" s="175">
        <f t="shared" si="10"/>
        <v>0</v>
      </c>
      <c r="P67" s="174">
        <f t="shared" si="4"/>
        <v>0.02</v>
      </c>
      <c r="Q67" s="197">
        <v>0.02</v>
      </c>
      <c r="R67" s="198">
        <f t="shared" si="5"/>
        <v>0</v>
      </c>
      <c r="S67" s="194"/>
      <c r="T67" s="194"/>
      <c r="U67" s="194"/>
      <c r="V67" s="194"/>
      <c r="W67" s="194"/>
      <c r="X67" s="194"/>
      <c r="Y67" s="194"/>
      <c r="Z67" s="194"/>
      <c r="AA67" s="194"/>
      <c r="AB67" s="194"/>
      <c r="AC67" s="194"/>
      <c r="AD67" s="194"/>
    </row>
    <row r="68" spans="1:30" hidden="1" x14ac:dyDescent="0.25">
      <c r="A68" s="385"/>
      <c r="B68" s="387"/>
      <c r="C68" s="181" t="s">
        <v>63</v>
      </c>
      <c r="D68" s="172">
        <f t="shared" si="10"/>
        <v>0</v>
      </c>
      <c r="E68" s="172">
        <f t="shared" si="10"/>
        <v>0</v>
      </c>
      <c r="F68" s="172">
        <f t="shared" si="10"/>
        <v>0</v>
      </c>
      <c r="G68" s="172">
        <f t="shared" si="10"/>
        <v>0</v>
      </c>
      <c r="H68" s="172">
        <f t="shared" si="10"/>
        <v>0</v>
      </c>
      <c r="I68" s="172">
        <f t="shared" si="10"/>
        <v>0</v>
      </c>
      <c r="J68" s="172">
        <f t="shared" si="10"/>
        <v>0</v>
      </c>
      <c r="K68" s="172">
        <f t="shared" si="10"/>
        <v>0</v>
      </c>
      <c r="L68" s="172">
        <f t="shared" si="10"/>
        <v>8.0000000000000002E-3</v>
      </c>
      <c r="M68" s="172">
        <f t="shared" si="10"/>
        <v>8.0000000000000002E-3</v>
      </c>
      <c r="N68" s="172">
        <f t="shared" si="10"/>
        <v>4.0000000000000001E-3</v>
      </c>
      <c r="O68" s="172">
        <f t="shared" si="10"/>
        <v>0</v>
      </c>
      <c r="P68" s="171">
        <f t="shared" si="4"/>
        <v>0.02</v>
      </c>
      <c r="Q68" s="199">
        <f>+P68</f>
        <v>0.02</v>
      </c>
      <c r="R68" s="198">
        <f t="shared" si="5"/>
        <v>0</v>
      </c>
      <c r="S68" s="194"/>
      <c r="T68" s="194"/>
      <c r="U68" s="194"/>
      <c r="V68" s="194"/>
      <c r="W68" s="194"/>
      <c r="X68" s="194"/>
      <c r="Y68" s="194"/>
      <c r="Z68" s="194"/>
      <c r="AA68" s="194"/>
      <c r="AB68" s="194"/>
      <c r="AC68" s="194"/>
      <c r="AD68" s="194"/>
    </row>
    <row r="69" spans="1:30" ht="15" hidden="1" customHeight="1" x14ac:dyDescent="0.25">
      <c r="A69" s="388"/>
      <c r="B69" s="389"/>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25">
      <c r="A70" s="388"/>
      <c r="B70" s="389"/>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25">
      <c r="A71" s="195"/>
      <c r="B71" s="169"/>
      <c r="C71" s="170"/>
      <c r="D71" s="165">
        <f>D58+D60+D62+D64+D66+D68</f>
        <v>5.2500000000000021E-3</v>
      </c>
      <c r="E71" s="165">
        <f t="shared" ref="E71:O71" si="11">E58+E60+E62+E64+E66+E68</f>
        <v>1.1250000000000005E-2</v>
      </c>
      <c r="F71" s="165">
        <f t="shared" si="11"/>
        <v>1.2900000000000002E-2</v>
      </c>
      <c r="G71" s="165">
        <f t="shared" si="11"/>
        <v>1.2400000000000001E-2</v>
      </c>
      <c r="H71" s="165">
        <f t="shared" si="11"/>
        <v>1.3650000000000002E-2</v>
      </c>
      <c r="I71" s="165">
        <f t="shared" si="11"/>
        <v>1.3650000000000002E-2</v>
      </c>
      <c r="J71" s="165">
        <f t="shared" si="11"/>
        <v>1.3650000000000002E-2</v>
      </c>
      <c r="K71" s="165">
        <f t="shared" si="11"/>
        <v>1.4150000000000003E-2</v>
      </c>
      <c r="L71" s="165">
        <f t="shared" si="11"/>
        <v>2.3150000000000004E-2</v>
      </c>
      <c r="M71" s="165">
        <f t="shared" si="11"/>
        <v>2.2400000000000003E-2</v>
      </c>
      <c r="N71" s="165">
        <f t="shared" si="11"/>
        <v>1.8400000000000003E-2</v>
      </c>
      <c r="O71" s="165">
        <f t="shared" si="11"/>
        <v>0</v>
      </c>
      <c r="P71" s="165">
        <f>P58+P60+P62+P64+P66+P68+P70</f>
        <v>0.16085000000000002</v>
      </c>
      <c r="Q71" s="195"/>
      <c r="R71" s="198">
        <f t="shared" si="5"/>
        <v>0.16085000000000002</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2">D71*$W$17/$B$34</f>
        <v>1.6041666666666673E-2</v>
      </c>
      <c r="E72" s="163">
        <f t="shared" si="12"/>
        <v>3.4375000000000017E-2</v>
      </c>
      <c r="F72" s="163">
        <f t="shared" si="12"/>
        <v>3.9416666666666676E-2</v>
      </c>
      <c r="G72" s="163">
        <f t="shared" si="12"/>
        <v>3.7888888888888896E-2</v>
      </c>
      <c r="H72" s="163">
        <f t="shared" si="12"/>
        <v>4.1708333333333347E-2</v>
      </c>
      <c r="I72" s="163">
        <f t="shared" si="12"/>
        <v>4.1708333333333347E-2</v>
      </c>
      <c r="J72" s="163">
        <f t="shared" si="12"/>
        <v>4.1708333333333347E-2</v>
      </c>
      <c r="K72" s="163">
        <f t="shared" si="12"/>
        <v>4.3236111111111121E-2</v>
      </c>
      <c r="L72" s="163">
        <f t="shared" si="12"/>
        <v>7.0736111111111125E-2</v>
      </c>
      <c r="M72" s="163">
        <f t="shared" si="12"/>
        <v>6.8444444444444461E-2</v>
      </c>
      <c r="N72" s="163">
        <f t="shared" si="12"/>
        <v>5.6222222222222236E-2</v>
      </c>
      <c r="O72" s="163">
        <f t="shared" si="12"/>
        <v>0</v>
      </c>
      <c r="P72" s="162">
        <f>SUM(D72:O72)</f>
        <v>0.49148611111111129</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+D57+D59+D61+D63+D65+D67</f>
        <v>5.2500000000000021E-3</v>
      </c>
      <c r="E74" s="165">
        <f t="shared" ref="E74:O74" si="13">+E57+E59+E61+E63+E65+E67</f>
        <v>1.1250000000000005E-2</v>
      </c>
      <c r="F74" s="165">
        <f t="shared" si="13"/>
        <v>1.2900000000000002E-2</v>
      </c>
      <c r="G74" s="165">
        <f t="shared" si="13"/>
        <v>1.3400000000000002E-2</v>
      </c>
      <c r="H74" s="165">
        <f t="shared" si="13"/>
        <v>1.4650000000000003E-2</v>
      </c>
      <c r="I74" s="165">
        <f t="shared" si="13"/>
        <v>1.4650000000000003E-2</v>
      </c>
      <c r="J74" s="165">
        <f t="shared" si="13"/>
        <v>1.4650000000000003E-2</v>
      </c>
      <c r="K74" s="165">
        <f t="shared" si="13"/>
        <v>1.4650000000000003E-2</v>
      </c>
      <c r="L74" s="165">
        <f t="shared" si="13"/>
        <v>2.2650000000000003E-2</v>
      </c>
      <c r="M74" s="165">
        <f t="shared" si="13"/>
        <v>2.2650000000000003E-2</v>
      </c>
      <c r="N74" s="165">
        <f t="shared" si="13"/>
        <v>1.8650000000000003E-2</v>
      </c>
      <c r="O74" s="165">
        <f t="shared" si="13"/>
        <v>1.4650000000000003E-2</v>
      </c>
      <c r="P74" s="165">
        <f>SUM(D74:O74)</f>
        <v>0.18000000000000002</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D74*$W$17/$B$34</f>
        <v>1.6041666666666673E-2</v>
      </c>
      <c r="E75" s="163">
        <f t="shared" ref="E75:O75" si="14">E74*$W$17/$B$34</f>
        <v>3.4375000000000017E-2</v>
      </c>
      <c r="F75" s="163">
        <f t="shared" si="14"/>
        <v>3.9416666666666676E-2</v>
      </c>
      <c r="G75" s="163">
        <f t="shared" si="14"/>
        <v>4.0944444444444457E-2</v>
      </c>
      <c r="H75" s="163">
        <f t="shared" si="14"/>
        <v>4.4763888888888902E-2</v>
      </c>
      <c r="I75" s="163">
        <f t="shared" si="14"/>
        <v>4.4763888888888902E-2</v>
      </c>
      <c r="J75" s="163">
        <f t="shared" si="14"/>
        <v>4.4763888888888902E-2</v>
      </c>
      <c r="K75" s="163">
        <f t="shared" si="14"/>
        <v>4.4763888888888902E-2</v>
      </c>
      <c r="L75" s="163">
        <f t="shared" si="14"/>
        <v>6.9208333333333358E-2</v>
      </c>
      <c r="M75" s="163">
        <f t="shared" si="14"/>
        <v>6.9208333333333358E-2</v>
      </c>
      <c r="N75" s="163">
        <f t="shared" si="14"/>
        <v>5.6986111111111126E-2</v>
      </c>
      <c r="O75" s="163">
        <f t="shared" si="14"/>
        <v>4.4763888888888902E-2</v>
      </c>
      <c r="P75" s="162">
        <f>SUM(D75:O75)</f>
        <v>0.55000000000000016</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05">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T34:V35"/>
    <mergeCell ref="D32:P32"/>
    <mergeCell ref="Q32:AD32"/>
    <mergeCell ref="W33:Z33"/>
    <mergeCell ref="AA33:AD33"/>
    <mergeCell ref="Q33:S33"/>
    <mergeCell ref="T33:V33"/>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s>
  <phoneticPr fontId="66" type="noConversion"/>
  <dataValidations count="4">
    <dataValidation type="textLength" operator="lessThanOrEqual" allowBlank="1" showInputMessage="1" showErrorMessage="1" errorTitle="Máximo 2.000 caracteres" error="Máximo 2.000 caracteres" sqref="Q38:AD43 AA34 Q34 W34 Q48:AD49"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45 T34:V35 Q46:AD47" xr:uid="{00000000-0002-0000-0000-000003000000}">
      <formula1>20000</formula1>
    </dataValidation>
  </dataValidations>
  <printOptions horizontalCentered="1"/>
  <pageMargins left="0.39370078740157483" right="0.39370078740157483" top="0.39370078740157483" bottom="0.39370078740157483" header="0" footer="0"/>
  <pageSetup paperSize="9" scale="1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A34" zoomScale="60" zoomScaleNormal="60" workbookViewId="0">
      <selection activeCell="BI1" sqref="BI1:BK1"/>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7109375" style="108" customWidth="1"/>
    <col min="31" max="31" width="11.28515625" style="108" customWidth="1"/>
    <col min="32" max="32" width="2.28515625" style="108" customWidth="1"/>
    <col min="33" max="33" width="19.42578125" style="108" customWidth="1"/>
    <col min="34" max="51" width="11.28515625" style="108" customWidth="1"/>
    <col min="52" max="63" width="8.7109375" style="108" customWidth="1"/>
    <col min="64" max="16384" width="19.42578125" style="108"/>
  </cols>
  <sheetData>
    <row r="1" spans="1:63" ht="15.75" customHeight="1" x14ac:dyDescent="0.25">
      <c r="A1" s="1028" t="s">
        <v>0</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1028"/>
      <c r="AQ1" s="1028"/>
      <c r="AR1" s="1028"/>
      <c r="AS1" s="1028"/>
      <c r="AT1" s="1028"/>
      <c r="AU1" s="1028"/>
      <c r="AV1" s="1028"/>
      <c r="AW1" s="1028"/>
      <c r="AX1" s="1028"/>
      <c r="AY1" s="1028"/>
      <c r="AZ1" s="1028"/>
      <c r="BA1" s="1028"/>
      <c r="BB1" s="1028"/>
      <c r="BC1" s="1028"/>
      <c r="BD1" s="1028"/>
      <c r="BE1" s="1028"/>
      <c r="BF1" s="1028"/>
      <c r="BG1" s="1028"/>
      <c r="BH1" s="1028"/>
      <c r="BI1" s="1029" t="s">
        <v>91</v>
      </c>
      <c r="BJ1" s="1029"/>
      <c r="BK1" s="1029"/>
    </row>
    <row r="2" spans="1:63" ht="15.75" customHeight="1" x14ac:dyDescent="0.25">
      <c r="A2" s="1028" t="s">
        <v>2</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c r="BD2" s="1028"/>
      <c r="BE2" s="1028"/>
      <c r="BF2" s="1028"/>
      <c r="BG2" s="1028"/>
      <c r="BH2" s="1028"/>
      <c r="BI2" s="1029" t="s">
        <v>3</v>
      </c>
      <c r="BJ2" s="1029"/>
      <c r="BK2" s="1029"/>
    </row>
    <row r="3" spans="1:63" ht="25.9" customHeight="1" x14ac:dyDescent="0.25">
      <c r="A3" s="1028" t="s">
        <v>247</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c r="AN3" s="1028"/>
      <c r="AO3" s="1028"/>
      <c r="AP3" s="1028"/>
      <c r="AQ3" s="1028"/>
      <c r="AR3" s="1028"/>
      <c r="AS3" s="1028"/>
      <c r="AT3" s="1028"/>
      <c r="AU3" s="1028"/>
      <c r="AV3" s="1028"/>
      <c r="AW3" s="1028"/>
      <c r="AX3" s="1028"/>
      <c r="AY3" s="1028"/>
      <c r="AZ3" s="1028"/>
      <c r="BA3" s="1028"/>
      <c r="BB3" s="1028"/>
      <c r="BC3" s="1028"/>
      <c r="BD3" s="1028"/>
      <c r="BE3" s="1028"/>
      <c r="BF3" s="1028"/>
      <c r="BG3" s="1028"/>
      <c r="BH3" s="1028"/>
      <c r="BI3" s="1029" t="s">
        <v>5</v>
      </c>
      <c r="BJ3" s="1029"/>
      <c r="BK3" s="1029"/>
    </row>
    <row r="4" spans="1:63" ht="15.75" customHeight="1" x14ac:dyDescent="0.25">
      <c r="A4" s="1028" t="s">
        <v>248</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1028"/>
      <c r="BA4" s="1028"/>
      <c r="BB4" s="1028"/>
      <c r="BC4" s="1028"/>
      <c r="BD4" s="1028"/>
      <c r="BE4" s="1028"/>
      <c r="BF4" s="1028"/>
      <c r="BG4" s="1028"/>
      <c r="BH4" s="1028"/>
      <c r="BI4" s="1025" t="s">
        <v>249</v>
      </c>
      <c r="BJ4" s="1026"/>
      <c r="BK4" s="1027"/>
    </row>
    <row r="5" spans="1:63" ht="25.9" customHeight="1" x14ac:dyDescent="0.25">
      <c r="A5" s="1022" t="s">
        <v>250</v>
      </c>
      <c r="B5" s="1022"/>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200"/>
      <c r="AG5" s="1022" t="s">
        <v>251</v>
      </c>
      <c r="AH5" s="1022"/>
      <c r="AI5" s="1022"/>
      <c r="AJ5" s="1022"/>
      <c r="AK5" s="1022"/>
      <c r="AL5" s="1022"/>
      <c r="AM5" s="1022"/>
      <c r="AN5" s="1022"/>
      <c r="AO5" s="1022"/>
      <c r="AP5" s="1022"/>
      <c r="AQ5" s="1022"/>
      <c r="AR5" s="1022"/>
      <c r="AS5" s="1022"/>
      <c r="AT5" s="1022"/>
      <c r="AU5" s="1022"/>
      <c r="AV5" s="1022"/>
      <c r="AW5" s="1022"/>
      <c r="AX5" s="1022"/>
      <c r="AY5" s="1022"/>
      <c r="AZ5" s="1022"/>
      <c r="BA5" s="1022"/>
      <c r="BB5" s="1022"/>
      <c r="BC5" s="1022"/>
      <c r="BD5" s="1022"/>
      <c r="BE5" s="1022"/>
      <c r="BF5" s="1022"/>
      <c r="BG5" s="1022"/>
      <c r="BH5" s="1022"/>
      <c r="BI5" s="1023"/>
      <c r="BJ5" s="1023"/>
      <c r="BK5" s="1023"/>
    </row>
    <row r="6" spans="1:63" ht="31.5" customHeight="1" x14ac:dyDescent="0.25">
      <c r="A6" s="201" t="s">
        <v>252</v>
      </c>
      <c r="B6" s="1024"/>
      <c r="C6" s="1024"/>
      <c r="D6" s="1024"/>
      <c r="E6" s="1024"/>
      <c r="F6" s="1024"/>
      <c r="G6" s="1024"/>
      <c r="H6" s="1024"/>
      <c r="I6" s="1024"/>
      <c r="J6" s="1024"/>
      <c r="K6" s="1024"/>
      <c r="L6" s="1024"/>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024"/>
      <c r="AT6" s="1024"/>
      <c r="AU6" s="1024"/>
      <c r="AV6" s="1024"/>
      <c r="AW6" s="1024"/>
      <c r="AX6" s="1024"/>
      <c r="AY6" s="1024"/>
      <c r="AZ6" s="1024"/>
      <c r="BA6" s="1024"/>
      <c r="BB6" s="1024"/>
      <c r="BC6" s="1024"/>
      <c r="BD6" s="1024"/>
      <c r="BE6" s="1024"/>
      <c r="BF6" s="1024"/>
      <c r="BG6" s="1024"/>
      <c r="BH6" s="1024"/>
      <c r="BI6" s="1024"/>
      <c r="BJ6" s="1024"/>
      <c r="BK6" s="1024"/>
    </row>
    <row r="7" spans="1:63" ht="31.5" customHeight="1" x14ac:dyDescent="0.25">
      <c r="A7" s="202" t="s">
        <v>253</v>
      </c>
      <c r="B7" s="1017"/>
      <c r="C7" s="1019"/>
      <c r="D7" s="1019"/>
      <c r="E7" s="1019"/>
      <c r="F7" s="1019"/>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19"/>
      <c r="AZ7" s="1019"/>
      <c r="BA7" s="1019"/>
      <c r="BB7" s="1019"/>
      <c r="BC7" s="1019"/>
      <c r="BD7" s="1019"/>
      <c r="BE7" s="1019"/>
      <c r="BF7" s="1019"/>
      <c r="BG7" s="1019"/>
      <c r="BH7" s="1019"/>
      <c r="BI7" s="1019"/>
      <c r="BJ7" s="1019"/>
      <c r="BK7" s="1018"/>
    </row>
    <row r="8" spans="1:63" ht="18.75" customHeight="1" x14ac:dyDescent="0.25">
      <c r="A8" s="203"/>
      <c r="B8" s="203"/>
      <c r="C8" s="203"/>
      <c r="D8" s="203"/>
      <c r="E8" s="203"/>
      <c r="F8" s="203"/>
      <c r="G8" s="203"/>
      <c r="H8" s="203"/>
      <c r="I8" s="203"/>
      <c r="J8" s="203"/>
      <c r="K8" s="204"/>
      <c r="L8" s="204"/>
      <c r="M8" s="204"/>
      <c r="N8" s="204"/>
      <c r="O8" s="204"/>
      <c r="P8" s="204"/>
      <c r="Q8" s="204"/>
      <c r="R8" s="204"/>
      <c r="S8" s="204"/>
      <c r="T8" s="204"/>
      <c r="U8" s="204"/>
      <c r="V8" s="204"/>
      <c r="W8" s="204"/>
      <c r="X8" s="204"/>
      <c r="Y8" s="204"/>
      <c r="Z8" s="204"/>
      <c r="AA8" s="204"/>
      <c r="AB8" s="204"/>
      <c r="AC8" s="204"/>
      <c r="AD8" s="204"/>
      <c r="AE8" s="204"/>
      <c r="AF8" s="200"/>
      <c r="AG8" s="203"/>
      <c r="AH8" s="204"/>
      <c r="AI8" s="204"/>
      <c r="AJ8" s="204"/>
      <c r="AK8" s="204"/>
      <c r="AL8" s="204"/>
      <c r="AM8" s="204"/>
      <c r="AN8" s="204"/>
      <c r="AO8" s="204"/>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1:63" ht="30" customHeight="1" x14ac:dyDescent="0.25">
      <c r="A9" s="1020" t="s">
        <v>254</v>
      </c>
      <c r="B9" s="205" t="s">
        <v>30</v>
      </c>
      <c r="C9" s="205" t="s">
        <v>31</v>
      </c>
      <c r="D9" s="1017" t="s">
        <v>32</v>
      </c>
      <c r="E9" s="1018"/>
      <c r="F9" s="205" t="s">
        <v>33</v>
      </c>
      <c r="G9" s="205" t="s">
        <v>34</v>
      </c>
      <c r="H9" s="1017" t="s">
        <v>35</v>
      </c>
      <c r="I9" s="1018"/>
      <c r="J9" s="205" t="s">
        <v>36</v>
      </c>
      <c r="K9" s="205" t="s">
        <v>37</v>
      </c>
      <c r="L9" s="1017" t="s">
        <v>8</v>
      </c>
      <c r="M9" s="1018"/>
      <c r="N9" s="205" t="s">
        <v>38</v>
      </c>
      <c r="O9" s="205" t="s">
        <v>39</v>
      </c>
      <c r="P9" s="1017" t="s">
        <v>40</v>
      </c>
      <c r="Q9" s="1018"/>
      <c r="R9" s="1017" t="s">
        <v>255</v>
      </c>
      <c r="S9" s="1018"/>
      <c r="T9" s="1017" t="s">
        <v>256</v>
      </c>
      <c r="U9" s="1019"/>
      <c r="V9" s="1019"/>
      <c r="W9" s="1019"/>
      <c r="X9" s="1019"/>
      <c r="Y9" s="1018"/>
      <c r="Z9" s="1017" t="s">
        <v>257</v>
      </c>
      <c r="AA9" s="1019"/>
      <c r="AB9" s="1019"/>
      <c r="AC9" s="1019"/>
      <c r="AD9" s="1019"/>
      <c r="AE9" s="1018"/>
      <c r="AF9" s="200"/>
      <c r="AG9" s="1020" t="s">
        <v>254</v>
      </c>
      <c r="AH9" s="205" t="s">
        <v>30</v>
      </c>
      <c r="AI9" s="205" t="s">
        <v>31</v>
      </c>
      <c r="AJ9" s="1017" t="s">
        <v>32</v>
      </c>
      <c r="AK9" s="1018"/>
      <c r="AL9" s="205" t="s">
        <v>33</v>
      </c>
      <c r="AM9" s="205" t="s">
        <v>34</v>
      </c>
      <c r="AN9" s="1017" t="s">
        <v>35</v>
      </c>
      <c r="AO9" s="1018"/>
      <c r="AP9" s="205" t="s">
        <v>36</v>
      </c>
      <c r="AQ9" s="205" t="s">
        <v>37</v>
      </c>
      <c r="AR9" s="1017" t="s">
        <v>8</v>
      </c>
      <c r="AS9" s="1018"/>
      <c r="AT9" s="205" t="s">
        <v>38</v>
      </c>
      <c r="AU9" s="205" t="s">
        <v>39</v>
      </c>
      <c r="AV9" s="1017" t="s">
        <v>40</v>
      </c>
      <c r="AW9" s="1018"/>
      <c r="AX9" s="1017" t="s">
        <v>255</v>
      </c>
      <c r="AY9" s="1018"/>
      <c r="AZ9" s="1017" t="s">
        <v>256</v>
      </c>
      <c r="BA9" s="1019"/>
      <c r="BB9" s="1019"/>
      <c r="BC9" s="1019"/>
      <c r="BD9" s="1019"/>
      <c r="BE9" s="1018"/>
      <c r="BF9" s="1017" t="s">
        <v>257</v>
      </c>
      <c r="BG9" s="1019"/>
      <c r="BH9" s="1019"/>
      <c r="BI9" s="1019"/>
      <c r="BJ9" s="1019"/>
      <c r="BK9" s="1018"/>
    </row>
    <row r="10" spans="1:63" ht="36" customHeight="1" x14ac:dyDescent="0.25">
      <c r="A10" s="1021"/>
      <c r="B10" s="206" t="s">
        <v>258</v>
      </c>
      <c r="C10" s="206" t="s">
        <v>258</v>
      </c>
      <c r="D10" s="206" t="s">
        <v>258</v>
      </c>
      <c r="E10" s="206" t="s">
        <v>259</v>
      </c>
      <c r="F10" s="206" t="s">
        <v>258</v>
      </c>
      <c r="G10" s="206" t="s">
        <v>258</v>
      </c>
      <c r="H10" s="206" t="s">
        <v>258</v>
      </c>
      <c r="I10" s="206" t="s">
        <v>259</v>
      </c>
      <c r="J10" s="206" t="s">
        <v>258</v>
      </c>
      <c r="K10" s="206" t="s">
        <v>258</v>
      </c>
      <c r="L10" s="206" t="s">
        <v>258</v>
      </c>
      <c r="M10" s="206" t="s">
        <v>259</v>
      </c>
      <c r="N10" s="206" t="s">
        <v>258</v>
      </c>
      <c r="O10" s="206" t="s">
        <v>258</v>
      </c>
      <c r="P10" s="206" t="s">
        <v>258</v>
      </c>
      <c r="Q10" s="206" t="s">
        <v>259</v>
      </c>
      <c r="R10" s="206" t="s">
        <v>258</v>
      </c>
      <c r="S10" s="206" t="s">
        <v>259</v>
      </c>
      <c r="T10" s="207" t="s">
        <v>260</v>
      </c>
      <c r="U10" s="207" t="s">
        <v>261</v>
      </c>
      <c r="V10" s="207" t="s">
        <v>262</v>
      </c>
      <c r="W10" s="207" t="s">
        <v>263</v>
      </c>
      <c r="X10" s="208" t="s">
        <v>264</v>
      </c>
      <c r="Y10" s="207" t="s">
        <v>265</v>
      </c>
      <c r="Z10" s="206" t="s">
        <v>266</v>
      </c>
      <c r="AA10" s="209" t="s">
        <v>267</v>
      </c>
      <c r="AB10" s="206" t="s">
        <v>268</v>
      </c>
      <c r="AC10" s="206" t="s">
        <v>269</v>
      </c>
      <c r="AD10" s="206" t="s">
        <v>270</v>
      </c>
      <c r="AE10" s="206" t="s">
        <v>271</v>
      </c>
      <c r="AF10" s="200"/>
      <c r="AG10" s="1021"/>
      <c r="AH10" s="206" t="s">
        <v>258</v>
      </c>
      <c r="AI10" s="206" t="s">
        <v>258</v>
      </c>
      <c r="AJ10" s="206" t="s">
        <v>258</v>
      </c>
      <c r="AK10" s="206" t="s">
        <v>259</v>
      </c>
      <c r="AL10" s="206" t="s">
        <v>258</v>
      </c>
      <c r="AM10" s="206" t="s">
        <v>258</v>
      </c>
      <c r="AN10" s="206" t="s">
        <v>258</v>
      </c>
      <c r="AO10" s="206" t="s">
        <v>259</v>
      </c>
      <c r="AP10" s="206" t="s">
        <v>258</v>
      </c>
      <c r="AQ10" s="206" t="s">
        <v>258</v>
      </c>
      <c r="AR10" s="206" t="s">
        <v>258</v>
      </c>
      <c r="AS10" s="206" t="s">
        <v>259</v>
      </c>
      <c r="AT10" s="206" t="s">
        <v>258</v>
      </c>
      <c r="AU10" s="206" t="s">
        <v>258</v>
      </c>
      <c r="AV10" s="206" t="s">
        <v>258</v>
      </c>
      <c r="AW10" s="206" t="s">
        <v>259</v>
      </c>
      <c r="AX10" s="206" t="s">
        <v>258</v>
      </c>
      <c r="AY10" s="206" t="s">
        <v>259</v>
      </c>
      <c r="AZ10" s="207" t="s">
        <v>260</v>
      </c>
      <c r="BA10" s="207" t="s">
        <v>261</v>
      </c>
      <c r="BB10" s="207" t="s">
        <v>262</v>
      </c>
      <c r="BC10" s="207" t="s">
        <v>263</v>
      </c>
      <c r="BD10" s="208" t="s">
        <v>264</v>
      </c>
      <c r="BE10" s="207" t="s">
        <v>265</v>
      </c>
      <c r="BF10" s="206" t="s">
        <v>266</v>
      </c>
      <c r="BG10" s="209" t="s">
        <v>267</v>
      </c>
      <c r="BH10" s="206" t="s">
        <v>268</v>
      </c>
      <c r="BI10" s="206" t="s">
        <v>269</v>
      </c>
      <c r="BJ10" s="206" t="s">
        <v>270</v>
      </c>
      <c r="BK10" s="206" t="s">
        <v>271</v>
      </c>
    </row>
    <row r="11" spans="1:63" ht="18.75" x14ac:dyDescent="0.25">
      <c r="A11" s="210" t="s">
        <v>272</v>
      </c>
      <c r="B11" s="210"/>
      <c r="C11" s="210"/>
      <c r="D11" s="210"/>
      <c r="E11" s="211"/>
      <c r="F11" s="210"/>
      <c r="G11" s="210"/>
      <c r="H11" s="210"/>
      <c r="I11" s="211"/>
      <c r="J11" s="210"/>
      <c r="K11" s="210"/>
      <c r="L11" s="210"/>
      <c r="M11" s="211"/>
      <c r="N11" s="210"/>
      <c r="O11" s="210"/>
      <c r="P11" s="210"/>
      <c r="Q11" s="211"/>
      <c r="R11" s="212">
        <f t="shared" ref="R11:R31" si="0">B11+C11+D11+F11+G11+H11+J11+K11+L11+N11+O11+P11</f>
        <v>0</v>
      </c>
      <c r="S11" s="213">
        <f>+E11+I11+M11+Q11</f>
        <v>0</v>
      </c>
      <c r="T11" s="214"/>
      <c r="U11" s="214"/>
      <c r="V11" s="214"/>
      <c r="W11" s="214"/>
      <c r="X11" s="214"/>
      <c r="Y11" s="215"/>
      <c r="Z11" s="215"/>
      <c r="AA11" s="215"/>
      <c r="AB11" s="215"/>
      <c r="AC11" s="215"/>
      <c r="AD11" s="215"/>
      <c r="AE11" s="216"/>
      <c r="AF11" s="200"/>
      <c r="AG11" s="210" t="s">
        <v>272</v>
      </c>
      <c r="AH11" s="210"/>
      <c r="AI11" s="210"/>
      <c r="AJ11" s="210"/>
      <c r="AK11" s="211"/>
      <c r="AL11" s="210"/>
      <c r="AM11" s="210"/>
      <c r="AN11" s="210"/>
      <c r="AO11" s="211"/>
      <c r="AP11" s="210"/>
      <c r="AQ11" s="210"/>
      <c r="AR11" s="210"/>
      <c r="AS11" s="211"/>
      <c r="AT11" s="210"/>
      <c r="AU11" s="210"/>
      <c r="AV11" s="210"/>
      <c r="AW11" s="211"/>
      <c r="AX11" s="212">
        <f t="shared" ref="AX11:AX31" si="1">AH11+AI11+AJ11+AL11+AM11+AN11+AP11+AQ11+AR11+AT11+AU11+AV11</f>
        <v>0</v>
      </c>
      <c r="AY11" s="213">
        <f>+AK11+AO11+AS11+AW11</f>
        <v>0</v>
      </c>
      <c r="AZ11" s="215"/>
      <c r="BA11" s="215"/>
      <c r="BB11" s="215"/>
      <c r="BC11" s="215"/>
      <c r="BD11" s="215"/>
      <c r="BE11" s="215"/>
      <c r="BF11" s="215"/>
      <c r="BG11" s="215"/>
      <c r="BH11" s="215"/>
      <c r="BI11" s="215"/>
      <c r="BJ11" s="215"/>
      <c r="BK11" s="216"/>
    </row>
    <row r="12" spans="1:63" ht="18.75" x14ac:dyDescent="0.25">
      <c r="A12" s="210" t="s">
        <v>273</v>
      </c>
      <c r="B12" s="210"/>
      <c r="C12" s="210"/>
      <c r="D12" s="210"/>
      <c r="E12" s="211"/>
      <c r="F12" s="210"/>
      <c r="G12" s="210"/>
      <c r="H12" s="210"/>
      <c r="I12" s="211"/>
      <c r="J12" s="210"/>
      <c r="K12" s="210"/>
      <c r="L12" s="210"/>
      <c r="M12" s="211"/>
      <c r="N12" s="210"/>
      <c r="O12" s="210"/>
      <c r="P12" s="210"/>
      <c r="Q12" s="211"/>
      <c r="R12" s="212">
        <f t="shared" si="0"/>
        <v>0</v>
      </c>
      <c r="S12" s="213">
        <f t="shared" ref="S12:S31" si="2">+E12+I12+M12+Q12</f>
        <v>0</v>
      </c>
      <c r="T12" s="214"/>
      <c r="U12" s="214"/>
      <c r="V12" s="214"/>
      <c r="W12" s="214"/>
      <c r="X12" s="214"/>
      <c r="Y12" s="215"/>
      <c r="Z12" s="215"/>
      <c r="AA12" s="215"/>
      <c r="AB12" s="215"/>
      <c r="AC12" s="215"/>
      <c r="AD12" s="215"/>
      <c r="AE12" s="215"/>
      <c r="AF12" s="200"/>
      <c r="AG12" s="210" t="s">
        <v>273</v>
      </c>
      <c r="AH12" s="210"/>
      <c r="AI12" s="210"/>
      <c r="AJ12" s="210"/>
      <c r="AK12" s="211"/>
      <c r="AL12" s="210"/>
      <c r="AM12" s="210"/>
      <c r="AN12" s="210"/>
      <c r="AO12" s="211"/>
      <c r="AP12" s="210"/>
      <c r="AQ12" s="210"/>
      <c r="AR12" s="210"/>
      <c r="AS12" s="211"/>
      <c r="AT12" s="210"/>
      <c r="AU12" s="210"/>
      <c r="AV12" s="210"/>
      <c r="AW12" s="211"/>
      <c r="AX12" s="212">
        <f t="shared" si="1"/>
        <v>0</v>
      </c>
      <c r="AY12" s="213">
        <f t="shared" ref="AY12:AY31" si="3">+AK12+AO12+AS12+AW12</f>
        <v>0</v>
      </c>
      <c r="AZ12" s="215"/>
      <c r="BA12" s="215"/>
      <c r="BB12" s="215"/>
      <c r="BC12" s="215"/>
      <c r="BD12" s="215"/>
      <c r="BE12" s="215"/>
      <c r="BF12" s="215"/>
      <c r="BG12" s="215"/>
      <c r="BH12" s="215"/>
      <c r="BI12" s="215"/>
      <c r="BJ12" s="215"/>
      <c r="BK12" s="215"/>
    </row>
    <row r="13" spans="1:63" ht="18.75" x14ac:dyDescent="0.25">
      <c r="A13" s="210" t="s">
        <v>274</v>
      </c>
      <c r="B13" s="210"/>
      <c r="C13" s="210"/>
      <c r="D13" s="210"/>
      <c r="E13" s="211"/>
      <c r="F13" s="210"/>
      <c r="G13" s="210"/>
      <c r="H13" s="210"/>
      <c r="I13" s="211"/>
      <c r="J13" s="210"/>
      <c r="K13" s="210"/>
      <c r="L13" s="210"/>
      <c r="M13" s="211"/>
      <c r="N13" s="210"/>
      <c r="O13" s="210"/>
      <c r="P13" s="210"/>
      <c r="Q13" s="211"/>
      <c r="R13" s="212">
        <f t="shared" si="0"/>
        <v>0</v>
      </c>
      <c r="S13" s="213">
        <f t="shared" si="2"/>
        <v>0</v>
      </c>
      <c r="T13" s="214"/>
      <c r="U13" s="214"/>
      <c r="V13" s="214"/>
      <c r="W13" s="214"/>
      <c r="X13" s="214"/>
      <c r="Y13" s="215"/>
      <c r="Z13" s="215"/>
      <c r="AA13" s="215"/>
      <c r="AB13" s="215"/>
      <c r="AC13" s="215"/>
      <c r="AD13" s="215"/>
      <c r="AE13" s="215"/>
      <c r="AF13" s="200"/>
      <c r="AG13" s="210" t="s">
        <v>274</v>
      </c>
      <c r="AH13" s="210"/>
      <c r="AI13" s="210"/>
      <c r="AJ13" s="210"/>
      <c r="AK13" s="211"/>
      <c r="AL13" s="210"/>
      <c r="AM13" s="210"/>
      <c r="AN13" s="210"/>
      <c r="AO13" s="211"/>
      <c r="AP13" s="210"/>
      <c r="AQ13" s="210"/>
      <c r="AR13" s="210"/>
      <c r="AS13" s="211"/>
      <c r="AT13" s="210"/>
      <c r="AU13" s="210"/>
      <c r="AV13" s="210"/>
      <c r="AW13" s="211"/>
      <c r="AX13" s="212">
        <f t="shared" si="1"/>
        <v>0</v>
      </c>
      <c r="AY13" s="213">
        <f t="shared" si="3"/>
        <v>0</v>
      </c>
      <c r="AZ13" s="215"/>
      <c r="BA13" s="215"/>
      <c r="BB13" s="215"/>
      <c r="BC13" s="215"/>
      <c r="BD13" s="215"/>
      <c r="BE13" s="215"/>
      <c r="BF13" s="215"/>
      <c r="BG13" s="215"/>
      <c r="BH13" s="215"/>
      <c r="BI13" s="215"/>
      <c r="BJ13" s="215"/>
      <c r="BK13" s="215"/>
    </row>
    <row r="14" spans="1:63" ht="18.75" x14ac:dyDescent="0.25">
      <c r="A14" s="210" t="s">
        <v>275</v>
      </c>
      <c r="B14" s="210"/>
      <c r="C14" s="210"/>
      <c r="D14" s="210"/>
      <c r="E14" s="211"/>
      <c r="F14" s="210"/>
      <c r="G14" s="210"/>
      <c r="H14" s="210"/>
      <c r="I14" s="211"/>
      <c r="J14" s="210"/>
      <c r="K14" s="210"/>
      <c r="L14" s="210"/>
      <c r="M14" s="211"/>
      <c r="N14" s="210"/>
      <c r="O14" s="210"/>
      <c r="P14" s="210"/>
      <c r="Q14" s="211"/>
      <c r="R14" s="212">
        <f t="shared" si="0"/>
        <v>0</v>
      </c>
      <c r="S14" s="213">
        <f t="shared" si="2"/>
        <v>0</v>
      </c>
      <c r="T14" s="214"/>
      <c r="U14" s="214"/>
      <c r="V14" s="214"/>
      <c r="W14" s="214"/>
      <c r="X14" s="214"/>
      <c r="Y14" s="215"/>
      <c r="Z14" s="215"/>
      <c r="AA14" s="215"/>
      <c r="AB14" s="215"/>
      <c r="AC14" s="215"/>
      <c r="AD14" s="215"/>
      <c r="AE14" s="215"/>
      <c r="AF14" s="200"/>
      <c r="AG14" s="210" t="s">
        <v>275</v>
      </c>
      <c r="AH14" s="210"/>
      <c r="AI14" s="210"/>
      <c r="AJ14" s="210"/>
      <c r="AK14" s="211"/>
      <c r="AL14" s="210"/>
      <c r="AM14" s="210"/>
      <c r="AN14" s="210"/>
      <c r="AO14" s="211"/>
      <c r="AP14" s="210"/>
      <c r="AQ14" s="210"/>
      <c r="AR14" s="210"/>
      <c r="AS14" s="211"/>
      <c r="AT14" s="210"/>
      <c r="AU14" s="210"/>
      <c r="AV14" s="210"/>
      <c r="AW14" s="211"/>
      <c r="AX14" s="212">
        <f t="shared" si="1"/>
        <v>0</v>
      </c>
      <c r="AY14" s="213">
        <f t="shared" si="3"/>
        <v>0</v>
      </c>
      <c r="AZ14" s="215"/>
      <c r="BA14" s="215"/>
      <c r="BB14" s="215"/>
      <c r="BC14" s="215"/>
      <c r="BD14" s="215"/>
      <c r="BE14" s="215"/>
      <c r="BF14" s="215"/>
      <c r="BG14" s="215"/>
      <c r="BH14" s="215"/>
      <c r="BI14" s="215"/>
      <c r="BJ14" s="215"/>
      <c r="BK14" s="215"/>
    </row>
    <row r="15" spans="1:63" ht="18.75" x14ac:dyDescent="0.25">
      <c r="A15" s="210" t="s">
        <v>276</v>
      </c>
      <c r="B15" s="210"/>
      <c r="C15" s="210"/>
      <c r="D15" s="210"/>
      <c r="E15" s="211"/>
      <c r="F15" s="210"/>
      <c r="G15" s="210"/>
      <c r="H15" s="210"/>
      <c r="I15" s="211"/>
      <c r="J15" s="210"/>
      <c r="K15" s="210"/>
      <c r="L15" s="210"/>
      <c r="M15" s="211"/>
      <c r="N15" s="210"/>
      <c r="O15" s="210"/>
      <c r="P15" s="210"/>
      <c r="Q15" s="211"/>
      <c r="R15" s="212">
        <f t="shared" si="0"/>
        <v>0</v>
      </c>
      <c r="S15" s="213">
        <f t="shared" si="2"/>
        <v>0</v>
      </c>
      <c r="T15" s="214"/>
      <c r="U15" s="214"/>
      <c r="V15" s="214"/>
      <c r="W15" s="214"/>
      <c r="X15" s="214"/>
      <c r="Y15" s="215"/>
      <c r="Z15" s="215"/>
      <c r="AA15" s="215"/>
      <c r="AB15" s="215"/>
      <c r="AC15" s="215"/>
      <c r="AD15" s="215"/>
      <c r="AE15" s="215"/>
      <c r="AF15" s="200"/>
      <c r="AG15" s="210" t="s">
        <v>276</v>
      </c>
      <c r="AH15" s="210"/>
      <c r="AI15" s="210"/>
      <c r="AJ15" s="210"/>
      <c r="AK15" s="211"/>
      <c r="AL15" s="210"/>
      <c r="AM15" s="210"/>
      <c r="AN15" s="210"/>
      <c r="AO15" s="211"/>
      <c r="AP15" s="210"/>
      <c r="AQ15" s="210"/>
      <c r="AR15" s="210"/>
      <c r="AS15" s="211"/>
      <c r="AT15" s="210"/>
      <c r="AU15" s="210"/>
      <c r="AV15" s="210"/>
      <c r="AW15" s="211"/>
      <c r="AX15" s="212">
        <f t="shared" si="1"/>
        <v>0</v>
      </c>
      <c r="AY15" s="213">
        <f t="shared" si="3"/>
        <v>0</v>
      </c>
      <c r="AZ15" s="215"/>
      <c r="BA15" s="215"/>
      <c r="BB15" s="215"/>
      <c r="BC15" s="215"/>
      <c r="BD15" s="215"/>
      <c r="BE15" s="215"/>
      <c r="BF15" s="215"/>
      <c r="BG15" s="215"/>
      <c r="BH15" s="215"/>
      <c r="BI15" s="215"/>
      <c r="BJ15" s="215"/>
      <c r="BK15" s="215"/>
    </row>
    <row r="16" spans="1:63" ht="18.75" x14ac:dyDescent="0.25">
      <c r="A16" s="210" t="s">
        <v>277</v>
      </c>
      <c r="B16" s="210"/>
      <c r="C16" s="210"/>
      <c r="D16" s="210"/>
      <c r="E16" s="211"/>
      <c r="F16" s="210"/>
      <c r="G16" s="210"/>
      <c r="H16" s="210"/>
      <c r="I16" s="211"/>
      <c r="J16" s="210"/>
      <c r="K16" s="210"/>
      <c r="L16" s="210"/>
      <c r="M16" s="211"/>
      <c r="N16" s="210"/>
      <c r="O16" s="210"/>
      <c r="P16" s="210"/>
      <c r="Q16" s="211"/>
      <c r="R16" s="212">
        <f t="shared" si="0"/>
        <v>0</v>
      </c>
      <c r="S16" s="213">
        <f t="shared" si="2"/>
        <v>0</v>
      </c>
      <c r="T16" s="214"/>
      <c r="U16" s="214"/>
      <c r="V16" s="214"/>
      <c r="W16" s="214"/>
      <c r="X16" s="214"/>
      <c r="Y16" s="215"/>
      <c r="Z16" s="215"/>
      <c r="AA16" s="215"/>
      <c r="AB16" s="215"/>
      <c r="AC16" s="215"/>
      <c r="AD16" s="215"/>
      <c r="AE16" s="215"/>
      <c r="AF16" s="200"/>
      <c r="AG16" s="210" t="s">
        <v>277</v>
      </c>
      <c r="AH16" s="210"/>
      <c r="AI16" s="210"/>
      <c r="AJ16" s="210"/>
      <c r="AK16" s="211"/>
      <c r="AL16" s="210"/>
      <c r="AM16" s="210"/>
      <c r="AN16" s="210"/>
      <c r="AO16" s="211"/>
      <c r="AP16" s="210"/>
      <c r="AQ16" s="210"/>
      <c r="AR16" s="210"/>
      <c r="AS16" s="211"/>
      <c r="AT16" s="210"/>
      <c r="AU16" s="210"/>
      <c r="AV16" s="210"/>
      <c r="AW16" s="211"/>
      <c r="AX16" s="212">
        <f t="shared" si="1"/>
        <v>0</v>
      </c>
      <c r="AY16" s="213">
        <f t="shared" si="3"/>
        <v>0</v>
      </c>
      <c r="AZ16" s="215"/>
      <c r="BA16" s="215"/>
      <c r="BB16" s="215"/>
      <c r="BC16" s="215"/>
      <c r="BD16" s="215"/>
      <c r="BE16" s="215"/>
      <c r="BF16" s="215"/>
      <c r="BG16" s="215"/>
      <c r="BH16" s="215"/>
      <c r="BI16" s="215"/>
      <c r="BJ16" s="215"/>
      <c r="BK16" s="215"/>
    </row>
    <row r="17" spans="1:63" ht="18.75" x14ac:dyDescent="0.25">
      <c r="A17" s="210" t="s">
        <v>278</v>
      </c>
      <c r="B17" s="210"/>
      <c r="C17" s="210"/>
      <c r="D17" s="210"/>
      <c r="E17" s="211"/>
      <c r="F17" s="210"/>
      <c r="G17" s="210"/>
      <c r="H17" s="210"/>
      <c r="I17" s="211"/>
      <c r="J17" s="210"/>
      <c r="K17" s="210"/>
      <c r="L17" s="210"/>
      <c r="M17" s="211"/>
      <c r="N17" s="210"/>
      <c r="O17" s="210"/>
      <c r="P17" s="210"/>
      <c r="Q17" s="211"/>
      <c r="R17" s="212">
        <f t="shared" si="0"/>
        <v>0</v>
      </c>
      <c r="S17" s="213">
        <f t="shared" si="2"/>
        <v>0</v>
      </c>
      <c r="T17" s="214"/>
      <c r="U17" s="214"/>
      <c r="V17" s="214"/>
      <c r="W17" s="214"/>
      <c r="X17" s="214"/>
      <c r="Y17" s="215"/>
      <c r="Z17" s="215"/>
      <c r="AA17" s="215"/>
      <c r="AB17" s="215"/>
      <c r="AC17" s="215"/>
      <c r="AD17" s="215"/>
      <c r="AE17" s="215"/>
      <c r="AF17" s="200"/>
      <c r="AG17" s="210" t="s">
        <v>278</v>
      </c>
      <c r="AH17" s="210"/>
      <c r="AI17" s="210"/>
      <c r="AJ17" s="210"/>
      <c r="AK17" s="211"/>
      <c r="AL17" s="210"/>
      <c r="AM17" s="210"/>
      <c r="AN17" s="210"/>
      <c r="AO17" s="211"/>
      <c r="AP17" s="210"/>
      <c r="AQ17" s="210"/>
      <c r="AR17" s="210"/>
      <c r="AS17" s="211"/>
      <c r="AT17" s="210"/>
      <c r="AU17" s="210"/>
      <c r="AV17" s="210"/>
      <c r="AW17" s="211"/>
      <c r="AX17" s="212">
        <f t="shared" si="1"/>
        <v>0</v>
      </c>
      <c r="AY17" s="213">
        <f t="shared" si="3"/>
        <v>0</v>
      </c>
      <c r="AZ17" s="215"/>
      <c r="BA17" s="215"/>
      <c r="BB17" s="215"/>
      <c r="BC17" s="215"/>
      <c r="BD17" s="215"/>
      <c r="BE17" s="215"/>
      <c r="BF17" s="215"/>
      <c r="BG17" s="215"/>
      <c r="BH17" s="215"/>
      <c r="BI17" s="215"/>
      <c r="BJ17" s="215"/>
      <c r="BK17" s="215"/>
    </row>
    <row r="18" spans="1:63" ht="18.75" x14ac:dyDescent="0.25">
      <c r="A18" s="210" t="s">
        <v>279</v>
      </c>
      <c r="B18" s="210"/>
      <c r="C18" s="210"/>
      <c r="D18" s="210"/>
      <c r="E18" s="211"/>
      <c r="F18" s="210"/>
      <c r="G18" s="210"/>
      <c r="H18" s="210"/>
      <c r="I18" s="211"/>
      <c r="J18" s="210"/>
      <c r="K18" s="210"/>
      <c r="L18" s="210"/>
      <c r="M18" s="211"/>
      <c r="N18" s="210"/>
      <c r="O18" s="210"/>
      <c r="P18" s="210"/>
      <c r="Q18" s="211"/>
      <c r="R18" s="212">
        <f t="shared" si="0"/>
        <v>0</v>
      </c>
      <c r="S18" s="213">
        <f t="shared" si="2"/>
        <v>0</v>
      </c>
      <c r="T18" s="214"/>
      <c r="U18" s="214"/>
      <c r="V18" s="214"/>
      <c r="W18" s="214"/>
      <c r="X18" s="214"/>
      <c r="Y18" s="215"/>
      <c r="Z18" s="215"/>
      <c r="AA18" s="215"/>
      <c r="AB18" s="215"/>
      <c r="AC18" s="215"/>
      <c r="AD18" s="215"/>
      <c r="AE18" s="215"/>
      <c r="AF18" s="200"/>
      <c r="AG18" s="210" t="s">
        <v>279</v>
      </c>
      <c r="AH18" s="210"/>
      <c r="AI18" s="210"/>
      <c r="AJ18" s="210"/>
      <c r="AK18" s="211"/>
      <c r="AL18" s="210"/>
      <c r="AM18" s="210"/>
      <c r="AN18" s="210"/>
      <c r="AO18" s="211"/>
      <c r="AP18" s="210"/>
      <c r="AQ18" s="210"/>
      <c r="AR18" s="210"/>
      <c r="AS18" s="211"/>
      <c r="AT18" s="210"/>
      <c r="AU18" s="210"/>
      <c r="AV18" s="210"/>
      <c r="AW18" s="211"/>
      <c r="AX18" s="212">
        <f t="shared" si="1"/>
        <v>0</v>
      </c>
      <c r="AY18" s="213">
        <f t="shared" si="3"/>
        <v>0</v>
      </c>
      <c r="AZ18" s="215"/>
      <c r="BA18" s="215"/>
      <c r="BB18" s="215"/>
      <c r="BC18" s="215"/>
      <c r="BD18" s="215"/>
      <c r="BE18" s="215"/>
      <c r="BF18" s="215"/>
      <c r="BG18" s="215"/>
      <c r="BH18" s="215"/>
      <c r="BI18" s="215"/>
      <c r="BJ18" s="215"/>
      <c r="BK18" s="215"/>
    </row>
    <row r="19" spans="1:63" ht="18.75" x14ac:dyDescent="0.25">
      <c r="A19" s="210" t="s">
        <v>280</v>
      </c>
      <c r="B19" s="210"/>
      <c r="C19" s="210"/>
      <c r="D19" s="210"/>
      <c r="E19" s="211"/>
      <c r="F19" s="210"/>
      <c r="G19" s="210"/>
      <c r="H19" s="210"/>
      <c r="I19" s="211"/>
      <c r="J19" s="210"/>
      <c r="K19" s="210"/>
      <c r="L19" s="210"/>
      <c r="M19" s="211"/>
      <c r="N19" s="210"/>
      <c r="O19" s="210"/>
      <c r="P19" s="210"/>
      <c r="Q19" s="211"/>
      <c r="R19" s="212">
        <f t="shared" si="0"/>
        <v>0</v>
      </c>
      <c r="S19" s="213">
        <f t="shared" si="2"/>
        <v>0</v>
      </c>
      <c r="T19" s="214"/>
      <c r="U19" s="214"/>
      <c r="V19" s="214"/>
      <c r="W19" s="214"/>
      <c r="X19" s="214"/>
      <c r="Y19" s="215"/>
      <c r="Z19" s="215"/>
      <c r="AA19" s="215"/>
      <c r="AB19" s="215"/>
      <c r="AC19" s="215"/>
      <c r="AD19" s="215"/>
      <c r="AE19" s="215"/>
      <c r="AF19" s="200"/>
      <c r="AG19" s="210" t="s">
        <v>280</v>
      </c>
      <c r="AH19" s="210"/>
      <c r="AI19" s="210"/>
      <c r="AJ19" s="210"/>
      <c r="AK19" s="211"/>
      <c r="AL19" s="210"/>
      <c r="AM19" s="210"/>
      <c r="AN19" s="210"/>
      <c r="AO19" s="211"/>
      <c r="AP19" s="210"/>
      <c r="AQ19" s="210"/>
      <c r="AR19" s="210"/>
      <c r="AS19" s="211"/>
      <c r="AT19" s="210"/>
      <c r="AU19" s="210"/>
      <c r="AV19" s="210"/>
      <c r="AW19" s="211"/>
      <c r="AX19" s="212">
        <f t="shared" si="1"/>
        <v>0</v>
      </c>
      <c r="AY19" s="213">
        <f t="shared" si="3"/>
        <v>0</v>
      </c>
      <c r="AZ19" s="215"/>
      <c r="BA19" s="215"/>
      <c r="BB19" s="215"/>
      <c r="BC19" s="215"/>
      <c r="BD19" s="215"/>
      <c r="BE19" s="215"/>
      <c r="BF19" s="215"/>
      <c r="BG19" s="215"/>
      <c r="BH19" s="215"/>
      <c r="BI19" s="210"/>
      <c r="BJ19" s="210"/>
      <c r="BK19" s="210"/>
    </row>
    <row r="20" spans="1:63" ht="18.75" x14ac:dyDescent="0.25">
      <c r="A20" s="210" t="s">
        <v>281</v>
      </c>
      <c r="B20" s="210"/>
      <c r="C20" s="210"/>
      <c r="D20" s="210"/>
      <c r="E20" s="211"/>
      <c r="F20" s="210"/>
      <c r="G20" s="210"/>
      <c r="H20" s="210"/>
      <c r="I20" s="211"/>
      <c r="J20" s="210"/>
      <c r="K20" s="210"/>
      <c r="L20" s="210"/>
      <c r="M20" s="211"/>
      <c r="N20" s="210"/>
      <c r="O20" s="210"/>
      <c r="P20" s="210"/>
      <c r="Q20" s="211"/>
      <c r="R20" s="212">
        <f t="shared" si="0"/>
        <v>0</v>
      </c>
      <c r="S20" s="213">
        <f t="shared" si="2"/>
        <v>0</v>
      </c>
      <c r="T20" s="214"/>
      <c r="U20" s="214"/>
      <c r="V20" s="214"/>
      <c r="W20" s="214"/>
      <c r="X20" s="214"/>
      <c r="Y20" s="215"/>
      <c r="Z20" s="215"/>
      <c r="AA20" s="215"/>
      <c r="AB20" s="215"/>
      <c r="AC20" s="215"/>
      <c r="AD20" s="215"/>
      <c r="AE20" s="215"/>
      <c r="AF20" s="200"/>
      <c r="AG20" s="210" t="s">
        <v>281</v>
      </c>
      <c r="AH20" s="210"/>
      <c r="AI20" s="210"/>
      <c r="AJ20" s="210"/>
      <c r="AK20" s="211"/>
      <c r="AL20" s="210"/>
      <c r="AM20" s="210"/>
      <c r="AN20" s="210"/>
      <c r="AO20" s="211"/>
      <c r="AP20" s="210"/>
      <c r="AQ20" s="210"/>
      <c r="AR20" s="210"/>
      <c r="AS20" s="211"/>
      <c r="AT20" s="210"/>
      <c r="AU20" s="210"/>
      <c r="AV20" s="210"/>
      <c r="AW20" s="211"/>
      <c r="AX20" s="212">
        <f t="shared" si="1"/>
        <v>0</v>
      </c>
      <c r="AY20" s="213">
        <f t="shared" si="3"/>
        <v>0</v>
      </c>
      <c r="AZ20" s="215"/>
      <c r="BA20" s="215"/>
      <c r="BB20" s="215"/>
      <c r="BC20" s="215"/>
      <c r="BD20" s="215"/>
      <c r="BE20" s="215"/>
      <c r="BF20" s="215"/>
      <c r="BG20" s="215"/>
      <c r="BH20" s="215"/>
      <c r="BI20" s="210"/>
      <c r="BJ20" s="210"/>
      <c r="BK20" s="210"/>
    </row>
    <row r="21" spans="1:63" ht="18.75" x14ac:dyDescent="0.25">
      <c r="A21" s="210" t="s">
        <v>282</v>
      </c>
      <c r="B21" s="210"/>
      <c r="C21" s="210"/>
      <c r="D21" s="210"/>
      <c r="E21" s="211"/>
      <c r="F21" s="210"/>
      <c r="G21" s="210"/>
      <c r="H21" s="210"/>
      <c r="I21" s="211"/>
      <c r="J21" s="210"/>
      <c r="K21" s="210"/>
      <c r="L21" s="210"/>
      <c r="M21" s="211"/>
      <c r="N21" s="210"/>
      <c r="O21" s="210"/>
      <c r="P21" s="210"/>
      <c r="Q21" s="211"/>
      <c r="R21" s="212">
        <f t="shared" si="0"/>
        <v>0</v>
      </c>
      <c r="S21" s="213">
        <f t="shared" si="2"/>
        <v>0</v>
      </c>
      <c r="T21" s="214"/>
      <c r="U21" s="214"/>
      <c r="V21" s="214"/>
      <c r="W21" s="214"/>
      <c r="X21" s="214"/>
      <c r="Y21" s="215"/>
      <c r="Z21" s="215"/>
      <c r="AA21" s="215"/>
      <c r="AB21" s="215"/>
      <c r="AC21" s="215"/>
      <c r="AD21" s="215"/>
      <c r="AE21" s="215"/>
      <c r="AF21" s="200"/>
      <c r="AG21" s="210" t="s">
        <v>282</v>
      </c>
      <c r="AH21" s="210"/>
      <c r="AI21" s="210"/>
      <c r="AJ21" s="210"/>
      <c r="AK21" s="211"/>
      <c r="AL21" s="210"/>
      <c r="AM21" s="210"/>
      <c r="AN21" s="210"/>
      <c r="AO21" s="211"/>
      <c r="AP21" s="210"/>
      <c r="AQ21" s="210"/>
      <c r="AR21" s="210"/>
      <c r="AS21" s="211"/>
      <c r="AT21" s="210"/>
      <c r="AU21" s="210"/>
      <c r="AV21" s="210"/>
      <c r="AW21" s="211"/>
      <c r="AX21" s="212">
        <f t="shared" si="1"/>
        <v>0</v>
      </c>
      <c r="AY21" s="213">
        <f t="shared" si="3"/>
        <v>0</v>
      </c>
      <c r="AZ21" s="215"/>
      <c r="BA21" s="215"/>
      <c r="BB21" s="215"/>
      <c r="BC21" s="215"/>
      <c r="BD21" s="215"/>
      <c r="BE21" s="215"/>
      <c r="BF21" s="215"/>
      <c r="BG21" s="215"/>
      <c r="BH21" s="215"/>
      <c r="BI21" s="210"/>
      <c r="BJ21" s="210"/>
      <c r="BK21" s="210"/>
    </row>
    <row r="22" spans="1:63" ht="18.75" x14ac:dyDescent="0.25">
      <c r="A22" s="210" t="s">
        <v>283</v>
      </c>
      <c r="B22" s="210"/>
      <c r="C22" s="210"/>
      <c r="D22" s="210"/>
      <c r="E22" s="211"/>
      <c r="F22" s="210"/>
      <c r="G22" s="210"/>
      <c r="H22" s="210"/>
      <c r="I22" s="211"/>
      <c r="J22" s="210"/>
      <c r="K22" s="210"/>
      <c r="L22" s="210"/>
      <c r="M22" s="211"/>
      <c r="N22" s="210"/>
      <c r="O22" s="210"/>
      <c r="P22" s="210"/>
      <c r="Q22" s="211"/>
      <c r="R22" s="212">
        <f t="shared" si="0"/>
        <v>0</v>
      </c>
      <c r="S22" s="213">
        <f t="shared" si="2"/>
        <v>0</v>
      </c>
      <c r="T22" s="214"/>
      <c r="U22" s="214"/>
      <c r="V22" s="214"/>
      <c r="W22" s="214"/>
      <c r="X22" s="214"/>
      <c r="Y22" s="215"/>
      <c r="Z22" s="215"/>
      <c r="AA22" s="215"/>
      <c r="AB22" s="215"/>
      <c r="AC22" s="215"/>
      <c r="AD22" s="215"/>
      <c r="AE22" s="215"/>
      <c r="AF22" s="200"/>
      <c r="AG22" s="210" t="s">
        <v>283</v>
      </c>
      <c r="AH22" s="210"/>
      <c r="AI22" s="210"/>
      <c r="AJ22" s="210"/>
      <c r="AK22" s="211"/>
      <c r="AL22" s="210"/>
      <c r="AM22" s="210"/>
      <c r="AN22" s="210"/>
      <c r="AO22" s="211"/>
      <c r="AP22" s="210"/>
      <c r="AQ22" s="210"/>
      <c r="AR22" s="210"/>
      <c r="AS22" s="211"/>
      <c r="AT22" s="210"/>
      <c r="AU22" s="210"/>
      <c r="AV22" s="210"/>
      <c r="AW22" s="211"/>
      <c r="AX22" s="212">
        <f t="shared" si="1"/>
        <v>0</v>
      </c>
      <c r="AY22" s="213">
        <f t="shared" si="3"/>
        <v>0</v>
      </c>
      <c r="AZ22" s="215"/>
      <c r="BA22" s="215"/>
      <c r="BB22" s="215"/>
      <c r="BC22" s="215"/>
      <c r="BD22" s="215"/>
      <c r="BE22" s="215"/>
      <c r="BF22" s="215"/>
      <c r="BG22" s="215"/>
      <c r="BH22" s="215"/>
      <c r="BI22" s="215"/>
      <c r="BJ22" s="215"/>
      <c r="BK22" s="215"/>
    </row>
    <row r="23" spans="1:63" ht="18.75" x14ac:dyDescent="0.25">
      <c r="A23" s="210" t="s">
        <v>284</v>
      </c>
      <c r="B23" s="210"/>
      <c r="C23" s="210"/>
      <c r="D23" s="210"/>
      <c r="E23" s="211"/>
      <c r="F23" s="210"/>
      <c r="G23" s="210"/>
      <c r="H23" s="210"/>
      <c r="I23" s="211"/>
      <c r="J23" s="210"/>
      <c r="K23" s="210"/>
      <c r="L23" s="210"/>
      <c r="M23" s="211"/>
      <c r="N23" s="210"/>
      <c r="O23" s="210"/>
      <c r="P23" s="210"/>
      <c r="Q23" s="211"/>
      <c r="R23" s="212">
        <f t="shared" si="0"/>
        <v>0</v>
      </c>
      <c r="S23" s="213">
        <f t="shared" si="2"/>
        <v>0</v>
      </c>
      <c r="T23" s="214"/>
      <c r="U23" s="214"/>
      <c r="V23" s="214"/>
      <c r="W23" s="214"/>
      <c r="X23" s="214"/>
      <c r="Y23" s="215"/>
      <c r="Z23" s="215"/>
      <c r="AA23" s="215"/>
      <c r="AB23" s="215"/>
      <c r="AC23" s="215"/>
      <c r="AD23" s="215"/>
      <c r="AE23" s="215"/>
      <c r="AF23" s="200"/>
      <c r="AG23" s="210" t="s">
        <v>284</v>
      </c>
      <c r="AH23" s="210"/>
      <c r="AI23" s="210"/>
      <c r="AJ23" s="210"/>
      <c r="AK23" s="211"/>
      <c r="AL23" s="210"/>
      <c r="AM23" s="210"/>
      <c r="AN23" s="210"/>
      <c r="AO23" s="211"/>
      <c r="AP23" s="210"/>
      <c r="AQ23" s="210"/>
      <c r="AR23" s="210"/>
      <c r="AS23" s="211"/>
      <c r="AT23" s="210"/>
      <c r="AU23" s="210"/>
      <c r="AV23" s="210"/>
      <c r="AW23" s="211"/>
      <c r="AX23" s="212">
        <f t="shared" si="1"/>
        <v>0</v>
      </c>
      <c r="AY23" s="213">
        <f t="shared" si="3"/>
        <v>0</v>
      </c>
      <c r="AZ23" s="215"/>
      <c r="BA23" s="215"/>
      <c r="BB23" s="215"/>
      <c r="BC23" s="215"/>
      <c r="BD23" s="215"/>
      <c r="BE23" s="215"/>
      <c r="BF23" s="215"/>
      <c r="BG23" s="215"/>
      <c r="BH23" s="215"/>
      <c r="BI23" s="215"/>
      <c r="BJ23" s="215"/>
      <c r="BK23" s="215"/>
    </row>
    <row r="24" spans="1:63" ht="18.75" x14ac:dyDescent="0.25">
      <c r="A24" s="210" t="s">
        <v>285</v>
      </c>
      <c r="B24" s="210"/>
      <c r="C24" s="210"/>
      <c r="D24" s="210"/>
      <c r="E24" s="211"/>
      <c r="F24" s="210"/>
      <c r="G24" s="210"/>
      <c r="H24" s="210"/>
      <c r="I24" s="211"/>
      <c r="J24" s="210"/>
      <c r="K24" s="210"/>
      <c r="L24" s="210"/>
      <c r="M24" s="211"/>
      <c r="N24" s="210"/>
      <c r="O24" s="210"/>
      <c r="P24" s="210"/>
      <c r="Q24" s="211"/>
      <c r="R24" s="212">
        <f t="shared" si="0"/>
        <v>0</v>
      </c>
      <c r="S24" s="213">
        <f t="shared" si="2"/>
        <v>0</v>
      </c>
      <c r="T24" s="214"/>
      <c r="U24" s="214"/>
      <c r="V24" s="214"/>
      <c r="W24" s="214"/>
      <c r="X24" s="214"/>
      <c r="Y24" s="215"/>
      <c r="Z24" s="215"/>
      <c r="AA24" s="215"/>
      <c r="AB24" s="215"/>
      <c r="AC24" s="215"/>
      <c r="AD24" s="215"/>
      <c r="AE24" s="215"/>
      <c r="AF24" s="200"/>
      <c r="AG24" s="210" t="s">
        <v>285</v>
      </c>
      <c r="AH24" s="210"/>
      <c r="AI24" s="210"/>
      <c r="AJ24" s="210"/>
      <c r="AK24" s="211"/>
      <c r="AL24" s="210"/>
      <c r="AM24" s="210"/>
      <c r="AN24" s="210"/>
      <c r="AO24" s="211"/>
      <c r="AP24" s="210"/>
      <c r="AQ24" s="210"/>
      <c r="AR24" s="210"/>
      <c r="AS24" s="211"/>
      <c r="AT24" s="210"/>
      <c r="AU24" s="210"/>
      <c r="AV24" s="210"/>
      <c r="AW24" s="211"/>
      <c r="AX24" s="212">
        <f t="shared" si="1"/>
        <v>0</v>
      </c>
      <c r="AY24" s="213">
        <f t="shared" si="3"/>
        <v>0</v>
      </c>
      <c r="AZ24" s="215"/>
      <c r="BA24" s="215"/>
      <c r="BB24" s="215"/>
      <c r="BC24" s="215"/>
      <c r="BD24" s="215"/>
      <c r="BE24" s="215"/>
      <c r="BF24" s="215"/>
      <c r="BG24" s="215"/>
      <c r="BH24" s="215"/>
      <c r="BI24" s="215"/>
      <c r="BJ24" s="215"/>
      <c r="BK24" s="215"/>
    </row>
    <row r="25" spans="1:63" ht="18.75" x14ac:dyDescent="0.25">
      <c r="A25" s="210" t="s">
        <v>286</v>
      </c>
      <c r="B25" s="210"/>
      <c r="C25" s="210"/>
      <c r="D25" s="210"/>
      <c r="E25" s="211"/>
      <c r="F25" s="210"/>
      <c r="G25" s="210"/>
      <c r="H25" s="210"/>
      <c r="I25" s="211"/>
      <c r="J25" s="210"/>
      <c r="K25" s="210"/>
      <c r="L25" s="210"/>
      <c r="M25" s="211"/>
      <c r="N25" s="210"/>
      <c r="O25" s="210"/>
      <c r="P25" s="210"/>
      <c r="Q25" s="211"/>
      <c r="R25" s="212">
        <f t="shared" si="0"/>
        <v>0</v>
      </c>
      <c r="S25" s="213">
        <f t="shared" si="2"/>
        <v>0</v>
      </c>
      <c r="T25" s="214"/>
      <c r="U25" s="214"/>
      <c r="V25" s="214"/>
      <c r="W25" s="214"/>
      <c r="X25" s="214"/>
      <c r="Y25" s="215"/>
      <c r="Z25" s="215"/>
      <c r="AA25" s="215"/>
      <c r="AB25" s="215"/>
      <c r="AC25" s="215"/>
      <c r="AD25" s="215"/>
      <c r="AE25" s="215"/>
      <c r="AF25" s="200"/>
      <c r="AG25" s="210" t="s">
        <v>286</v>
      </c>
      <c r="AH25" s="210"/>
      <c r="AI25" s="210"/>
      <c r="AJ25" s="210"/>
      <c r="AK25" s="211"/>
      <c r="AL25" s="210"/>
      <c r="AM25" s="210"/>
      <c r="AN25" s="210"/>
      <c r="AO25" s="211"/>
      <c r="AP25" s="210"/>
      <c r="AQ25" s="210"/>
      <c r="AR25" s="210"/>
      <c r="AS25" s="211"/>
      <c r="AT25" s="210"/>
      <c r="AU25" s="210"/>
      <c r="AV25" s="210"/>
      <c r="AW25" s="211"/>
      <c r="AX25" s="212">
        <f t="shared" si="1"/>
        <v>0</v>
      </c>
      <c r="AY25" s="213">
        <f t="shared" si="3"/>
        <v>0</v>
      </c>
      <c r="AZ25" s="215"/>
      <c r="BA25" s="215"/>
      <c r="BB25" s="215"/>
      <c r="BC25" s="215"/>
      <c r="BD25" s="215"/>
      <c r="BE25" s="215"/>
      <c r="BF25" s="215"/>
      <c r="BG25" s="215"/>
      <c r="BH25" s="215"/>
      <c r="BI25" s="215"/>
      <c r="BJ25" s="215"/>
      <c r="BK25" s="215"/>
    </row>
    <row r="26" spans="1:63" ht="18.75" x14ac:dyDescent="0.25">
      <c r="A26" s="210" t="s">
        <v>287</v>
      </c>
      <c r="B26" s="210"/>
      <c r="C26" s="210"/>
      <c r="D26" s="210"/>
      <c r="E26" s="211"/>
      <c r="F26" s="210"/>
      <c r="G26" s="210"/>
      <c r="H26" s="210"/>
      <c r="I26" s="211"/>
      <c r="J26" s="210"/>
      <c r="K26" s="210"/>
      <c r="L26" s="210"/>
      <c r="M26" s="211"/>
      <c r="N26" s="210"/>
      <c r="O26" s="210"/>
      <c r="P26" s="210"/>
      <c r="Q26" s="211"/>
      <c r="R26" s="212">
        <f t="shared" si="0"/>
        <v>0</v>
      </c>
      <c r="S26" s="213">
        <f t="shared" si="2"/>
        <v>0</v>
      </c>
      <c r="T26" s="214"/>
      <c r="U26" s="214"/>
      <c r="V26" s="214"/>
      <c r="W26" s="214"/>
      <c r="X26" s="214"/>
      <c r="Y26" s="215"/>
      <c r="Z26" s="215"/>
      <c r="AA26" s="215"/>
      <c r="AB26" s="215"/>
      <c r="AC26" s="215"/>
      <c r="AD26" s="215"/>
      <c r="AE26" s="215"/>
      <c r="AF26" s="200"/>
      <c r="AG26" s="210" t="s">
        <v>287</v>
      </c>
      <c r="AH26" s="210"/>
      <c r="AI26" s="210"/>
      <c r="AJ26" s="210"/>
      <c r="AK26" s="211"/>
      <c r="AL26" s="210"/>
      <c r="AM26" s="210"/>
      <c r="AN26" s="210"/>
      <c r="AO26" s="211"/>
      <c r="AP26" s="210"/>
      <c r="AQ26" s="210"/>
      <c r="AR26" s="210"/>
      <c r="AS26" s="211"/>
      <c r="AT26" s="210"/>
      <c r="AU26" s="210"/>
      <c r="AV26" s="210"/>
      <c r="AW26" s="211"/>
      <c r="AX26" s="212">
        <f t="shared" si="1"/>
        <v>0</v>
      </c>
      <c r="AY26" s="213">
        <f t="shared" si="3"/>
        <v>0</v>
      </c>
      <c r="AZ26" s="215"/>
      <c r="BA26" s="215"/>
      <c r="BB26" s="215"/>
      <c r="BC26" s="215"/>
      <c r="BD26" s="215"/>
      <c r="BE26" s="215"/>
      <c r="BF26" s="215"/>
      <c r="BG26" s="215"/>
      <c r="BH26" s="215"/>
      <c r="BI26" s="215"/>
      <c r="BJ26" s="215"/>
      <c r="BK26" s="215"/>
    </row>
    <row r="27" spans="1:63" ht="18.75" x14ac:dyDescent="0.25">
      <c r="A27" s="210" t="s">
        <v>288</v>
      </c>
      <c r="B27" s="210"/>
      <c r="C27" s="210"/>
      <c r="D27" s="210"/>
      <c r="E27" s="211"/>
      <c r="F27" s="210"/>
      <c r="G27" s="210"/>
      <c r="H27" s="210"/>
      <c r="I27" s="211"/>
      <c r="J27" s="210"/>
      <c r="K27" s="210"/>
      <c r="L27" s="210"/>
      <c r="M27" s="211"/>
      <c r="N27" s="210"/>
      <c r="O27" s="210"/>
      <c r="P27" s="210"/>
      <c r="Q27" s="211"/>
      <c r="R27" s="212">
        <f t="shared" si="0"/>
        <v>0</v>
      </c>
      <c r="S27" s="213">
        <f t="shared" si="2"/>
        <v>0</v>
      </c>
      <c r="T27" s="214"/>
      <c r="U27" s="214"/>
      <c r="V27" s="214"/>
      <c r="W27" s="214"/>
      <c r="X27" s="214"/>
      <c r="Y27" s="215"/>
      <c r="Z27" s="215"/>
      <c r="AA27" s="215"/>
      <c r="AB27" s="215"/>
      <c r="AC27" s="215"/>
      <c r="AD27" s="215"/>
      <c r="AE27" s="215"/>
      <c r="AF27" s="200"/>
      <c r="AG27" s="210" t="s">
        <v>288</v>
      </c>
      <c r="AH27" s="210"/>
      <c r="AI27" s="210"/>
      <c r="AJ27" s="210"/>
      <c r="AK27" s="211"/>
      <c r="AL27" s="210"/>
      <c r="AM27" s="210"/>
      <c r="AN27" s="210"/>
      <c r="AO27" s="211"/>
      <c r="AP27" s="210"/>
      <c r="AQ27" s="210"/>
      <c r="AR27" s="210"/>
      <c r="AS27" s="211"/>
      <c r="AT27" s="210"/>
      <c r="AU27" s="210"/>
      <c r="AV27" s="210"/>
      <c r="AW27" s="211"/>
      <c r="AX27" s="212">
        <f t="shared" si="1"/>
        <v>0</v>
      </c>
      <c r="AY27" s="213">
        <f t="shared" si="3"/>
        <v>0</v>
      </c>
      <c r="AZ27" s="215"/>
      <c r="BA27" s="215"/>
      <c r="BB27" s="215"/>
      <c r="BC27" s="215"/>
      <c r="BD27" s="215"/>
      <c r="BE27" s="215"/>
      <c r="BF27" s="215"/>
      <c r="BG27" s="215"/>
      <c r="BH27" s="215"/>
      <c r="BI27" s="215"/>
      <c r="BJ27" s="215"/>
      <c r="BK27" s="215"/>
    </row>
    <row r="28" spans="1:63" ht="18.75" x14ac:dyDescent="0.25">
      <c r="A28" s="210" t="s">
        <v>289</v>
      </c>
      <c r="B28" s="210"/>
      <c r="C28" s="210"/>
      <c r="D28" s="210"/>
      <c r="E28" s="211"/>
      <c r="F28" s="210"/>
      <c r="G28" s="210"/>
      <c r="H28" s="210"/>
      <c r="I28" s="211"/>
      <c r="J28" s="210"/>
      <c r="K28" s="210"/>
      <c r="L28" s="210"/>
      <c r="M28" s="211"/>
      <c r="N28" s="210"/>
      <c r="O28" s="210"/>
      <c r="P28" s="210"/>
      <c r="Q28" s="211"/>
      <c r="R28" s="212">
        <f t="shared" si="0"/>
        <v>0</v>
      </c>
      <c r="S28" s="213">
        <f t="shared" si="2"/>
        <v>0</v>
      </c>
      <c r="T28" s="214"/>
      <c r="U28" s="214"/>
      <c r="V28" s="214"/>
      <c r="W28" s="214"/>
      <c r="X28" s="214"/>
      <c r="Y28" s="215"/>
      <c r="Z28" s="215"/>
      <c r="AA28" s="215"/>
      <c r="AB28" s="215"/>
      <c r="AC28" s="215"/>
      <c r="AD28" s="215"/>
      <c r="AE28" s="215"/>
      <c r="AF28" s="200"/>
      <c r="AG28" s="210" t="s">
        <v>289</v>
      </c>
      <c r="AH28" s="210"/>
      <c r="AI28" s="210"/>
      <c r="AJ28" s="210"/>
      <c r="AK28" s="211"/>
      <c r="AL28" s="210"/>
      <c r="AM28" s="210"/>
      <c r="AN28" s="210"/>
      <c r="AO28" s="211"/>
      <c r="AP28" s="210"/>
      <c r="AQ28" s="210"/>
      <c r="AR28" s="210"/>
      <c r="AS28" s="211"/>
      <c r="AT28" s="210"/>
      <c r="AU28" s="210"/>
      <c r="AV28" s="210"/>
      <c r="AW28" s="211"/>
      <c r="AX28" s="212">
        <f t="shared" si="1"/>
        <v>0</v>
      </c>
      <c r="AY28" s="213">
        <f t="shared" si="3"/>
        <v>0</v>
      </c>
      <c r="AZ28" s="215"/>
      <c r="BA28" s="215"/>
      <c r="BB28" s="215"/>
      <c r="BC28" s="215"/>
      <c r="BD28" s="215"/>
      <c r="BE28" s="215"/>
      <c r="BF28" s="215"/>
      <c r="BG28" s="215"/>
      <c r="BH28" s="215"/>
      <c r="BI28" s="215"/>
      <c r="BJ28" s="215"/>
      <c r="BK28" s="215"/>
    </row>
    <row r="29" spans="1:63" ht="18.75" x14ac:dyDescent="0.25">
      <c r="A29" s="210" t="s">
        <v>290</v>
      </c>
      <c r="B29" s="210"/>
      <c r="C29" s="210"/>
      <c r="D29" s="210"/>
      <c r="E29" s="211"/>
      <c r="F29" s="210"/>
      <c r="G29" s="210"/>
      <c r="H29" s="210"/>
      <c r="I29" s="211"/>
      <c r="J29" s="210"/>
      <c r="K29" s="210"/>
      <c r="L29" s="210"/>
      <c r="M29" s="211"/>
      <c r="N29" s="210"/>
      <c r="O29" s="210"/>
      <c r="P29" s="210"/>
      <c r="Q29" s="211"/>
      <c r="R29" s="212">
        <f t="shared" si="0"/>
        <v>0</v>
      </c>
      <c r="S29" s="213">
        <f t="shared" si="2"/>
        <v>0</v>
      </c>
      <c r="T29" s="214"/>
      <c r="U29" s="214"/>
      <c r="V29" s="214"/>
      <c r="W29" s="214"/>
      <c r="X29" s="214"/>
      <c r="Y29" s="215"/>
      <c r="Z29" s="215"/>
      <c r="AA29" s="215"/>
      <c r="AB29" s="215"/>
      <c r="AC29" s="215"/>
      <c r="AD29" s="215"/>
      <c r="AE29" s="215"/>
      <c r="AF29" s="200"/>
      <c r="AG29" s="210" t="s">
        <v>290</v>
      </c>
      <c r="AH29" s="210"/>
      <c r="AI29" s="210"/>
      <c r="AJ29" s="210"/>
      <c r="AK29" s="211"/>
      <c r="AL29" s="210"/>
      <c r="AM29" s="210"/>
      <c r="AN29" s="210"/>
      <c r="AO29" s="211"/>
      <c r="AP29" s="210"/>
      <c r="AQ29" s="210"/>
      <c r="AR29" s="210"/>
      <c r="AS29" s="211"/>
      <c r="AT29" s="210"/>
      <c r="AU29" s="210"/>
      <c r="AV29" s="210"/>
      <c r="AW29" s="211"/>
      <c r="AX29" s="212">
        <f t="shared" si="1"/>
        <v>0</v>
      </c>
      <c r="AY29" s="213">
        <f t="shared" si="3"/>
        <v>0</v>
      </c>
      <c r="AZ29" s="215"/>
      <c r="BA29" s="215"/>
      <c r="BB29" s="215"/>
      <c r="BC29" s="215"/>
      <c r="BD29" s="215"/>
      <c r="BE29" s="215"/>
      <c r="BF29" s="215"/>
      <c r="BG29" s="215"/>
      <c r="BH29" s="215"/>
      <c r="BI29" s="215"/>
      <c r="BJ29" s="215"/>
      <c r="BK29" s="215"/>
    </row>
    <row r="30" spans="1:63" ht="18.75" x14ac:dyDescent="0.25">
      <c r="A30" s="210" t="s">
        <v>291</v>
      </c>
      <c r="B30" s="210"/>
      <c r="C30" s="210"/>
      <c r="D30" s="210"/>
      <c r="E30" s="211"/>
      <c r="F30" s="210"/>
      <c r="G30" s="210"/>
      <c r="H30" s="210"/>
      <c r="I30" s="211"/>
      <c r="J30" s="210"/>
      <c r="K30" s="210"/>
      <c r="L30" s="210"/>
      <c r="M30" s="211"/>
      <c r="N30" s="210"/>
      <c r="O30" s="210"/>
      <c r="P30" s="210"/>
      <c r="Q30" s="211"/>
      <c r="R30" s="212">
        <f t="shared" si="0"/>
        <v>0</v>
      </c>
      <c r="S30" s="213">
        <f t="shared" si="2"/>
        <v>0</v>
      </c>
      <c r="T30" s="214"/>
      <c r="U30" s="214"/>
      <c r="V30" s="214"/>
      <c r="W30" s="214"/>
      <c r="X30" s="214"/>
      <c r="Y30" s="215"/>
      <c r="Z30" s="215"/>
      <c r="AA30" s="215"/>
      <c r="AB30" s="215"/>
      <c r="AC30" s="215"/>
      <c r="AD30" s="215"/>
      <c r="AE30" s="215"/>
      <c r="AF30" s="200"/>
      <c r="AG30" s="210" t="s">
        <v>291</v>
      </c>
      <c r="AH30" s="210"/>
      <c r="AI30" s="210"/>
      <c r="AJ30" s="210"/>
      <c r="AK30" s="211"/>
      <c r="AL30" s="210"/>
      <c r="AM30" s="210"/>
      <c r="AN30" s="210"/>
      <c r="AO30" s="211"/>
      <c r="AP30" s="210"/>
      <c r="AQ30" s="210"/>
      <c r="AR30" s="210"/>
      <c r="AS30" s="211"/>
      <c r="AT30" s="210"/>
      <c r="AU30" s="210"/>
      <c r="AV30" s="210"/>
      <c r="AW30" s="211"/>
      <c r="AX30" s="212">
        <f t="shared" si="1"/>
        <v>0</v>
      </c>
      <c r="AY30" s="213">
        <f t="shared" si="3"/>
        <v>0</v>
      </c>
      <c r="AZ30" s="215"/>
      <c r="BA30" s="215"/>
      <c r="BB30" s="215"/>
      <c r="BC30" s="215"/>
      <c r="BD30" s="215"/>
      <c r="BE30" s="215"/>
      <c r="BF30" s="215"/>
      <c r="BG30" s="215"/>
      <c r="BH30" s="215"/>
      <c r="BI30" s="215"/>
      <c r="BJ30" s="215"/>
      <c r="BK30" s="215"/>
    </row>
    <row r="31" spans="1:63" ht="18.75" x14ac:dyDescent="0.25">
      <c r="A31" s="210" t="s">
        <v>292</v>
      </c>
      <c r="B31" s="210"/>
      <c r="C31" s="210"/>
      <c r="D31" s="210"/>
      <c r="E31" s="211"/>
      <c r="F31" s="210"/>
      <c r="G31" s="210"/>
      <c r="H31" s="210"/>
      <c r="I31" s="211"/>
      <c r="J31" s="210"/>
      <c r="K31" s="210"/>
      <c r="L31" s="210"/>
      <c r="M31" s="211"/>
      <c r="N31" s="210"/>
      <c r="O31" s="210"/>
      <c r="P31" s="210"/>
      <c r="Q31" s="211"/>
      <c r="R31" s="212">
        <f t="shared" si="0"/>
        <v>0</v>
      </c>
      <c r="S31" s="213">
        <f t="shared" si="2"/>
        <v>0</v>
      </c>
      <c r="T31" s="214"/>
      <c r="U31" s="214"/>
      <c r="V31" s="214"/>
      <c r="W31" s="214"/>
      <c r="X31" s="214"/>
      <c r="Y31" s="215"/>
      <c r="Z31" s="215"/>
      <c r="AA31" s="215"/>
      <c r="AB31" s="215"/>
      <c r="AC31" s="215"/>
      <c r="AD31" s="215"/>
      <c r="AE31" s="215"/>
      <c r="AF31" s="200"/>
      <c r="AG31" s="210" t="s">
        <v>292</v>
      </c>
      <c r="AH31" s="210"/>
      <c r="AI31" s="210"/>
      <c r="AJ31" s="210"/>
      <c r="AK31" s="211"/>
      <c r="AL31" s="210"/>
      <c r="AM31" s="210"/>
      <c r="AN31" s="210"/>
      <c r="AO31" s="211"/>
      <c r="AP31" s="210"/>
      <c r="AQ31" s="210"/>
      <c r="AR31" s="210"/>
      <c r="AS31" s="211"/>
      <c r="AT31" s="210"/>
      <c r="AU31" s="210"/>
      <c r="AV31" s="210"/>
      <c r="AW31" s="211"/>
      <c r="AX31" s="212">
        <f t="shared" si="1"/>
        <v>0</v>
      </c>
      <c r="AY31" s="213">
        <f t="shared" si="3"/>
        <v>0</v>
      </c>
      <c r="AZ31" s="215"/>
      <c r="BA31" s="215"/>
      <c r="BB31" s="215"/>
      <c r="BC31" s="215"/>
      <c r="BD31" s="215"/>
      <c r="BE31" s="215"/>
      <c r="BF31" s="215"/>
      <c r="BG31" s="215"/>
      <c r="BH31" s="215"/>
      <c r="BI31" s="215"/>
      <c r="BJ31" s="215"/>
      <c r="BK31" s="215"/>
    </row>
    <row r="32" spans="1:63" ht="18.75" x14ac:dyDescent="0.25">
      <c r="A32" s="217" t="s">
        <v>293</v>
      </c>
      <c r="B32" s="218">
        <f>SUM(B11:B31)</f>
        <v>0</v>
      </c>
      <c r="C32" s="218">
        <f t="shared" ref="C32:AE32" si="4">SUM(C11:C31)</f>
        <v>0</v>
      </c>
      <c r="D32" s="218">
        <f t="shared" si="4"/>
        <v>0</v>
      </c>
      <c r="E32" s="219">
        <f>SUM(E11:E31)</f>
        <v>0</v>
      </c>
      <c r="F32" s="218">
        <f t="shared" si="4"/>
        <v>0</v>
      </c>
      <c r="G32" s="218">
        <f t="shared" si="4"/>
        <v>0</v>
      </c>
      <c r="H32" s="218">
        <f t="shared" si="4"/>
        <v>0</v>
      </c>
      <c r="I32" s="219">
        <f>SUM(I11:I31)</f>
        <v>0</v>
      </c>
      <c r="J32" s="218">
        <f t="shared" si="4"/>
        <v>0</v>
      </c>
      <c r="K32" s="218">
        <f t="shared" si="4"/>
        <v>0</v>
      </c>
      <c r="L32" s="218">
        <f t="shared" si="4"/>
        <v>0</v>
      </c>
      <c r="M32" s="219">
        <f>SUM(M11:M31)</f>
        <v>0</v>
      </c>
      <c r="N32" s="218">
        <f t="shared" si="4"/>
        <v>0</v>
      </c>
      <c r="O32" s="218">
        <f t="shared" si="4"/>
        <v>0</v>
      </c>
      <c r="P32" s="218">
        <f t="shared" si="4"/>
        <v>0</v>
      </c>
      <c r="Q32" s="219">
        <f>SUM(Q11:Q31)</f>
        <v>0</v>
      </c>
      <c r="R32" s="218">
        <f t="shared" si="4"/>
        <v>0</v>
      </c>
      <c r="S32" s="213">
        <f t="shared" si="4"/>
        <v>0</v>
      </c>
      <c r="T32" s="218">
        <f t="shared" si="4"/>
        <v>0</v>
      </c>
      <c r="U32" s="218">
        <f t="shared" si="4"/>
        <v>0</v>
      </c>
      <c r="V32" s="218">
        <f t="shared" si="4"/>
        <v>0</v>
      </c>
      <c r="W32" s="218">
        <f t="shared" si="4"/>
        <v>0</v>
      </c>
      <c r="X32" s="218">
        <f t="shared" si="4"/>
        <v>0</v>
      </c>
      <c r="Y32" s="218">
        <f t="shared" si="4"/>
        <v>0</v>
      </c>
      <c r="Z32" s="218">
        <f t="shared" si="4"/>
        <v>0</v>
      </c>
      <c r="AA32" s="218">
        <f t="shared" si="4"/>
        <v>0</v>
      </c>
      <c r="AB32" s="218">
        <f t="shared" si="4"/>
        <v>0</v>
      </c>
      <c r="AC32" s="218">
        <f t="shared" si="4"/>
        <v>0</v>
      </c>
      <c r="AD32" s="218">
        <f t="shared" si="4"/>
        <v>0</v>
      </c>
      <c r="AE32" s="218">
        <f t="shared" si="4"/>
        <v>0</v>
      </c>
      <c r="AF32" s="200"/>
      <c r="AG32" s="217" t="s">
        <v>293</v>
      </c>
      <c r="AH32" s="218">
        <f t="shared" ref="AH32:AW32" si="5">SUM(AH11:AH31)</f>
        <v>0</v>
      </c>
      <c r="AI32" s="218">
        <f t="shared" si="5"/>
        <v>0</v>
      </c>
      <c r="AJ32" s="218">
        <f t="shared" si="5"/>
        <v>0</v>
      </c>
      <c r="AK32" s="219">
        <f t="shared" si="5"/>
        <v>0</v>
      </c>
      <c r="AL32" s="218">
        <f t="shared" si="5"/>
        <v>0</v>
      </c>
      <c r="AM32" s="218">
        <f t="shared" si="5"/>
        <v>0</v>
      </c>
      <c r="AN32" s="218">
        <f t="shared" si="5"/>
        <v>0</v>
      </c>
      <c r="AO32" s="219">
        <f t="shared" si="5"/>
        <v>0</v>
      </c>
      <c r="AP32" s="218">
        <f t="shared" si="5"/>
        <v>0</v>
      </c>
      <c r="AQ32" s="218">
        <f t="shared" si="5"/>
        <v>0</v>
      </c>
      <c r="AR32" s="218">
        <f t="shared" si="5"/>
        <v>0</v>
      </c>
      <c r="AS32" s="219">
        <f t="shared" si="5"/>
        <v>0</v>
      </c>
      <c r="AT32" s="218">
        <f t="shared" si="5"/>
        <v>0</v>
      </c>
      <c r="AU32" s="218">
        <f t="shared" si="5"/>
        <v>0</v>
      </c>
      <c r="AV32" s="218">
        <f t="shared" si="5"/>
        <v>0</v>
      </c>
      <c r="AW32" s="219">
        <f t="shared" si="5"/>
        <v>0</v>
      </c>
      <c r="AX32" s="220">
        <f t="shared" ref="AX32:BK32" si="6">SUM(AX11:AX31)</f>
        <v>0</v>
      </c>
      <c r="AY32" s="221">
        <f t="shared" si="6"/>
        <v>0</v>
      </c>
      <c r="AZ32" s="218">
        <f t="shared" si="6"/>
        <v>0</v>
      </c>
      <c r="BA32" s="218">
        <f t="shared" si="6"/>
        <v>0</v>
      </c>
      <c r="BB32" s="218">
        <f t="shared" si="6"/>
        <v>0</v>
      </c>
      <c r="BC32" s="218">
        <f t="shared" si="6"/>
        <v>0</v>
      </c>
      <c r="BD32" s="218">
        <f t="shared" si="6"/>
        <v>0</v>
      </c>
      <c r="BE32" s="218">
        <f t="shared" si="6"/>
        <v>0</v>
      </c>
      <c r="BF32" s="218">
        <f t="shared" si="6"/>
        <v>0</v>
      </c>
      <c r="BG32" s="218">
        <f t="shared" si="6"/>
        <v>0</v>
      </c>
      <c r="BH32" s="218">
        <f t="shared" si="6"/>
        <v>0</v>
      </c>
      <c r="BI32" s="218">
        <f t="shared" si="6"/>
        <v>0</v>
      </c>
      <c r="BJ32" s="218">
        <f t="shared" si="6"/>
        <v>0</v>
      </c>
      <c r="BK32" s="218">
        <f t="shared" si="6"/>
        <v>0</v>
      </c>
    </row>
    <row r="33" spans="1:63" ht="18.75" x14ac:dyDescent="0.25">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row>
    <row r="34" spans="1:63" ht="18.75" x14ac:dyDescent="0.25">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1:63" ht="30" customHeight="1" x14ac:dyDescent="0.25">
      <c r="A35" s="1020" t="s">
        <v>254</v>
      </c>
      <c r="B35" s="205" t="s">
        <v>30</v>
      </c>
      <c r="C35" s="205" t="s">
        <v>31</v>
      </c>
      <c r="D35" s="1017" t="s">
        <v>32</v>
      </c>
      <c r="E35" s="1018"/>
      <c r="F35" s="205" t="s">
        <v>33</v>
      </c>
      <c r="G35" s="205" t="s">
        <v>34</v>
      </c>
      <c r="H35" s="1017" t="s">
        <v>35</v>
      </c>
      <c r="I35" s="1018"/>
      <c r="J35" s="205" t="s">
        <v>36</v>
      </c>
      <c r="K35" s="205" t="s">
        <v>37</v>
      </c>
      <c r="L35" s="1017" t="s">
        <v>8</v>
      </c>
      <c r="M35" s="1018"/>
      <c r="N35" s="205" t="s">
        <v>38</v>
      </c>
      <c r="O35" s="205" t="s">
        <v>39</v>
      </c>
      <c r="P35" s="1017" t="s">
        <v>40</v>
      </c>
      <c r="Q35" s="1018"/>
      <c r="R35" s="1017" t="s">
        <v>255</v>
      </c>
      <c r="S35" s="1018"/>
      <c r="T35" s="1017" t="s">
        <v>256</v>
      </c>
      <c r="U35" s="1019"/>
      <c r="V35" s="1019"/>
      <c r="W35" s="1019"/>
      <c r="X35" s="1019"/>
      <c r="Y35" s="1018"/>
      <c r="Z35" s="1017" t="s">
        <v>257</v>
      </c>
      <c r="AA35" s="1019"/>
      <c r="AB35" s="1019"/>
      <c r="AC35" s="1019"/>
      <c r="AD35" s="1019"/>
      <c r="AE35" s="1018"/>
      <c r="AF35" s="200"/>
      <c r="AG35" s="1020" t="s">
        <v>254</v>
      </c>
      <c r="AH35" s="205" t="s">
        <v>30</v>
      </c>
      <c r="AI35" s="205" t="s">
        <v>31</v>
      </c>
      <c r="AJ35" s="1017" t="s">
        <v>32</v>
      </c>
      <c r="AK35" s="1018"/>
      <c r="AL35" s="205" t="s">
        <v>33</v>
      </c>
      <c r="AM35" s="205" t="s">
        <v>34</v>
      </c>
      <c r="AN35" s="1017" t="s">
        <v>35</v>
      </c>
      <c r="AO35" s="1018"/>
      <c r="AP35" s="205" t="s">
        <v>36</v>
      </c>
      <c r="AQ35" s="205" t="s">
        <v>37</v>
      </c>
      <c r="AR35" s="1017" t="s">
        <v>8</v>
      </c>
      <c r="AS35" s="1018"/>
      <c r="AT35" s="205" t="s">
        <v>38</v>
      </c>
      <c r="AU35" s="205" t="s">
        <v>39</v>
      </c>
      <c r="AV35" s="1017" t="s">
        <v>40</v>
      </c>
      <c r="AW35" s="1018"/>
      <c r="AX35" s="1017" t="s">
        <v>255</v>
      </c>
      <c r="AY35" s="1018"/>
      <c r="AZ35" s="1017" t="s">
        <v>256</v>
      </c>
      <c r="BA35" s="1019"/>
      <c r="BB35" s="1019"/>
      <c r="BC35" s="1019"/>
      <c r="BD35" s="1019"/>
      <c r="BE35" s="1018"/>
      <c r="BF35" s="1017" t="s">
        <v>257</v>
      </c>
      <c r="BG35" s="1019"/>
      <c r="BH35" s="1019"/>
      <c r="BI35" s="1019"/>
      <c r="BJ35" s="1019"/>
      <c r="BK35" s="1018"/>
    </row>
    <row r="36" spans="1:63" ht="36" customHeight="1" x14ac:dyDescent="0.25">
      <c r="A36" s="1021"/>
      <c r="B36" s="206" t="s">
        <v>258</v>
      </c>
      <c r="C36" s="206" t="s">
        <v>258</v>
      </c>
      <c r="D36" s="206" t="s">
        <v>258</v>
      </c>
      <c r="E36" s="206" t="s">
        <v>259</v>
      </c>
      <c r="F36" s="206" t="s">
        <v>258</v>
      </c>
      <c r="G36" s="206" t="s">
        <v>258</v>
      </c>
      <c r="H36" s="206" t="s">
        <v>258</v>
      </c>
      <c r="I36" s="206" t="s">
        <v>259</v>
      </c>
      <c r="J36" s="206" t="s">
        <v>258</v>
      </c>
      <c r="K36" s="206" t="s">
        <v>258</v>
      </c>
      <c r="L36" s="206" t="s">
        <v>258</v>
      </c>
      <c r="M36" s="206" t="s">
        <v>259</v>
      </c>
      <c r="N36" s="206" t="s">
        <v>258</v>
      </c>
      <c r="O36" s="206" t="s">
        <v>258</v>
      </c>
      <c r="P36" s="206" t="s">
        <v>258</v>
      </c>
      <c r="Q36" s="206" t="s">
        <v>259</v>
      </c>
      <c r="R36" s="206" t="s">
        <v>258</v>
      </c>
      <c r="S36" s="206" t="s">
        <v>259</v>
      </c>
      <c r="T36" s="207" t="s">
        <v>260</v>
      </c>
      <c r="U36" s="207" t="s">
        <v>261</v>
      </c>
      <c r="V36" s="207" t="s">
        <v>262</v>
      </c>
      <c r="W36" s="207" t="s">
        <v>263</v>
      </c>
      <c r="X36" s="208" t="s">
        <v>264</v>
      </c>
      <c r="Y36" s="207" t="s">
        <v>265</v>
      </c>
      <c r="Z36" s="206" t="s">
        <v>266</v>
      </c>
      <c r="AA36" s="209" t="s">
        <v>267</v>
      </c>
      <c r="AB36" s="206" t="s">
        <v>268</v>
      </c>
      <c r="AC36" s="206" t="s">
        <v>269</v>
      </c>
      <c r="AD36" s="206" t="s">
        <v>270</v>
      </c>
      <c r="AE36" s="206" t="s">
        <v>271</v>
      </c>
      <c r="AF36" s="200"/>
      <c r="AG36" s="1021"/>
      <c r="AH36" s="206" t="s">
        <v>258</v>
      </c>
      <c r="AI36" s="206" t="s">
        <v>258</v>
      </c>
      <c r="AJ36" s="206" t="s">
        <v>258</v>
      </c>
      <c r="AK36" s="206" t="s">
        <v>259</v>
      </c>
      <c r="AL36" s="206" t="s">
        <v>258</v>
      </c>
      <c r="AM36" s="206" t="s">
        <v>258</v>
      </c>
      <c r="AN36" s="206" t="s">
        <v>258</v>
      </c>
      <c r="AO36" s="206" t="s">
        <v>259</v>
      </c>
      <c r="AP36" s="206" t="s">
        <v>258</v>
      </c>
      <c r="AQ36" s="206" t="s">
        <v>258</v>
      </c>
      <c r="AR36" s="206" t="s">
        <v>258</v>
      </c>
      <c r="AS36" s="206" t="s">
        <v>259</v>
      </c>
      <c r="AT36" s="206" t="s">
        <v>258</v>
      </c>
      <c r="AU36" s="206" t="s">
        <v>258</v>
      </c>
      <c r="AV36" s="206" t="s">
        <v>258</v>
      </c>
      <c r="AW36" s="206" t="s">
        <v>259</v>
      </c>
      <c r="AX36" s="206" t="s">
        <v>258</v>
      </c>
      <c r="AY36" s="206" t="s">
        <v>259</v>
      </c>
      <c r="AZ36" s="207" t="s">
        <v>260</v>
      </c>
      <c r="BA36" s="207" t="s">
        <v>261</v>
      </c>
      <c r="BB36" s="207" t="s">
        <v>262</v>
      </c>
      <c r="BC36" s="207" t="s">
        <v>263</v>
      </c>
      <c r="BD36" s="208" t="s">
        <v>264</v>
      </c>
      <c r="BE36" s="207" t="s">
        <v>265</v>
      </c>
      <c r="BF36" s="206" t="s">
        <v>266</v>
      </c>
      <c r="BG36" s="209" t="s">
        <v>267</v>
      </c>
      <c r="BH36" s="206" t="s">
        <v>268</v>
      </c>
      <c r="BI36" s="206" t="s">
        <v>269</v>
      </c>
      <c r="BJ36" s="206" t="s">
        <v>270</v>
      </c>
      <c r="BK36" s="206" t="s">
        <v>271</v>
      </c>
    </row>
    <row r="37" spans="1:63" ht="18.75" x14ac:dyDescent="0.25">
      <c r="A37" s="210" t="s">
        <v>272</v>
      </c>
      <c r="B37" s="210"/>
      <c r="C37" s="210"/>
      <c r="D37" s="210"/>
      <c r="E37" s="211"/>
      <c r="F37" s="210"/>
      <c r="G37" s="210"/>
      <c r="H37" s="210"/>
      <c r="I37" s="211"/>
      <c r="J37" s="210"/>
      <c r="K37" s="210"/>
      <c r="L37" s="210"/>
      <c r="M37" s="211"/>
      <c r="N37" s="210"/>
      <c r="O37" s="210"/>
      <c r="P37" s="210"/>
      <c r="Q37" s="211"/>
      <c r="R37" s="212">
        <f t="shared" ref="R37:R57" si="7">B37+C37+D37+F37+G37+H37+J37+K37+L37+N37+O37+P37</f>
        <v>0</v>
      </c>
      <c r="S37" s="213">
        <f>+E37+I37+M37+Q37</f>
        <v>0</v>
      </c>
      <c r="T37" s="214"/>
      <c r="U37" s="214"/>
      <c r="V37" s="214"/>
      <c r="W37" s="214"/>
      <c r="X37" s="214"/>
      <c r="Y37" s="215"/>
      <c r="Z37" s="215"/>
      <c r="AA37" s="215"/>
      <c r="AB37" s="215"/>
      <c r="AC37" s="215"/>
      <c r="AD37" s="215"/>
      <c r="AE37" s="216"/>
      <c r="AF37" s="200"/>
      <c r="AG37" s="210" t="s">
        <v>272</v>
      </c>
      <c r="AH37" s="210"/>
      <c r="AI37" s="210"/>
      <c r="AJ37" s="210"/>
      <c r="AK37" s="211"/>
      <c r="AL37" s="210"/>
      <c r="AM37" s="210"/>
      <c r="AN37" s="210"/>
      <c r="AO37" s="211"/>
      <c r="AP37" s="210"/>
      <c r="AQ37" s="210"/>
      <c r="AR37" s="210"/>
      <c r="AS37" s="211"/>
      <c r="AT37" s="210"/>
      <c r="AU37" s="210"/>
      <c r="AV37" s="210"/>
      <c r="AW37" s="211"/>
      <c r="AX37" s="212">
        <f t="shared" ref="AX37:AX57" si="8">AH37+AI37+AJ37+AL37+AM37+AN37+AP37+AQ37+AR37+AT37+AU37+AV37</f>
        <v>0</v>
      </c>
      <c r="AY37" s="213">
        <f>+AK37+AO37+AS37+AW37</f>
        <v>0</v>
      </c>
      <c r="AZ37" s="215"/>
      <c r="BA37" s="215"/>
      <c r="BB37" s="215"/>
      <c r="BC37" s="215"/>
      <c r="BD37" s="215"/>
      <c r="BE37" s="215"/>
      <c r="BF37" s="215"/>
      <c r="BG37" s="215"/>
      <c r="BH37" s="215"/>
      <c r="BI37" s="215"/>
      <c r="BJ37" s="215"/>
      <c r="BK37" s="216"/>
    </row>
    <row r="38" spans="1:63" ht="18.75" x14ac:dyDescent="0.25">
      <c r="A38" s="210" t="s">
        <v>273</v>
      </c>
      <c r="B38" s="210"/>
      <c r="C38" s="210"/>
      <c r="D38" s="210"/>
      <c r="E38" s="211"/>
      <c r="F38" s="210"/>
      <c r="G38" s="210"/>
      <c r="H38" s="210"/>
      <c r="I38" s="211"/>
      <c r="J38" s="210"/>
      <c r="K38" s="210"/>
      <c r="L38" s="210"/>
      <c r="M38" s="211"/>
      <c r="N38" s="210"/>
      <c r="O38" s="210"/>
      <c r="P38" s="210"/>
      <c r="Q38" s="211"/>
      <c r="R38" s="212">
        <f t="shared" si="7"/>
        <v>0</v>
      </c>
      <c r="S38" s="213">
        <f t="shared" ref="S38:S57" si="9">+E38+I38+M38+Q38</f>
        <v>0</v>
      </c>
      <c r="T38" s="214"/>
      <c r="U38" s="214"/>
      <c r="V38" s="214"/>
      <c r="W38" s="214"/>
      <c r="X38" s="214"/>
      <c r="Y38" s="215"/>
      <c r="Z38" s="215"/>
      <c r="AA38" s="215"/>
      <c r="AB38" s="215"/>
      <c r="AC38" s="215"/>
      <c r="AD38" s="215"/>
      <c r="AE38" s="215"/>
      <c r="AF38" s="200"/>
      <c r="AG38" s="210" t="s">
        <v>273</v>
      </c>
      <c r="AH38" s="210"/>
      <c r="AI38" s="210"/>
      <c r="AJ38" s="210"/>
      <c r="AK38" s="211"/>
      <c r="AL38" s="210"/>
      <c r="AM38" s="210"/>
      <c r="AN38" s="210"/>
      <c r="AO38" s="211"/>
      <c r="AP38" s="210"/>
      <c r="AQ38" s="210"/>
      <c r="AR38" s="210"/>
      <c r="AS38" s="211"/>
      <c r="AT38" s="210"/>
      <c r="AU38" s="210"/>
      <c r="AV38" s="210"/>
      <c r="AW38" s="211"/>
      <c r="AX38" s="212">
        <f t="shared" si="8"/>
        <v>0</v>
      </c>
      <c r="AY38" s="213">
        <f t="shared" ref="AY38:AY57" si="10">+AK38+AO38+AS38+AW38</f>
        <v>0</v>
      </c>
      <c r="AZ38" s="215"/>
      <c r="BA38" s="215"/>
      <c r="BB38" s="215"/>
      <c r="BC38" s="215"/>
      <c r="BD38" s="215"/>
      <c r="BE38" s="215"/>
      <c r="BF38" s="215"/>
      <c r="BG38" s="215"/>
      <c r="BH38" s="215"/>
      <c r="BI38" s="215"/>
      <c r="BJ38" s="215"/>
      <c r="BK38" s="215"/>
    </row>
    <row r="39" spans="1:63" ht="18.75" x14ac:dyDescent="0.25">
      <c r="A39" s="210" t="s">
        <v>274</v>
      </c>
      <c r="B39" s="210"/>
      <c r="C39" s="210"/>
      <c r="D39" s="210"/>
      <c r="E39" s="211"/>
      <c r="F39" s="210"/>
      <c r="G39" s="210"/>
      <c r="H39" s="210"/>
      <c r="I39" s="211"/>
      <c r="J39" s="210"/>
      <c r="K39" s="210"/>
      <c r="L39" s="210"/>
      <c r="M39" s="211"/>
      <c r="N39" s="210"/>
      <c r="O39" s="210"/>
      <c r="P39" s="210"/>
      <c r="Q39" s="211"/>
      <c r="R39" s="212">
        <f t="shared" si="7"/>
        <v>0</v>
      </c>
      <c r="S39" s="213">
        <f t="shared" si="9"/>
        <v>0</v>
      </c>
      <c r="T39" s="214"/>
      <c r="U39" s="214"/>
      <c r="V39" s="214"/>
      <c r="W39" s="214"/>
      <c r="X39" s="214"/>
      <c r="Y39" s="215"/>
      <c r="Z39" s="215"/>
      <c r="AA39" s="215"/>
      <c r="AB39" s="215"/>
      <c r="AC39" s="215"/>
      <c r="AD39" s="215"/>
      <c r="AE39" s="215"/>
      <c r="AF39" s="200"/>
      <c r="AG39" s="210" t="s">
        <v>274</v>
      </c>
      <c r="AH39" s="210"/>
      <c r="AI39" s="210"/>
      <c r="AJ39" s="210"/>
      <c r="AK39" s="211"/>
      <c r="AL39" s="210"/>
      <c r="AM39" s="210"/>
      <c r="AN39" s="210"/>
      <c r="AO39" s="211"/>
      <c r="AP39" s="210"/>
      <c r="AQ39" s="210"/>
      <c r="AR39" s="210"/>
      <c r="AS39" s="211"/>
      <c r="AT39" s="210"/>
      <c r="AU39" s="210"/>
      <c r="AV39" s="210"/>
      <c r="AW39" s="211"/>
      <c r="AX39" s="212">
        <f t="shared" si="8"/>
        <v>0</v>
      </c>
      <c r="AY39" s="213">
        <f t="shared" si="10"/>
        <v>0</v>
      </c>
      <c r="AZ39" s="215"/>
      <c r="BA39" s="215"/>
      <c r="BB39" s="215"/>
      <c r="BC39" s="215"/>
      <c r="BD39" s="215"/>
      <c r="BE39" s="215"/>
      <c r="BF39" s="215"/>
      <c r="BG39" s="215"/>
      <c r="BH39" s="215"/>
      <c r="BI39" s="215"/>
      <c r="BJ39" s="215"/>
      <c r="BK39" s="215"/>
    </row>
    <row r="40" spans="1:63" ht="18.75" x14ac:dyDescent="0.25">
      <c r="A40" s="210" t="s">
        <v>275</v>
      </c>
      <c r="B40" s="210"/>
      <c r="C40" s="210"/>
      <c r="D40" s="210"/>
      <c r="E40" s="211"/>
      <c r="F40" s="210"/>
      <c r="G40" s="210"/>
      <c r="H40" s="210"/>
      <c r="I40" s="211"/>
      <c r="J40" s="210"/>
      <c r="K40" s="210"/>
      <c r="L40" s="210"/>
      <c r="M40" s="211"/>
      <c r="N40" s="210"/>
      <c r="O40" s="210"/>
      <c r="P40" s="210"/>
      <c r="Q40" s="211"/>
      <c r="R40" s="212">
        <f t="shared" si="7"/>
        <v>0</v>
      </c>
      <c r="S40" s="213">
        <f t="shared" si="9"/>
        <v>0</v>
      </c>
      <c r="T40" s="214"/>
      <c r="U40" s="214"/>
      <c r="V40" s="214"/>
      <c r="W40" s="214"/>
      <c r="X40" s="214"/>
      <c r="Y40" s="215"/>
      <c r="Z40" s="215"/>
      <c r="AA40" s="215"/>
      <c r="AB40" s="215"/>
      <c r="AC40" s="215"/>
      <c r="AD40" s="215"/>
      <c r="AE40" s="215"/>
      <c r="AF40" s="200"/>
      <c r="AG40" s="210" t="s">
        <v>275</v>
      </c>
      <c r="AH40" s="210"/>
      <c r="AI40" s="210"/>
      <c r="AJ40" s="210"/>
      <c r="AK40" s="211"/>
      <c r="AL40" s="210"/>
      <c r="AM40" s="210"/>
      <c r="AN40" s="210"/>
      <c r="AO40" s="211"/>
      <c r="AP40" s="210"/>
      <c r="AQ40" s="210"/>
      <c r="AR40" s="210"/>
      <c r="AS40" s="211"/>
      <c r="AT40" s="210"/>
      <c r="AU40" s="210"/>
      <c r="AV40" s="210"/>
      <c r="AW40" s="211"/>
      <c r="AX40" s="212">
        <f t="shared" si="8"/>
        <v>0</v>
      </c>
      <c r="AY40" s="213">
        <f t="shared" si="10"/>
        <v>0</v>
      </c>
      <c r="AZ40" s="215"/>
      <c r="BA40" s="215"/>
      <c r="BB40" s="215"/>
      <c r="BC40" s="215"/>
      <c r="BD40" s="215"/>
      <c r="BE40" s="215"/>
      <c r="BF40" s="215"/>
      <c r="BG40" s="215"/>
      <c r="BH40" s="215"/>
      <c r="BI40" s="215"/>
      <c r="BJ40" s="215"/>
      <c r="BK40" s="215"/>
    </row>
    <row r="41" spans="1:63" ht="18.75" x14ac:dyDescent="0.25">
      <c r="A41" s="210" t="s">
        <v>276</v>
      </c>
      <c r="B41" s="210"/>
      <c r="C41" s="210"/>
      <c r="D41" s="210"/>
      <c r="E41" s="211"/>
      <c r="F41" s="210"/>
      <c r="G41" s="210"/>
      <c r="H41" s="210"/>
      <c r="I41" s="211"/>
      <c r="J41" s="210"/>
      <c r="K41" s="210"/>
      <c r="L41" s="210"/>
      <c r="M41" s="211"/>
      <c r="N41" s="210"/>
      <c r="O41" s="210"/>
      <c r="P41" s="210"/>
      <c r="Q41" s="211"/>
      <c r="R41" s="212">
        <f t="shared" si="7"/>
        <v>0</v>
      </c>
      <c r="S41" s="213">
        <f t="shared" si="9"/>
        <v>0</v>
      </c>
      <c r="T41" s="214"/>
      <c r="U41" s="214"/>
      <c r="V41" s="214"/>
      <c r="W41" s="214"/>
      <c r="X41" s="214"/>
      <c r="Y41" s="215"/>
      <c r="Z41" s="215"/>
      <c r="AA41" s="215"/>
      <c r="AB41" s="215"/>
      <c r="AC41" s="215"/>
      <c r="AD41" s="215"/>
      <c r="AE41" s="215"/>
      <c r="AF41" s="200"/>
      <c r="AG41" s="210" t="s">
        <v>276</v>
      </c>
      <c r="AH41" s="210"/>
      <c r="AI41" s="210"/>
      <c r="AJ41" s="210"/>
      <c r="AK41" s="211"/>
      <c r="AL41" s="210"/>
      <c r="AM41" s="210"/>
      <c r="AN41" s="210"/>
      <c r="AO41" s="211"/>
      <c r="AP41" s="210"/>
      <c r="AQ41" s="210"/>
      <c r="AR41" s="210"/>
      <c r="AS41" s="211"/>
      <c r="AT41" s="210"/>
      <c r="AU41" s="210"/>
      <c r="AV41" s="210"/>
      <c r="AW41" s="211"/>
      <c r="AX41" s="212">
        <f t="shared" si="8"/>
        <v>0</v>
      </c>
      <c r="AY41" s="213">
        <f t="shared" si="10"/>
        <v>0</v>
      </c>
      <c r="AZ41" s="215"/>
      <c r="BA41" s="215"/>
      <c r="BB41" s="215"/>
      <c r="BC41" s="215"/>
      <c r="BD41" s="215"/>
      <c r="BE41" s="215"/>
      <c r="BF41" s="215"/>
      <c r="BG41" s="215"/>
      <c r="BH41" s="215"/>
      <c r="BI41" s="215"/>
      <c r="BJ41" s="215"/>
      <c r="BK41" s="215"/>
    </row>
    <row r="42" spans="1:63" ht="18.75" x14ac:dyDescent="0.25">
      <c r="A42" s="210" t="s">
        <v>277</v>
      </c>
      <c r="B42" s="210"/>
      <c r="C42" s="210"/>
      <c r="D42" s="210"/>
      <c r="E42" s="211"/>
      <c r="F42" s="210"/>
      <c r="G42" s="210"/>
      <c r="H42" s="210"/>
      <c r="I42" s="211"/>
      <c r="J42" s="210"/>
      <c r="K42" s="210"/>
      <c r="L42" s="210"/>
      <c r="M42" s="211"/>
      <c r="N42" s="210"/>
      <c r="O42" s="210"/>
      <c r="P42" s="210"/>
      <c r="Q42" s="211"/>
      <c r="R42" s="212">
        <f t="shared" si="7"/>
        <v>0</v>
      </c>
      <c r="S42" s="213">
        <f t="shared" si="9"/>
        <v>0</v>
      </c>
      <c r="T42" s="214"/>
      <c r="U42" s="214"/>
      <c r="V42" s="214"/>
      <c r="W42" s="214"/>
      <c r="X42" s="214"/>
      <c r="Y42" s="215"/>
      <c r="Z42" s="215"/>
      <c r="AA42" s="215"/>
      <c r="AB42" s="215"/>
      <c r="AC42" s="215"/>
      <c r="AD42" s="215"/>
      <c r="AE42" s="215"/>
      <c r="AF42" s="200"/>
      <c r="AG42" s="210" t="s">
        <v>277</v>
      </c>
      <c r="AH42" s="210"/>
      <c r="AI42" s="210"/>
      <c r="AJ42" s="210"/>
      <c r="AK42" s="211"/>
      <c r="AL42" s="210"/>
      <c r="AM42" s="210"/>
      <c r="AN42" s="210"/>
      <c r="AO42" s="211"/>
      <c r="AP42" s="210"/>
      <c r="AQ42" s="210"/>
      <c r="AR42" s="210"/>
      <c r="AS42" s="211"/>
      <c r="AT42" s="210"/>
      <c r="AU42" s="210"/>
      <c r="AV42" s="210"/>
      <c r="AW42" s="211"/>
      <c r="AX42" s="212">
        <f t="shared" si="8"/>
        <v>0</v>
      </c>
      <c r="AY42" s="213">
        <f t="shared" si="10"/>
        <v>0</v>
      </c>
      <c r="AZ42" s="215"/>
      <c r="BA42" s="215"/>
      <c r="BB42" s="215"/>
      <c r="BC42" s="215"/>
      <c r="BD42" s="215"/>
      <c r="BE42" s="215"/>
      <c r="BF42" s="215"/>
      <c r="BG42" s="215"/>
      <c r="BH42" s="215"/>
      <c r="BI42" s="215"/>
      <c r="BJ42" s="215"/>
      <c r="BK42" s="215"/>
    </row>
    <row r="43" spans="1:63" ht="18.75" x14ac:dyDescent="0.25">
      <c r="A43" s="210" t="s">
        <v>278</v>
      </c>
      <c r="B43" s="210"/>
      <c r="C43" s="210"/>
      <c r="D43" s="210"/>
      <c r="E43" s="211"/>
      <c r="F43" s="210"/>
      <c r="G43" s="210"/>
      <c r="H43" s="210"/>
      <c r="I43" s="211"/>
      <c r="J43" s="210"/>
      <c r="K43" s="210"/>
      <c r="L43" s="210"/>
      <c r="M43" s="211"/>
      <c r="N43" s="210"/>
      <c r="O43" s="210"/>
      <c r="P43" s="210"/>
      <c r="Q43" s="211"/>
      <c r="R43" s="212">
        <f t="shared" si="7"/>
        <v>0</v>
      </c>
      <c r="S43" s="213">
        <f t="shared" si="9"/>
        <v>0</v>
      </c>
      <c r="T43" s="214"/>
      <c r="U43" s="214"/>
      <c r="V43" s="214"/>
      <c r="W43" s="214"/>
      <c r="X43" s="214"/>
      <c r="Y43" s="215"/>
      <c r="Z43" s="215"/>
      <c r="AA43" s="215"/>
      <c r="AB43" s="215"/>
      <c r="AC43" s="215"/>
      <c r="AD43" s="215"/>
      <c r="AE43" s="215"/>
      <c r="AF43" s="200"/>
      <c r="AG43" s="210" t="s">
        <v>278</v>
      </c>
      <c r="AH43" s="210"/>
      <c r="AI43" s="210"/>
      <c r="AJ43" s="210"/>
      <c r="AK43" s="211"/>
      <c r="AL43" s="210"/>
      <c r="AM43" s="210"/>
      <c r="AN43" s="210"/>
      <c r="AO43" s="211"/>
      <c r="AP43" s="210"/>
      <c r="AQ43" s="210"/>
      <c r="AR43" s="210"/>
      <c r="AS43" s="211"/>
      <c r="AT43" s="210"/>
      <c r="AU43" s="210"/>
      <c r="AV43" s="210"/>
      <c r="AW43" s="211"/>
      <c r="AX43" s="212">
        <f t="shared" si="8"/>
        <v>0</v>
      </c>
      <c r="AY43" s="213">
        <f t="shared" si="10"/>
        <v>0</v>
      </c>
      <c r="AZ43" s="215"/>
      <c r="BA43" s="215"/>
      <c r="BB43" s="215"/>
      <c r="BC43" s="215"/>
      <c r="BD43" s="215"/>
      <c r="BE43" s="215"/>
      <c r="BF43" s="215"/>
      <c r="BG43" s="215"/>
      <c r="BH43" s="215"/>
      <c r="BI43" s="215"/>
      <c r="BJ43" s="215"/>
      <c r="BK43" s="215"/>
    </row>
    <row r="44" spans="1:63" ht="18.75" x14ac:dyDescent="0.25">
      <c r="A44" s="210" t="s">
        <v>279</v>
      </c>
      <c r="B44" s="210"/>
      <c r="C44" s="210"/>
      <c r="D44" s="210"/>
      <c r="E44" s="211"/>
      <c r="F44" s="210"/>
      <c r="G44" s="210"/>
      <c r="H44" s="210"/>
      <c r="I44" s="211"/>
      <c r="J44" s="210"/>
      <c r="K44" s="210"/>
      <c r="L44" s="210"/>
      <c r="M44" s="211"/>
      <c r="N44" s="210"/>
      <c r="O44" s="210"/>
      <c r="P44" s="210"/>
      <c r="Q44" s="211"/>
      <c r="R44" s="212">
        <f t="shared" si="7"/>
        <v>0</v>
      </c>
      <c r="S44" s="213">
        <f t="shared" si="9"/>
        <v>0</v>
      </c>
      <c r="T44" s="214"/>
      <c r="U44" s="214"/>
      <c r="V44" s="214"/>
      <c r="W44" s="214"/>
      <c r="X44" s="214"/>
      <c r="Y44" s="215"/>
      <c r="Z44" s="215"/>
      <c r="AA44" s="215"/>
      <c r="AB44" s="215"/>
      <c r="AC44" s="215"/>
      <c r="AD44" s="215"/>
      <c r="AE44" s="215"/>
      <c r="AF44" s="200"/>
      <c r="AG44" s="210" t="s">
        <v>279</v>
      </c>
      <c r="AH44" s="210"/>
      <c r="AI44" s="210"/>
      <c r="AJ44" s="210"/>
      <c r="AK44" s="211"/>
      <c r="AL44" s="210"/>
      <c r="AM44" s="210"/>
      <c r="AN44" s="210"/>
      <c r="AO44" s="211"/>
      <c r="AP44" s="210"/>
      <c r="AQ44" s="210"/>
      <c r="AR44" s="210"/>
      <c r="AS44" s="211"/>
      <c r="AT44" s="210"/>
      <c r="AU44" s="210"/>
      <c r="AV44" s="210"/>
      <c r="AW44" s="211"/>
      <c r="AX44" s="212">
        <f t="shared" si="8"/>
        <v>0</v>
      </c>
      <c r="AY44" s="213">
        <f t="shared" si="10"/>
        <v>0</v>
      </c>
      <c r="AZ44" s="215"/>
      <c r="BA44" s="215"/>
      <c r="BB44" s="215"/>
      <c r="BC44" s="215"/>
      <c r="BD44" s="215"/>
      <c r="BE44" s="215"/>
      <c r="BF44" s="215"/>
      <c r="BG44" s="215"/>
      <c r="BH44" s="215"/>
      <c r="BI44" s="215"/>
      <c r="BJ44" s="215"/>
      <c r="BK44" s="215"/>
    </row>
    <row r="45" spans="1:63" ht="18.75" x14ac:dyDescent="0.25">
      <c r="A45" s="210" t="s">
        <v>280</v>
      </c>
      <c r="B45" s="210"/>
      <c r="C45" s="210"/>
      <c r="D45" s="210"/>
      <c r="E45" s="211"/>
      <c r="F45" s="210"/>
      <c r="G45" s="210"/>
      <c r="H45" s="210"/>
      <c r="I45" s="211"/>
      <c r="J45" s="210"/>
      <c r="K45" s="210"/>
      <c r="L45" s="210"/>
      <c r="M45" s="211"/>
      <c r="N45" s="210"/>
      <c r="O45" s="210"/>
      <c r="P45" s="210"/>
      <c r="Q45" s="211"/>
      <c r="R45" s="212">
        <f t="shared" si="7"/>
        <v>0</v>
      </c>
      <c r="S45" s="213">
        <f t="shared" si="9"/>
        <v>0</v>
      </c>
      <c r="T45" s="214"/>
      <c r="U45" s="214"/>
      <c r="V45" s="214"/>
      <c r="W45" s="214"/>
      <c r="X45" s="214"/>
      <c r="Y45" s="215"/>
      <c r="Z45" s="215"/>
      <c r="AA45" s="215"/>
      <c r="AB45" s="215"/>
      <c r="AC45" s="215"/>
      <c r="AD45" s="215"/>
      <c r="AE45" s="215"/>
      <c r="AF45" s="200"/>
      <c r="AG45" s="210" t="s">
        <v>280</v>
      </c>
      <c r="AH45" s="210"/>
      <c r="AI45" s="210"/>
      <c r="AJ45" s="210"/>
      <c r="AK45" s="211"/>
      <c r="AL45" s="210"/>
      <c r="AM45" s="210"/>
      <c r="AN45" s="210"/>
      <c r="AO45" s="211"/>
      <c r="AP45" s="210"/>
      <c r="AQ45" s="210"/>
      <c r="AR45" s="210"/>
      <c r="AS45" s="211"/>
      <c r="AT45" s="210"/>
      <c r="AU45" s="210"/>
      <c r="AV45" s="210"/>
      <c r="AW45" s="211"/>
      <c r="AX45" s="212">
        <f t="shared" si="8"/>
        <v>0</v>
      </c>
      <c r="AY45" s="213">
        <f t="shared" si="10"/>
        <v>0</v>
      </c>
      <c r="AZ45" s="215"/>
      <c r="BA45" s="215"/>
      <c r="BB45" s="215"/>
      <c r="BC45" s="215"/>
      <c r="BD45" s="215"/>
      <c r="BE45" s="215"/>
      <c r="BF45" s="215"/>
      <c r="BG45" s="215"/>
      <c r="BH45" s="215"/>
      <c r="BI45" s="210"/>
      <c r="BJ45" s="210"/>
      <c r="BK45" s="210"/>
    </row>
    <row r="46" spans="1:63" ht="18.75" x14ac:dyDescent="0.25">
      <c r="A46" s="210" t="s">
        <v>281</v>
      </c>
      <c r="B46" s="210"/>
      <c r="C46" s="210"/>
      <c r="D46" s="210"/>
      <c r="E46" s="211"/>
      <c r="F46" s="210"/>
      <c r="G46" s="210"/>
      <c r="H46" s="210"/>
      <c r="I46" s="211"/>
      <c r="J46" s="210"/>
      <c r="K46" s="210"/>
      <c r="L46" s="210"/>
      <c r="M46" s="211"/>
      <c r="N46" s="210"/>
      <c r="O46" s="210"/>
      <c r="P46" s="210"/>
      <c r="Q46" s="211"/>
      <c r="R46" s="212">
        <f t="shared" si="7"/>
        <v>0</v>
      </c>
      <c r="S46" s="213">
        <f t="shared" si="9"/>
        <v>0</v>
      </c>
      <c r="T46" s="214"/>
      <c r="U46" s="214"/>
      <c r="V46" s="214"/>
      <c r="W46" s="214"/>
      <c r="X46" s="214"/>
      <c r="Y46" s="215"/>
      <c r="Z46" s="215"/>
      <c r="AA46" s="215"/>
      <c r="AB46" s="215"/>
      <c r="AC46" s="215"/>
      <c r="AD46" s="215"/>
      <c r="AE46" s="215"/>
      <c r="AF46" s="200"/>
      <c r="AG46" s="210" t="s">
        <v>281</v>
      </c>
      <c r="AH46" s="210"/>
      <c r="AI46" s="210"/>
      <c r="AJ46" s="210"/>
      <c r="AK46" s="211"/>
      <c r="AL46" s="210"/>
      <c r="AM46" s="210"/>
      <c r="AN46" s="210"/>
      <c r="AO46" s="211"/>
      <c r="AP46" s="210"/>
      <c r="AQ46" s="210"/>
      <c r="AR46" s="210"/>
      <c r="AS46" s="211"/>
      <c r="AT46" s="210"/>
      <c r="AU46" s="210"/>
      <c r="AV46" s="210"/>
      <c r="AW46" s="211"/>
      <c r="AX46" s="212">
        <f t="shared" si="8"/>
        <v>0</v>
      </c>
      <c r="AY46" s="213">
        <f t="shared" si="10"/>
        <v>0</v>
      </c>
      <c r="AZ46" s="215"/>
      <c r="BA46" s="215"/>
      <c r="BB46" s="215"/>
      <c r="BC46" s="215"/>
      <c r="BD46" s="215"/>
      <c r="BE46" s="215"/>
      <c r="BF46" s="215"/>
      <c r="BG46" s="215"/>
      <c r="BH46" s="215"/>
      <c r="BI46" s="210"/>
      <c r="BJ46" s="210"/>
      <c r="BK46" s="210"/>
    </row>
    <row r="47" spans="1:63" ht="18.75" x14ac:dyDescent="0.25">
      <c r="A47" s="210" t="s">
        <v>282</v>
      </c>
      <c r="B47" s="210"/>
      <c r="C47" s="210"/>
      <c r="D47" s="210"/>
      <c r="E47" s="211"/>
      <c r="F47" s="210"/>
      <c r="G47" s="210"/>
      <c r="H47" s="210"/>
      <c r="I47" s="211"/>
      <c r="J47" s="210"/>
      <c r="K47" s="210"/>
      <c r="L47" s="210"/>
      <c r="M47" s="211"/>
      <c r="N47" s="210"/>
      <c r="O47" s="210"/>
      <c r="P47" s="210"/>
      <c r="Q47" s="211"/>
      <c r="R47" s="212">
        <f t="shared" si="7"/>
        <v>0</v>
      </c>
      <c r="S47" s="213">
        <f t="shared" si="9"/>
        <v>0</v>
      </c>
      <c r="T47" s="214"/>
      <c r="U47" s="214"/>
      <c r="V47" s="214"/>
      <c r="W47" s="214"/>
      <c r="X47" s="214"/>
      <c r="Y47" s="215"/>
      <c r="Z47" s="215"/>
      <c r="AA47" s="215"/>
      <c r="AB47" s="215"/>
      <c r="AC47" s="215"/>
      <c r="AD47" s="215"/>
      <c r="AE47" s="215"/>
      <c r="AF47" s="200"/>
      <c r="AG47" s="210" t="s">
        <v>282</v>
      </c>
      <c r="AH47" s="210"/>
      <c r="AI47" s="210"/>
      <c r="AJ47" s="210"/>
      <c r="AK47" s="211"/>
      <c r="AL47" s="210"/>
      <c r="AM47" s="210"/>
      <c r="AN47" s="210"/>
      <c r="AO47" s="211"/>
      <c r="AP47" s="210"/>
      <c r="AQ47" s="210"/>
      <c r="AR47" s="210"/>
      <c r="AS47" s="211"/>
      <c r="AT47" s="210"/>
      <c r="AU47" s="210"/>
      <c r="AV47" s="210"/>
      <c r="AW47" s="211"/>
      <c r="AX47" s="212">
        <f t="shared" si="8"/>
        <v>0</v>
      </c>
      <c r="AY47" s="213">
        <f t="shared" si="10"/>
        <v>0</v>
      </c>
      <c r="AZ47" s="215"/>
      <c r="BA47" s="215"/>
      <c r="BB47" s="215"/>
      <c r="BC47" s="215"/>
      <c r="BD47" s="215"/>
      <c r="BE47" s="215"/>
      <c r="BF47" s="215"/>
      <c r="BG47" s="215"/>
      <c r="BH47" s="215"/>
      <c r="BI47" s="210"/>
      <c r="BJ47" s="210"/>
      <c r="BK47" s="210"/>
    </row>
    <row r="48" spans="1:63" ht="18.75" x14ac:dyDescent="0.25">
      <c r="A48" s="210" t="s">
        <v>283</v>
      </c>
      <c r="B48" s="210"/>
      <c r="C48" s="210"/>
      <c r="D48" s="210"/>
      <c r="E48" s="211"/>
      <c r="F48" s="210"/>
      <c r="G48" s="210"/>
      <c r="H48" s="210"/>
      <c r="I48" s="211"/>
      <c r="J48" s="210"/>
      <c r="K48" s="210"/>
      <c r="L48" s="210"/>
      <c r="M48" s="211"/>
      <c r="N48" s="210"/>
      <c r="O48" s="210"/>
      <c r="P48" s="210"/>
      <c r="Q48" s="211"/>
      <c r="R48" s="212">
        <f t="shared" si="7"/>
        <v>0</v>
      </c>
      <c r="S48" s="213">
        <f t="shared" si="9"/>
        <v>0</v>
      </c>
      <c r="T48" s="214"/>
      <c r="U48" s="214"/>
      <c r="V48" s="214"/>
      <c r="W48" s="214"/>
      <c r="X48" s="214"/>
      <c r="Y48" s="215"/>
      <c r="Z48" s="215"/>
      <c r="AA48" s="215"/>
      <c r="AB48" s="215"/>
      <c r="AC48" s="215"/>
      <c r="AD48" s="215"/>
      <c r="AE48" s="215"/>
      <c r="AF48" s="200"/>
      <c r="AG48" s="210" t="s">
        <v>283</v>
      </c>
      <c r="AH48" s="210"/>
      <c r="AI48" s="210"/>
      <c r="AJ48" s="210"/>
      <c r="AK48" s="211"/>
      <c r="AL48" s="210"/>
      <c r="AM48" s="210"/>
      <c r="AN48" s="210"/>
      <c r="AO48" s="211"/>
      <c r="AP48" s="210"/>
      <c r="AQ48" s="210"/>
      <c r="AR48" s="210"/>
      <c r="AS48" s="211"/>
      <c r="AT48" s="210"/>
      <c r="AU48" s="210"/>
      <c r="AV48" s="210"/>
      <c r="AW48" s="211"/>
      <c r="AX48" s="212">
        <f t="shared" si="8"/>
        <v>0</v>
      </c>
      <c r="AY48" s="213">
        <f t="shared" si="10"/>
        <v>0</v>
      </c>
      <c r="AZ48" s="215"/>
      <c r="BA48" s="215"/>
      <c r="BB48" s="215"/>
      <c r="BC48" s="215"/>
      <c r="BD48" s="215"/>
      <c r="BE48" s="215"/>
      <c r="BF48" s="215"/>
      <c r="BG48" s="215"/>
      <c r="BH48" s="215"/>
      <c r="BI48" s="215"/>
      <c r="BJ48" s="215"/>
      <c r="BK48" s="215"/>
    </row>
    <row r="49" spans="1:63" ht="18.75" x14ac:dyDescent="0.25">
      <c r="A49" s="210" t="s">
        <v>284</v>
      </c>
      <c r="B49" s="210"/>
      <c r="C49" s="210"/>
      <c r="D49" s="210"/>
      <c r="E49" s="211"/>
      <c r="F49" s="210"/>
      <c r="G49" s="210"/>
      <c r="H49" s="210"/>
      <c r="I49" s="211"/>
      <c r="J49" s="210"/>
      <c r="K49" s="210"/>
      <c r="L49" s="210"/>
      <c r="M49" s="211"/>
      <c r="N49" s="210"/>
      <c r="O49" s="210"/>
      <c r="P49" s="210"/>
      <c r="Q49" s="211"/>
      <c r="R49" s="212">
        <f t="shared" si="7"/>
        <v>0</v>
      </c>
      <c r="S49" s="213">
        <f t="shared" si="9"/>
        <v>0</v>
      </c>
      <c r="T49" s="214"/>
      <c r="U49" s="214"/>
      <c r="V49" s="214"/>
      <c r="W49" s="214"/>
      <c r="X49" s="214"/>
      <c r="Y49" s="215"/>
      <c r="Z49" s="215"/>
      <c r="AA49" s="215"/>
      <c r="AB49" s="215"/>
      <c r="AC49" s="215"/>
      <c r="AD49" s="215"/>
      <c r="AE49" s="215"/>
      <c r="AF49" s="200"/>
      <c r="AG49" s="210" t="s">
        <v>284</v>
      </c>
      <c r="AH49" s="210"/>
      <c r="AI49" s="210"/>
      <c r="AJ49" s="210"/>
      <c r="AK49" s="211"/>
      <c r="AL49" s="210"/>
      <c r="AM49" s="210"/>
      <c r="AN49" s="210"/>
      <c r="AO49" s="211"/>
      <c r="AP49" s="210"/>
      <c r="AQ49" s="210"/>
      <c r="AR49" s="210"/>
      <c r="AS49" s="211"/>
      <c r="AT49" s="210"/>
      <c r="AU49" s="210"/>
      <c r="AV49" s="210"/>
      <c r="AW49" s="211"/>
      <c r="AX49" s="212">
        <f t="shared" si="8"/>
        <v>0</v>
      </c>
      <c r="AY49" s="213">
        <f t="shared" si="10"/>
        <v>0</v>
      </c>
      <c r="AZ49" s="215"/>
      <c r="BA49" s="215"/>
      <c r="BB49" s="215"/>
      <c r="BC49" s="215"/>
      <c r="BD49" s="215"/>
      <c r="BE49" s="215"/>
      <c r="BF49" s="215"/>
      <c r="BG49" s="215"/>
      <c r="BH49" s="215"/>
      <c r="BI49" s="215"/>
      <c r="BJ49" s="215"/>
      <c r="BK49" s="215"/>
    </row>
    <row r="50" spans="1:63" ht="18.75" x14ac:dyDescent="0.25">
      <c r="A50" s="210" t="s">
        <v>285</v>
      </c>
      <c r="B50" s="210"/>
      <c r="C50" s="210"/>
      <c r="D50" s="210"/>
      <c r="E50" s="211"/>
      <c r="F50" s="210"/>
      <c r="G50" s="210"/>
      <c r="H50" s="210"/>
      <c r="I50" s="211"/>
      <c r="J50" s="210"/>
      <c r="K50" s="210"/>
      <c r="L50" s="210"/>
      <c r="M50" s="211"/>
      <c r="N50" s="210"/>
      <c r="O50" s="210"/>
      <c r="P50" s="210"/>
      <c r="Q50" s="211"/>
      <c r="R50" s="212">
        <f t="shared" si="7"/>
        <v>0</v>
      </c>
      <c r="S50" s="213">
        <f t="shared" si="9"/>
        <v>0</v>
      </c>
      <c r="T50" s="214"/>
      <c r="U50" s="214"/>
      <c r="V50" s="214"/>
      <c r="W50" s="214"/>
      <c r="X50" s="214"/>
      <c r="Y50" s="215"/>
      <c r="Z50" s="215"/>
      <c r="AA50" s="215"/>
      <c r="AB50" s="215"/>
      <c r="AC50" s="215"/>
      <c r="AD50" s="215"/>
      <c r="AE50" s="215"/>
      <c r="AF50" s="200"/>
      <c r="AG50" s="210" t="s">
        <v>285</v>
      </c>
      <c r="AH50" s="210"/>
      <c r="AI50" s="210"/>
      <c r="AJ50" s="210"/>
      <c r="AK50" s="211"/>
      <c r="AL50" s="210"/>
      <c r="AM50" s="210"/>
      <c r="AN50" s="210"/>
      <c r="AO50" s="211"/>
      <c r="AP50" s="210"/>
      <c r="AQ50" s="210"/>
      <c r="AR50" s="210"/>
      <c r="AS50" s="211"/>
      <c r="AT50" s="210"/>
      <c r="AU50" s="210"/>
      <c r="AV50" s="210"/>
      <c r="AW50" s="211"/>
      <c r="AX50" s="212">
        <f t="shared" si="8"/>
        <v>0</v>
      </c>
      <c r="AY50" s="213">
        <f t="shared" si="10"/>
        <v>0</v>
      </c>
      <c r="AZ50" s="215"/>
      <c r="BA50" s="215"/>
      <c r="BB50" s="215"/>
      <c r="BC50" s="215"/>
      <c r="BD50" s="215"/>
      <c r="BE50" s="215"/>
      <c r="BF50" s="215"/>
      <c r="BG50" s="215"/>
      <c r="BH50" s="215"/>
      <c r="BI50" s="215"/>
      <c r="BJ50" s="215"/>
      <c r="BK50" s="215"/>
    </row>
    <row r="51" spans="1:63" ht="18.75" x14ac:dyDescent="0.25">
      <c r="A51" s="210" t="s">
        <v>286</v>
      </c>
      <c r="B51" s="210"/>
      <c r="C51" s="210"/>
      <c r="D51" s="210"/>
      <c r="E51" s="211"/>
      <c r="F51" s="210"/>
      <c r="G51" s="210"/>
      <c r="H51" s="210"/>
      <c r="I51" s="211"/>
      <c r="J51" s="210"/>
      <c r="K51" s="210"/>
      <c r="L51" s="210"/>
      <c r="M51" s="211"/>
      <c r="N51" s="210"/>
      <c r="O51" s="210"/>
      <c r="P51" s="210"/>
      <c r="Q51" s="211"/>
      <c r="R51" s="212">
        <f t="shared" si="7"/>
        <v>0</v>
      </c>
      <c r="S51" s="213">
        <f t="shared" si="9"/>
        <v>0</v>
      </c>
      <c r="T51" s="214"/>
      <c r="U51" s="214"/>
      <c r="V51" s="214"/>
      <c r="W51" s="214"/>
      <c r="X51" s="214"/>
      <c r="Y51" s="215"/>
      <c r="Z51" s="215"/>
      <c r="AA51" s="215"/>
      <c r="AB51" s="215"/>
      <c r="AC51" s="215"/>
      <c r="AD51" s="215"/>
      <c r="AE51" s="215"/>
      <c r="AF51" s="200"/>
      <c r="AG51" s="210" t="s">
        <v>286</v>
      </c>
      <c r="AH51" s="210"/>
      <c r="AI51" s="210"/>
      <c r="AJ51" s="210"/>
      <c r="AK51" s="211"/>
      <c r="AL51" s="210"/>
      <c r="AM51" s="210"/>
      <c r="AN51" s="210"/>
      <c r="AO51" s="211"/>
      <c r="AP51" s="210"/>
      <c r="AQ51" s="210"/>
      <c r="AR51" s="210"/>
      <c r="AS51" s="211"/>
      <c r="AT51" s="210"/>
      <c r="AU51" s="210"/>
      <c r="AV51" s="210"/>
      <c r="AW51" s="211"/>
      <c r="AX51" s="212">
        <f t="shared" si="8"/>
        <v>0</v>
      </c>
      <c r="AY51" s="213">
        <f t="shared" si="10"/>
        <v>0</v>
      </c>
      <c r="AZ51" s="215"/>
      <c r="BA51" s="215"/>
      <c r="BB51" s="215"/>
      <c r="BC51" s="215"/>
      <c r="BD51" s="215"/>
      <c r="BE51" s="215"/>
      <c r="BF51" s="215"/>
      <c r="BG51" s="215"/>
      <c r="BH51" s="215"/>
      <c r="BI51" s="215"/>
      <c r="BJ51" s="215"/>
      <c r="BK51" s="215"/>
    </row>
    <row r="52" spans="1:63" ht="18.75" x14ac:dyDescent="0.25">
      <c r="A52" s="210" t="s">
        <v>287</v>
      </c>
      <c r="B52" s="210"/>
      <c r="C52" s="210"/>
      <c r="D52" s="210"/>
      <c r="E52" s="211"/>
      <c r="F52" s="210"/>
      <c r="G52" s="210"/>
      <c r="H52" s="210"/>
      <c r="I52" s="211"/>
      <c r="J52" s="210"/>
      <c r="K52" s="210"/>
      <c r="L52" s="210"/>
      <c r="M52" s="211"/>
      <c r="N52" s="210"/>
      <c r="O52" s="210"/>
      <c r="P52" s="210"/>
      <c r="Q52" s="211"/>
      <c r="R52" s="212">
        <f t="shared" si="7"/>
        <v>0</v>
      </c>
      <c r="S52" s="213">
        <f t="shared" si="9"/>
        <v>0</v>
      </c>
      <c r="T52" s="214"/>
      <c r="U52" s="214"/>
      <c r="V52" s="214"/>
      <c r="W52" s="214"/>
      <c r="X52" s="214"/>
      <c r="Y52" s="215"/>
      <c r="Z52" s="215"/>
      <c r="AA52" s="215"/>
      <c r="AB52" s="215"/>
      <c r="AC52" s="215"/>
      <c r="AD52" s="215"/>
      <c r="AE52" s="215"/>
      <c r="AF52" s="200"/>
      <c r="AG52" s="210" t="s">
        <v>287</v>
      </c>
      <c r="AH52" s="210"/>
      <c r="AI52" s="210"/>
      <c r="AJ52" s="210"/>
      <c r="AK52" s="211"/>
      <c r="AL52" s="210"/>
      <c r="AM52" s="210"/>
      <c r="AN52" s="210"/>
      <c r="AO52" s="211"/>
      <c r="AP52" s="210"/>
      <c r="AQ52" s="210"/>
      <c r="AR52" s="210"/>
      <c r="AS52" s="211"/>
      <c r="AT52" s="210"/>
      <c r="AU52" s="210"/>
      <c r="AV52" s="210"/>
      <c r="AW52" s="211"/>
      <c r="AX52" s="212">
        <f t="shared" si="8"/>
        <v>0</v>
      </c>
      <c r="AY52" s="213">
        <f t="shared" si="10"/>
        <v>0</v>
      </c>
      <c r="AZ52" s="215"/>
      <c r="BA52" s="215"/>
      <c r="BB52" s="215"/>
      <c r="BC52" s="215"/>
      <c r="BD52" s="215"/>
      <c r="BE52" s="215"/>
      <c r="BF52" s="215"/>
      <c r="BG52" s="215"/>
      <c r="BH52" s="215"/>
      <c r="BI52" s="215"/>
      <c r="BJ52" s="215"/>
      <c r="BK52" s="215"/>
    </row>
    <row r="53" spans="1:63" ht="18.75" x14ac:dyDescent="0.25">
      <c r="A53" s="210" t="s">
        <v>288</v>
      </c>
      <c r="B53" s="210"/>
      <c r="C53" s="210"/>
      <c r="D53" s="210"/>
      <c r="E53" s="211"/>
      <c r="F53" s="210"/>
      <c r="G53" s="210"/>
      <c r="H53" s="210"/>
      <c r="I53" s="211"/>
      <c r="J53" s="210"/>
      <c r="K53" s="210"/>
      <c r="L53" s="210"/>
      <c r="M53" s="211"/>
      <c r="N53" s="210"/>
      <c r="O53" s="210"/>
      <c r="P53" s="210"/>
      <c r="Q53" s="211"/>
      <c r="R53" s="212">
        <f t="shared" si="7"/>
        <v>0</v>
      </c>
      <c r="S53" s="213">
        <f t="shared" si="9"/>
        <v>0</v>
      </c>
      <c r="T53" s="214"/>
      <c r="U53" s="214"/>
      <c r="V53" s="214"/>
      <c r="W53" s="214"/>
      <c r="X53" s="214"/>
      <c r="Y53" s="215"/>
      <c r="Z53" s="215"/>
      <c r="AA53" s="215"/>
      <c r="AB53" s="215"/>
      <c r="AC53" s="215"/>
      <c r="AD53" s="215"/>
      <c r="AE53" s="215"/>
      <c r="AF53" s="200"/>
      <c r="AG53" s="210" t="s">
        <v>288</v>
      </c>
      <c r="AH53" s="210"/>
      <c r="AI53" s="210"/>
      <c r="AJ53" s="210"/>
      <c r="AK53" s="211"/>
      <c r="AL53" s="210"/>
      <c r="AM53" s="210"/>
      <c r="AN53" s="210"/>
      <c r="AO53" s="211"/>
      <c r="AP53" s="210"/>
      <c r="AQ53" s="210"/>
      <c r="AR53" s="210"/>
      <c r="AS53" s="211"/>
      <c r="AT53" s="210"/>
      <c r="AU53" s="210"/>
      <c r="AV53" s="210"/>
      <c r="AW53" s="211"/>
      <c r="AX53" s="212">
        <f t="shared" si="8"/>
        <v>0</v>
      </c>
      <c r="AY53" s="213">
        <f t="shared" si="10"/>
        <v>0</v>
      </c>
      <c r="AZ53" s="215"/>
      <c r="BA53" s="215"/>
      <c r="BB53" s="215"/>
      <c r="BC53" s="215"/>
      <c r="BD53" s="215"/>
      <c r="BE53" s="215"/>
      <c r="BF53" s="215"/>
      <c r="BG53" s="215"/>
      <c r="BH53" s="215"/>
      <c r="BI53" s="215"/>
      <c r="BJ53" s="215"/>
      <c r="BK53" s="215"/>
    </row>
    <row r="54" spans="1:63" ht="18.75" x14ac:dyDescent="0.25">
      <c r="A54" s="210" t="s">
        <v>289</v>
      </c>
      <c r="B54" s="210"/>
      <c r="C54" s="210"/>
      <c r="D54" s="210"/>
      <c r="E54" s="211"/>
      <c r="F54" s="210"/>
      <c r="G54" s="210"/>
      <c r="H54" s="210"/>
      <c r="I54" s="211"/>
      <c r="J54" s="210"/>
      <c r="K54" s="210"/>
      <c r="L54" s="210"/>
      <c r="M54" s="211"/>
      <c r="N54" s="210"/>
      <c r="O54" s="210"/>
      <c r="P54" s="210"/>
      <c r="Q54" s="211"/>
      <c r="R54" s="212">
        <f t="shared" si="7"/>
        <v>0</v>
      </c>
      <c r="S54" s="213">
        <f t="shared" si="9"/>
        <v>0</v>
      </c>
      <c r="T54" s="214"/>
      <c r="U54" s="214"/>
      <c r="V54" s="214"/>
      <c r="W54" s="214"/>
      <c r="X54" s="214"/>
      <c r="Y54" s="215"/>
      <c r="Z54" s="215"/>
      <c r="AA54" s="215"/>
      <c r="AB54" s="215"/>
      <c r="AC54" s="215"/>
      <c r="AD54" s="215"/>
      <c r="AE54" s="215"/>
      <c r="AF54" s="200"/>
      <c r="AG54" s="210" t="s">
        <v>289</v>
      </c>
      <c r="AH54" s="210"/>
      <c r="AI54" s="210"/>
      <c r="AJ54" s="210"/>
      <c r="AK54" s="211"/>
      <c r="AL54" s="210"/>
      <c r="AM54" s="210"/>
      <c r="AN54" s="210"/>
      <c r="AO54" s="211"/>
      <c r="AP54" s="210"/>
      <c r="AQ54" s="210"/>
      <c r="AR54" s="210"/>
      <c r="AS54" s="211"/>
      <c r="AT54" s="210"/>
      <c r="AU54" s="210"/>
      <c r="AV54" s="210"/>
      <c r="AW54" s="211"/>
      <c r="AX54" s="212">
        <f t="shared" si="8"/>
        <v>0</v>
      </c>
      <c r="AY54" s="213">
        <f t="shared" si="10"/>
        <v>0</v>
      </c>
      <c r="AZ54" s="215"/>
      <c r="BA54" s="215"/>
      <c r="BB54" s="215"/>
      <c r="BC54" s="215"/>
      <c r="BD54" s="215"/>
      <c r="BE54" s="215"/>
      <c r="BF54" s="215"/>
      <c r="BG54" s="215"/>
      <c r="BH54" s="215"/>
      <c r="BI54" s="215"/>
      <c r="BJ54" s="215"/>
      <c r="BK54" s="215"/>
    </row>
    <row r="55" spans="1:63" ht="18.75" x14ac:dyDescent="0.25">
      <c r="A55" s="210" t="s">
        <v>290</v>
      </c>
      <c r="B55" s="210"/>
      <c r="C55" s="210"/>
      <c r="D55" s="210"/>
      <c r="E55" s="211"/>
      <c r="F55" s="210"/>
      <c r="G55" s="210"/>
      <c r="H55" s="210"/>
      <c r="I55" s="211"/>
      <c r="J55" s="210"/>
      <c r="K55" s="210"/>
      <c r="L55" s="210"/>
      <c r="M55" s="211"/>
      <c r="N55" s="210"/>
      <c r="O55" s="210"/>
      <c r="P55" s="210"/>
      <c r="Q55" s="211"/>
      <c r="R55" s="212">
        <f t="shared" si="7"/>
        <v>0</v>
      </c>
      <c r="S55" s="213">
        <f t="shared" si="9"/>
        <v>0</v>
      </c>
      <c r="T55" s="214"/>
      <c r="U55" s="214"/>
      <c r="V55" s="214"/>
      <c r="W55" s="214"/>
      <c r="X55" s="214"/>
      <c r="Y55" s="215"/>
      <c r="Z55" s="215"/>
      <c r="AA55" s="215"/>
      <c r="AB55" s="215"/>
      <c r="AC55" s="215"/>
      <c r="AD55" s="215"/>
      <c r="AE55" s="215"/>
      <c r="AF55" s="200"/>
      <c r="AG55" s="210" t="s">
        <v>290</v>
      </c>
      <c r="AH55" s="210"/>
      <c r="AI55" s="210"/>
      <c r="AJ55" s="210"/>
      <c r="AK55" s="211"/>
      <c r="AL55" s="210"/>
      <c r="AM55" s="210"/>
      <c r="AN55" s="210"/>
      <c r="AO55" s="211"/>
      <c r="AP55" s="210"/>
      <c r="AQ55" s="210"/>
      <c r="AR55" s="210"/>
      <c r="AS55" s="211"/>
      <c r="AT55" s="210"/>
      <c r="AU55" s="210"/>
      <c r="AV55" s="210"/>
      <c r="AW55" s="211"/>
      <c r="AX55" s="212">
        <f t="shared" si="8"/>
        <v>0</v>
      </c>
      <c r="AY55" s="213">
        <f t="shared" si="10"/>
        <v>0</v>
      </c>
      <c r="AZ55" s="215"/>
      <c r="BA55" s="215"/>
      <c r="BB55" s="215"/>
      <c r="BC55" s="215"/>
      <c r="BD55" s="215"/>
      <c r="BE55" s="215"/>
      <c r="BF55" s="215"/>
      <c r="BG55" s="215"/>
      <c r="BH55" s="215"/>
      <c r="BI55" s="215"/>
      <c r="BJ55" s="215"/>
      <c r="BK55" s="215"/>
    </row>
    <row r="56" spans="1:63" ht="18.75" x14ac:dyDescent="0.25">
      <c r="A56" s="210" t="s">
        <v>291</v>
      </c>
      <c r="B56" s="210"/>
      <c r="C56" s="210"/>
      <c r="D56" s="210"/>
      <c r="E56" s="211"/>
      <c r="F56" s="210"/>
      <c r="G56" s="210"/>
      <c r="H56" s="210"/>
      <c r="I56" s="211"/>
      <c r="J56" s="210"/>
      <c r="K56" s="210"/>
      <c r="L56" s="210"/>
      <c r="M56" s="211"/>
      <c r="N56" s="210"/>
      <c r="O56" s="210"/>
      <c r="P56" s="210"/>
      <c r="Q56" s="211"/>
      <c r="R56" s="212">
        <f t="shared" si="7"/>
        <v>0</v>
      </c>
      <c r="S56" s="213">
        <f t="shared" si="9"/>
        <v>0</v>
      </c>
      <c r="T56" s="214"/>
      <c r="U56" s="214"/>
      <c r="V56" s="214"/>
      <c r="W56" s="214"/>
      <c r="X56" s="214"/>
      <c r="Y56" s="215"/>
      <c r="Z56" s="215"/>
      <c r="AA56" s="215"/>
      <c r="AB56" s="215"/>
      <c r="AC56" s="215"/>
      <c r="AD56" s="215"/>
      <c r="AE56" s="215"/>
      <c r="AF56" s="200"/>
      <c r="AG56" s="210" t="s">
        <v>291</v>
      </c>
      <c r="AH56" s="210"/>
      <c r="AI56" s="210"/>
      <c r="AJ56" s="210"/>
      <c r="AK56" s="211"/>
      <c r="AL56" s="210"/>
      <c r="AM56" s="210"/>
      <c r="AN56" s="210"/>
      <c r="AO56" s="211"/>
      <c r="AP56" s="210"/>
      <c r="AQ56" s="210"/>
      <c r="AR56" s="210"/>
      <c r="AS56" s="211"/>
      <c r="AT56" s="210"/>
      <c r="AU56" s="210"/>
      <c r="AV56" s="210"/>
      <c r="AW56" s="211"/>
      <c r="AX56" s="212">
        <f t="shared" si="8"/>
        <v>0</v>
      </c>
      <c r="AY56" s="213">
        <f t="shared" si="10"/>
        <v>0</v>
      </c>
      <c r="AZ56" s="215"/>
      <c r="BA56" s="215"/>
      <c r="BB56" s="215"/>
      <c r="BC56" s="215"/>
      <c r="BD56" s="215"/>
      <c r="BE56" s="215"/>
      <c r="BF56" s="215"/>
      <c r="BG56" s="215"/>
      <c r="BH56" s="215"/>
      <c r="BI56" s="215"/>
      <c r="BJ56" s="215"/>
      <c r="BK56" s="215"/>
    </row>
    <row r="57" spans="1:63" ht="18.75" x14ac:dyDescent="0.25">
      <c r="A57" s="210" t="s">
        <v>292</v>
      </c>
      <c r="B57" s="210"/>
      <c r="C57" s="210"/>
      <c r="D57" s="210"/>
      <c r="E57" s="211"/>
      <c r="F57" s="210"/>
      <c r="G57" s="210"/>
      <c r="H57" s="210"/>
      <c r="I57" s="211"/>
      <c r="J57" s="210"/>
      <c r="K57" s="210"/>
      <c r="L57" s="210"/>
      <c r="M57" s="211"/>
      <c r="N57" s="210"/>
      <c r="O57" s="210"/>
      <c r="P57" s="210"/>
      <c r="Q57" s="211"/>
      <c r="R57" s="212">
        <f t="shared" si="7"/>
        <v>0</v>
      </c>
      <c r="S57" s="213">
        <f t="shared" si="9"/>
        <v>0</v>
      </c>
      <c r="T57" s="214"/>
      <c r="U57" s="214"/>
      <c r="V57" s="214"/>
      <c r="W57" s="214"/>
      <c r="X57" s="214"/>
      <c r="Y57" s="215"/>
      <c r="Z57" s="215"/>
      <c r="AA57" s="215"/>
      <c r="AB57" s="215"/>
      <c r="AC57" s="215"/>
      <c r="AD57" s="215"/>
      <c r="AE57" s="215"/>
      <c r="AF57" s="200"/>
      <c r="AG57" s="210" t="s">
        <v>292</v>
      </c>
      <c r="AH57" s="210"/>
      <c r="AI57" s="210"/>
      <c r="AJ57" s="210"/>
      <c r="AK57" s="211"/>
      <c r="AL57" s="210"/>
      <c r="AM57" s="210"/>
      <c r="AN57" s="210"/>
      <c r="AO57" s="211"/>
      <c r="AP57" s="210"/>
      <c r="AQ57" s="210"/>
      <c r="AR57" s="210"/>
      <c r="AS57" s="211"/>
      <c r="AT57" s="210"/>
      <c r="AU57" s="210"/>
      <c r="AV57" s="210"/>
      <c r="AW57" s="211"/>
      <c r="AX57" s="212">
        <f t="shared" si="8"/>
        <v>0</v>
      </c>
      <c r="AY57" s="213">
        <f t="shared" si="10"/>
        <v>0</v>
      </c>
      <c r="AZ57" s="215"/>
      <c r="BA57" s="215"/>
      <c r="BB57" s="215"/>
      <c r="BC57" s="215"/>
      <c r="BD57" s="215"/>
      <c r="BE57" s="215"/>
      <c r="BF57" s="215"/>
      <c r="BG57" s="215"/>
      <c r="BH57" s="215"/>
      <c r="BI57" s="215"/>
      <c r="BJ57" s="215"/>
      <c r="BK57" s="215"/>
    </row>
    <row r="58" spans="1:63" ht="18.75" x14ac:dyDescent="0.25">
      <c r="A58" s="217" t="s">
        <v>293</v>
      </c>
      <c r="B58" s="218">
        <f t="shared" ref="B58:Q58" si="11">SUM(B37:B57)</f>
        <v>0</v>
      </c>
      <c r="C58" s="218">
        <f t="shared" si="11"/>
        <v>0</v>
      </c>
      <c r="D58" s="218">
        <f t="shared" si="11"/>
        <v>0</v>
      </c>
      <c r="E58" s="219">
        <f t="shared" si="11"/>
        <v>0</v>
      </c>
      <c r="F58" s="218">
        <f t="shared" si="11"/>
        <v>0</v>
      </c>
      <c r="G58" s="218">
        <f t="shared" si="11"/>
        <v>0</v>
      </c>
      <c r="H58" s="218">
        <f t="shared" si="11"/>
        <v>0</v>
      </c>
      <c r="I58" s="219">
        <f t="shared" si="11"/>
        <v>0</v>
      </c>
      <c r="J58" s="218">
        <f t="shared" si="11"/>
        <v>0</v>
      </c>
      <c r="K58" s="218">
        <f t="shared" si="11"/>
        <v>0</v>
      </c>
      <c r="L58" s="218">
        <f t="shared" si="11"/>
        <v>0</v>
      </c>
      <c r="M58" s="219">
        <f t="shared" si="11"/>
        <v>0</v>
      </c>
      <c r="N58" s="218">
        <f t="shared" si="11"/>
        <v>0</v>
      </c>
      <c r="O58" s="218">
        <f t="shared" si="11"/>
        <v>0</v>
      </c>
      <c r="P58" s="218">
        <f t="shared" si="11"/>
        <v>0</v>
      </c>
      <c r="Q58" s="219">
        <f t="shared" si="11"/>
        <v>0</v>
      </c>
      <c r="R58" s="218">
        <f t="shared" ref="R58:AE58" si="12">SUM(R37:R57)</f>
        <v>0</v>
      </c>
      <c r="S58" s="213">
        <f t="shared" si="12"/>
        <v>0</v>
      </c>
      <c r="T58" s="218">
        <f t="shared" si="12"/>
        <v>0</v>
      </c>
      <c r="U58" s="218">
        <f t="shared" si="12"/>
        <v>0</v>
      </c>
      <c r="V58" s="218">
        <f t="shared" si="12"/>
        <v>0</v>
      </c>
      <c r="W58" s="218">
        <f t="shared" si="12"/>
        <v>0</v>
      </c>
      <c r="X58" s="218">
        <f t="shared" si="12"/>
        <v>0</v>
      </c>
      <c r="Y58" s="218">
        <f t="shared" si="12"/>
        <v>0</v>
      </c>
      <c r="Z58" s="218">
        <f t="shared" si="12"/>
        <v>0</v>
      </c>
      <c r="AA58" s="218">
        <f t="shared" si="12"/>
        <v>0</v>
      </c>
      <c r="AB58" s="218">
        <f t="shared" si="12"/>
        <v>0</v>
      </c>
      <c r="AC58" s="218">
        <f t="shared" si="12"/>
        <v>0</v>
      </c>
      <c r="AD58" s="218">
        <f t="shared" si="12"/>
        <v>0</v>
      </c>
      <c r="AE58" s="218">
        <f t="shared" si="12"/>
        <v>0</v>
      </c>
      <c r="AF58" s="200"/>
      <c r="AG58" s="217" t="s">
        <v>293</v>
      </c>
      <c r="AH58" s="218">
        <f t="shared" ref="AH58:AW58" si="13">SUM(AH37:AH57)</f>
        <v>0</v>
      </c>
      <c r="AI58" s="218">
        <f t="shared" si="13"/>
        <v>0</v>
      </c>
      <c r="AJ58" s="218">
        <f t="shared" si="13"/>
        <v>0</v>
      </c>
      <c r="AK58" s="219">
        <f t="shared" si="13"/>
        <v>0</v>
      </c>
      <c r="AL58" s="218">
        <f t="shared" si="13"/>
        <v>0</v>
      </c>
      <c r="AM58" s="218">
        <f t="shared" si="13"/>
        <v>0</v>
      </c>
      <c r="AN58" s="218">
        <f t="shared" si="13"/>
        <v>0</v>
      </c>
      <c r="AO58" s="219">
        <f t="shared" si="13"/>
        <v>0</v>
      </c>
      <c r="AP58" s="218">
        <f t="shared" si="13"/>
        <v>0</v>
      </c>
      <c r="AQ58" s="218">
        <f t="shared" si="13"/>
        <v>0</v>
      </c>
      <c r="AR58" s="218">
        <f t="shared" si="13"/>
        <v>0</v>
      </c>
      <c r="AS58" s="219">
        <f t="shared" si="13"/>
        <v>0</v>
      </c>
      <c r="AT58" s="218">
        <f t="shared" si="13"/>
        <v>0</v>
      </c>
      <c r="AU58" s="218">
        <f t="shared" si="13"/>
        <v>0</v>
      </c>
      <c r="AV58" s="218">
        <f t="shared" si="13"/>
        <v>0</v>
      </c>
      <c r="AW58" s="219">
        <f t="shared" si="13"/>
        <v>0</v>
      </c>
      <c r="AX58" s="220">
        <f t="shared" ref="AX58:BK58" si="14">SUM(AX37:AX57)</f>
        <v>0</v>
      </c>
      <c r="AY58" s="221">
        <f t="shared" si="14"/>
        <v>0</v>
      </c>
      <c r="AZ58" s="218">
        <f t="shared" si="14"/>
        <v>0</v>
      </c>
      <c r="BA58" s="218">
        <f t="shared" si="14"/>
        <v>0</v>
      </c>
      <c r="BB58" s="218">
        <f t="shared" si="14"/>
        <v>0</v>
      </c>
      <c r="BC58" s="218">
        <f t="shared" si="14"/>
        <v>0</v>
      </c>
      <c r="BD58" s="218">
        <f t="shared" si="14"/>
        <v>0</v>
      </c>
      <c r="BE58" s="218">
        <f t="shared" si="14"/>
        <v>0</v>
      </c>
      <c r="BF58" s="218">
        <f t="shared" si="14"/>
        <v>0</v>
      </c>
      <c r="BG58" s="218">
        <f t="shared" si="14"/>
        <v>0</v>
      </c>
      <c r="BH58" s="218">
        <f t="shared" si="14"/>
        <v>0</v>
      </c>
      <c r="BI58" s="218">
        <f t="shared" si="14"/>
        <v>0</v>
      </c>
      <c r="BJ58" s="218">
        <f t="shared" si="14"/>
        <v>0</v>
      </c>
      <c r="BK58" s="218">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5" right="0.75" top="1" bottom="1" header="0.3" footer="0.3"/>
  <pageSetup paperSize="9" scale="1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7109375" defaultRowHeight="15" x14ac:dyDescent="0.25"/>
  <cols>
    <col min="1" max="1" width="72" style="125" bestFit="1" customWidth="1"/>
    <col min="2" max="2" width="73.42578125" style="125" customWidth="1"/>
    <col min="3" max="3" width="10.7109375" style="125"/>
    <col min="4" max="4" width="31.140625" style="125" customWidth="1"/>
    <col min="5" max="5" width="70.140625" style="125" customWidth="1"/>
    <col min="6" max="6" width="17.28515625" style="125" customWidth="1"/>
    <col min="7" max="8" width="21.7109375" style="125" customWidth="1"/>
    <col min="9" max="9" width="19.28515625" style="125" customWidth="1"/>
    <col min="10" max="10" width="42" style="125" customWidth="1"/>
    <col min="11" max="16384" width="10.7109375" style="125"/>
  </cols>
  <sheetData>
    <row r="1" spans="1:2" ht="25.5" customHeight="1" x14ac:dyDescent="0.25">
      <c r="A1" s="1032" t="s">
        <v>155</v>
      </c>
      <c r="B1" s="1033"/>
    </row>
    <row r="2" spans="1:2" ht="25.5" customHeight="1" x14ac:dyDescent="0.25">
      <c r="A2" s="1034" t="s">
        <v>294</v>
      </c>
      <c r="B2" s="1035"/>
    </row>
    <row r="3" spans="1:2" x14ac:dyDescent="0.25">
      <c r="A3" s="143" t="s">
        <v>295</v>
      </c>
      <c r="B3" s="126" t="s">
        <v>296</v>
      </c>
    </row>
    <row r="4" spans="1:2" x14ac:dyDescent="0.25">
      <c r="A4" s="144" t="s">
        <v>9</v>
      </c>
      <c r="B4" s="133" t="s">
        <v>297</v>
      </c>
    </row>
    <row r="5" spans="1:2" ht="105" x14ac:dyDescent="0.25">
      <c r="A5" s="144" t="s">
        <v>10</v>
      </c>
      <c r="B5" s="146" t="s">
        <v>298</v>
      </c>
    </row>
    <row r="6" spans="1:2" x14ac:dyDescent="0.25">
      <c r="A6" s="144" t="s">
        <v>15</v>
      </c>
      <c r="B6" s="1036" t="s">
        <v>299</v>
      </c>
    </row>
    <row r="7" spans="1:2" x14ac:dyDescent="0.25">
      <c r="A7" s="144" t="s">
        <v>17</v>
      </c>
      <c r="B7" s="1037"/>
    </row>
    <row r="8" spans="1:2" x14ac:dyDescent="0.25">
      <c r="A8" s="144" t="s">
        <v>19</v>
      </c>
      <c r="B8" s="1037"/>
    </row>
    <row r="9" spans="1:2" x14ac:dyDescent="0.25">
      <c r="A9" s="144" t="s">
        <v>300</v>
      </c>
      <c r="B9" s="1038"/>
    </row>
    <row r="10" spans="1:2" ht="30" x14ac:dyDescent="0.25">
      <c r="A10" s="144" t="s">
        <v>7</v>
      </c>
      <c r="B10" s="127" t="s">
        <v>301</v>
      </c>
    </row>
    <row r="11" spans="1:2" ht="45" x14ac:dyDescent="0.25">
      <c r="A11" s="144" t="s">
        <v>27</v>
      </c>
      <c r="B11" s="127" t="s">
        <v>302</v>
      </c>
    </row>
    <row r="12" spans="1:2" ht="60" x14ac:dyDescent="0.25">
      <c r="A12" s="144" t="s">
        <v>26</v>
      </c>
      <c r="B12" s="128" t="s">
        <v>303</v>
      </c>
    </row>
    <row r="13" spans="1:2" ht="30" x14ac:dyDescent="0.25">
      <c r="A13" s="144" t="s">
        <v>304</v>
      </c>
      <c r="B13" s="128" t="s">
        <v>305</v>
      </c>
    </row>
    <row r="14" spans="1:2" ht="45" x14ac:dyDescent="0.25">
      <c r="A14" s="144" t="s">
        <v>306</v>
      </c>
      <c r="B14" s="128" t="s">
        <v>307</v>
      </c>
    </row>
    <row r="15" spans="1:2" ht="72" customHeight="1" x14ac:dyDescent="0.25">
      <c r="A15" s="145" t="s">
        <v>308</v>
      </c>
      <c r="B15" s="129" t="s">
        <v>309</v>
      </c>
    </row>
    <row r="16" spans="1:2" ht="194.25" x14ac:dyDescent="0.25">
      <c r="A16" s="145" t="s">
        <v>310</v>
      </c>
      <c r="B16" s="130" t="s">
        <v>311</v>
      </c>
    </row>
    <row r="17" spans="1:2" ht="25.5" customHeight="1" x14ac:dyDescent="0.25">
      <c r="A17" s="1034" t="s">
        <v>312</v>
      </c>
      <c r="B17" s="1035"/>
    </row>
    <row r="18" spans="1:2" x14ac:dyDescent="0.25">
      <c r="A18" s="143" t="s">
        <v>295</v>
      </c>
      <c r="B18" s="126" t="s">
        <v>296</v>
      </c>
    </row>
    <row r="19" spans="1:2" x14ac:dyDescent="0.25">
      <c r="A19" s="144" t="s">
        <v>9</v>
      </c>
      <c r="B19" s="133" t="s">
        <v>297</v>
      </c>
    </row>
    <row r="20" spans="1:2" ht="105" x14ac:dyDescent="0.25">
      <c r="A20" s="144" t="s">
        <v>10</v>
      </c>
      <c r="B20" s="132" t="s">
        <v>313</v>
      </c>
    </row>
    <row r="21" spans="1:2" ht="30" x14ac:dyDescent="0.25">
      <c r="A21" s="144" t="s">
        <v>314</v>
      </c>
      <c r="B21" s="128" t="s">
        <v>315</v>
      </c>
    </row>
    <row r="22" spans="1:2" ht="45" x14ac:dyDescent="0.25">
      <c r="A22" s="144" t="s">
        <v>316</v>
      </c>
      <c r="B22" s="128" t="s">
        <v>317</v>
      </c>
    </row>
    <row r="23" spans="1:2" ht="75" x14ac:dyDescent="0.25">
      <c r="A23" s="144" t="s">
        <v>318</v>
      </c>
      <c r="B23" s="128" t="s">
        <v>319</v>
      </c>
    </row>
    <row r="24" spans="1:2" ht="30" x14ac:dyDescent="0.25">
      <c r="A24" s="144" t="s">
        <v>320</v>
      </c>
      <c r="B24" s="128" t="s">
        <v>321</v>
      </c>
    </row>
    <row r="25" spans="1:2" x14ac:dyDescent="0.25">
      <c r="A25" s="144" t="s">
        <v>322</v>
      </c>
      <c r="B25" s="128" t="s">
        <v>323</v>
      </c>
    </row>
    <row r="26" spans="1:2" ht="45.75" customHeight="1" x14ac:dyDescent="0.25">
      <c r="A26" s="144" t="s">
        <v>324</v>
      </c>
      <c r="B26" s="131" t="s">
        <v>325</v>
      </c>
    </row>
    <row r="27" spans="1:2" ht="75" x14ac:dyDescent="0.25">
      <c r="A27" s="144" t="s">
        <v>169</v>
      </c>
      <c r="B27" s="131" t="s">
        <v>326</v>
      </c>
    </row>
    <row r="28" spans="1:2" ht="45" x14ac:dyDescent="0.25">
      <c r="A28" s="144" t="s">
        <v>327</v>
      </c>
      <c r="B28" s="131" t="s">
        <v>328</v>
      </c>
    </row>
    <row r="29" spans="1:2" ht="45" x14ac:dyDescent="0.25">
      <c r="A29" s="144" t="s">
        <v>329</v>
      </c>
      <c r="B29" s="131" t="s">
        <v>330</v>
      </c>
    </row>
    <row r="30" spans="1:2" ht="45" x14ac:dyDescent="0.25">
      <c r="A30" s="144" t="s">
        <v>331</v>
      </c>
      <c r="B30" s="131" t="s">
        <v>332</v>
      </c>
    </row>
    <row r="31" spans="1:2" ht="144" customHeight="1" x14ac:dyDescent="0.25">
      <c r="A31" s="144" t="s">
        <v>333</v>
      </c>
      <c r="B31" s="131" t="s">
        <v>334</v>
      </c>
    </row>
    <row r="32" spans="1:2" ht="30" x14ac:dyDescent="0.25">
      <c r="A32" s="144" t="s">
        <v>335</v>
      </c>
      <c r="B32" s="131" t="s">
        <v>336</v>
      </c>
    </row>
    <row r="33" spans="1:2" ht="30" x14ac:dyDescent="0.25">
      <c r="A33" s="144" t="s">
        <v>337</v>
      </c>
      <c r="B33" s="131" t="s">
        <v>338</v>
      </c>
    </row>
    <row r="34" spans="1:2" ht="30" x14ac:dyDescent="0.25">
      <c r="A34" s="144" t="s">
        <v>339</v>
      </c>
      <c r="B34" s="131" t="s">
        <v>340</v>
      </c>
    </row>
    <row r="35" spans="1:2" ht="30" x14ac:dyDescent="0.25">
      <c r="A35" s="144" t="s">
        <v>341</v>
      </c>
      <c r="B35" s="131" t="s">
        <v>342</v>
      </c>
    </row>
    <row r="36" spans="1:2" ht="75" x14ac:dyDescent="0.25">
      <c r="A36" s="144" t="s">
        <v>343</v>
      </c>
      <c r="B36" s="131" t="s">
        <v>344</v>
      </c>
    </row>
    <row r="37" spans="1:2" x14ac:dyDescent="0.25">
      <c r="A37" s="144" t="s">
        <v>158</v>
      </c>
      <c r="B37" s="131" t="s">
        <v>345</v>
      </c>
    </row>
    <row r="38" spans="1:2" ht="30" x14ac:dyDescent="0.25">
      <c r="A38" s="144" t="s">
        <v>346</v>
      </c>
      <c r="B38" s="131" t="s">
        <v>347</v>
      </c>
    </row>
    <row r="39" spans="1:2" ht="45" x14ac:dyDescent="0.25">
      <c r="A39" s="144" t="s">
        <v>348</v>
      </c>
      <c r="B39" s="131" t="s">
        <v>349</v>
      </c>
    </row>
    <row r="40" spans="1:2" ht="28.5" x14ac:dyDescent="0.25">
      <c r="A40" s="145" t="s">
        <v>161</v>
      </c>
      <c r="B40" s="131" t="s">
        <v>350</v>
      </c>
    </row>
    <row r="41" spans="1:2" ht="25.5" customHeight="1" x14ac:dyDescent="0.25">
      <c r="A41" s="1034" t="s">
        <v>351</v>
      </c>
      <c r="B41" s="1035"/>
    </row>
    <row r="42" spans="1:2" x14ac:dyDescent="0.25">
      <c r="A42" s="1032" t="s">
        <v>352</v>
      </c>
      <c r="B42" s="1033"/>
    </row>
    <row r="43" spans="1:2" ht="72" customHeight="1" x14ac:dyDescent="0.25">
      <c r="A43" s="1030" t="s">
        <v>353</v>
      </c>
      <c r="B43" s="1031"/>
    </row>
    <row r="44" spans="1:2" ht="30" x14ac:dyDescent="0.25">
      <c r="A44" s="144" t="s">
        <v>329</v>
      </c>
      <c r="B44" s="131" t="s">
        <v>354</v>
      </c>
    </row>
    <row r="45" spans="1:2" ht="45" x14ac:dyDescent="0.25">
      <c r="A45" s="145" t="s">
        <v>355</v>
      </c>
      <c r="B45" s="131" t="s">
        <v>356</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40625" defaultRowHeight="15" x14ac:dyDescent="0.25"/>
  <cols>
    <col min="1" max="1" width="44.140625" style="108" customWidth="1"/>
    <col min="2" max="2" width="61.7109375" style="108" customWidth="1"/>
    <col min="3" max="3" width="61.140625" style="108" customWidth="1"/>
    <col min="4" max="4" width="81" style="108" customWidth="1"/>
    <col min="5" max="5" width="32.7109375" style="125" customWidth="1"/>
    <col min="6" max="6" width="19" style="108" customWidth="1"/>
    <col min="7" max="7" width="29.42578125" style="108" customWidth="1"/>
    <col min="8" max="8" width="36.28515625" style="108" customWidth="1"/>
    <col min="9" max="9" width="40" style="108" customWidth="1"/>
    <col min="10" max="16384" width="9.140625" style="108"/>
  </cols>
  <sheetData>
    <row r="1" spans="1:9" s="113" customFormat="1" x14ac:dyDescent="0.25">
      <c r="A1" s="112" t="s">
        <v>357</v>
      </c>
      <c r="B1" s="112" t="s">
        <v>358</v>
      </c>
      <c r="C1" s="112" t="s">
        <v>359</v>
      </c>
      <c r="D1" s="112" t="s">
        <v>360</v>
      </c>
      <c r="E1" s="112" t="s">
        <v>331</v>
      </c>
      <c r="F1" s="112" t="s">
        <v>361</v>
      </c>
      <c r="G1" s="112" t="s">
        <v>362</v>
      </c>
      <c r="H1" s="112" t="s">
        <v>256</v>
      </c>
      <c r="I1" s="112" t="s">
        <v>322</v>
      </c>
    </row>
    <row r="2" spans="1:9" s="113" customFormat="1" x14ac:dyDescent="0.25">
      <c r="A2" s="114" t="s">
        <v>363</v>
      </c>
      <c r="B2" s="109" t="s">
        <v>364</v>
      </c>
      <c r="C2" s="114" t="s">
        <v>365</v>
      </c>
      <c r="D2" s="115" t="s">
        <v>366</v>
      </c>
      <c r="E2" s="110" t="s">
        <v>367</v>
      </c>
      <c r="F2" s="116" t="s">
        <v>368</v>
      </c>
      <c r="G2" s="117" t="s">
        <v>369</v>
      </c>
      <c r="H2" s="117" t="s">
        <v>370</v>
      </c>
      <c r="I2" s="116" t="s">
        <v>371</v>
      </c>
    </row>
    <row r="3" spans="1:9" x14ac:dyDescent="0.25">
      <c r="A3" s="114" t="s">
        <v>372</v>
      </c>
      <c r="B3" s="109" t="s">
        <v>373</v>
      </c>
      <c r="C3" s="114" t="s">
        <v>374</v>
      </c>
      <c r="D3" s="118" t="s">
        <v>375</v>
      </c>
      <c r="E3" s="110" t="s">
        <v>376</v>
      </c>
      <c r="F3" s="116" t="s">
        <v>377</v>
      </c>
      <c r="G3" s="117" t="s">
        <v>378</v>
      </c>
      <c r="H3" s="117" t="s">
        <v>265</v>
      </c>
      <c r="I3" s="116" t="s">
        <v>379</v>
      </c>
    </row>
    <row r="4" spans="1:9" x14ac:dyDescent="0.25">
      <c r="A4" s="114" t="s">
        <v>163</v>
      </c>
      <c r="B4" s="109" t="s">
        <v>380</v>
      </c>
      <c r="C4" s="114" t="s">
        <v>381</v>
      </c>
      <c r="D4" s="118" t="s">
        <v>382</v>
      </c>
      <c r="E4" s="110" t="s">
        <v>383</v>
      </c>
      <c r="F4" s="116" t="s">
        <v>384</v>
      </c>
      <c r="G4" s="117" t="s">
        <v>385</v>
      </c>
      <c r="H4" s="117" t="s">
        <v>260</v>
      </c>
      <c r="I4" s="116" t="s">
        <v>386</v>
      </c>
    </row>
    <row r="5" spans="1:9" x14ac:dyDescent="0.25">
      <c r="A5" s="114" t="s">
        <v>387</v>
      </c>
      <c r="B5" s="109" t="s">
        <v>388</v>
      </c>
      <c r="C5" s="114" t="s">
        <v>389</v>
      </c>
      <c r="D5" s="118" t="s">
        <v>390</v>
      </c>
      <c r="E5" s="110" t="s">
        <v>391</v>
      </c>
      <c r="F5" s="116" t="s">
        <v>392</v>
      </c>
      <c r="G5" s="117" t="s">
        <v>393</v>
      </c>
      <c r="H5" s="117" t="s">
        <v>261</v>
      </c>
      <c r="I5" s="116" t="s">
        <v>394</v>
      </c>
    </row>
    <row r="6" spans="1:9" ht="30" x14ac:dyDescent="0.25">
      <c r="A6" s="114" t="s">
        <v>395</v>
      </c>
      <c r="B6" s="109" t="s">
        <v>396</v>
      </c>
      <c r="C6" s="114" t="s">
        <v>397</v>
      </c>
      <c r="D6" s="118" t="s">
        <v>398</v>
      </c>
      <c r="E6" s="110" t="s">
        <v>399</v>
      </c>
      <c r="G6" s="117" t="s">
        <v>400</v>
      </c>
      <c r="H6" s="117" t="s">
        <v>262</v>
      </c>
      <c r="I6" s="116" t="s">
        <v>401</v>
      </c>
    </row>
    <row r="7" spans="1:9" ht="30" x14ac:dyDescent="0.25">
      <c r="B7" s="109" t="s">
        <v>402</v>
      </c>
      <c r="C7" s="114" t="s">
        <v>403</v>
      </c>
      <c r="D7" s="118" t="s">
        <v>404</v>
      </c>
      <c r="E7" s="116" t="s">
        <v>405</v>
      </c>
      <c r="G7" s="110" t="s">
        <v>271</v>
      </c>
      <c r="H7" s="117" t="s">
        <v>263</v>
      </c>
      <c r="I7" s="116" t="s">
        <v>406</v>
      </c>
    </row>
    <row r="8" spans="1:9" ht="30" x14ac:dyDescent="0.25">
      <c r="A8" s="119"/>
      <c r="B8" s="109" t="s">
        <v>407</v>
      </c>
      <c r="C8" s="114" t="s">
        <v>408</v>
      </c>
      <c r="D8" s="118" t="s">
        <v>409</v>
      </c>
      <c r="E8" s="116" t="s">
        <v>410</v>
      </c>
      <c r="I8" s="116" t="s">
        <v>411</v>
      </c>
    </row>
    <row r="9" spans="1:9" ht="31.9" customHeight="1" x14ac:dyDescent="0.25">
      <c r="A9" s="119"/>
      <c r="B9" s="109" t="s">
        <v>412</v>
      </c>
      <c r="C9" s="114" t="s">
        <v>413</v>
      </c>
      <c r="D9" s="118" t="s">
        <v>414</v>
      </c>
      <c r="E9" s="116" t="s">
        <v>415</v>
      </c>
      <c r="I9" s="116" t="s">
        <v>416</v>
      </c>
    </row>
    <row r="10" spans="1:9" x14ac:dyDescent="0.25">
      <c r="A10" s="119"/>
      <c r="B10" s="109" t="s">
        <v>417</v>
      </c>
      <c r="C10" s="114" t="s">
        <v>418</v>
      </c>
      <c r="D10" s="118" t="s">
        <v>419</v>
      </c>
      <c r="E10" s="116" t="s">
        <v>420</v>
      </c>
      <c r="I10" s="116" t="s">
        <v>421</v>
      </c>
    </row>
    <row r="11" spans="1:9" x14ac:dyDescent="0.25">
      <c r="A11" s="119"/>
      <c r="B11" s="109" t="s">
        <v>422</v>
      </c>
      <c r="C11" s="114" t="s">
        <v>423</v>
      </c>
      <c r="D11" s="118" t="s">
        <v>424</v>
      </c>
      <c r="E11" s="116" t="s">
        <v>425</v>
      </c>
      <c r="I11" s="116" t="s">
        <v>426</v>
      </c>
    </row>
    <row r="12" spans="1:9" ht="30" x14ac:dyDescent="0.25">
      <c r="A12" s="119"/>
      <c r="B12" s="109" t="s">
        <v>427</v>
      </c>
      <c r="C12" s="114" t="s">
        <v>428</v>
      </c>
      <c r="D12" s="118" t="s">
        <v>429</v>
      </c>
      <c r="E12" s="116" t="s">
        <v>430</v>
      </c>
      <c r="I12" s="116" t="s">
        <v>431</v>
      </c>
    </row>
    <row r="13" spans="1:9" x14ac:dyDescent="0.25">
      <c r="A13" s="119"/>
      <c r="B13" s="222" t="s">
        <v>432</v>
      </c>
      <c r="D13" s="118" t="s">
        <v>433</v>
      </c>
      <c r="E13" s="116" t="s">
        <v>434</v>
      </c>
      <c r="I13" s="116" t="s">
        <v>435</v>
      </c>
    </row>
    <row r="14" spans="1:9" x14ac:dyDescent="0.25">
      <c r="A14" s="119"/>
      <c r="B14" s="109" t="s">
        <v>436</v>
      </c>
      <c r="C14" s="119"/>
      <c r="D14" s="118" t="s">
        <v>437</v>
      </c>
      <c r="E14" s="116" t="s">
        <v>438</v>
      </c>
    </row>
    <row r="15" spans="1:9" x14ac:dyDescent="0.25">
      <c r="A15" s="119"/>
      <c r="B15" s="109" t="s">
        <v>439</v>
      </c>
      <c r="C15" s="119"/>
      <c r="D15" s="118" t="s">
        <v>440</v>
      </c>
      <c r="E15" s="116" t="s">
        <v>441</v>
      </c>
    </row>
    <row r="16" spans="1:9" x14ac:dyDescent="0.25">
      <c r="A16" s="119"/>
      <c r="B16" s="109" t="s">
        <v>442</v>
      </c>
      <c r="C16" s="119"/>
      <c r="D16" s="118" t="s">
        <v>443</v>
      </c>
      <c r="E16" s="120"/>
    </row>
    <row r="17" spans="1:5" x14ac:dyDescent="0.25">
      <c r="A17" s="119"/>
      <c r="B17" s="109" t="s">
        <v>444</v>
      </c>
      <c r="C17" s="119"/>
      <c r="D17" s="118" t="s">
        <v>445</v>
      </c>
      <c r="E17" s="120"/>
    </row>
    <row r="18" spans="1:5" x14ac:dyDescent="0.25">
      <c r="A18" s="119"/>
      <c r="B18" s="109" t="s">
        <v>446</v>
      </c>
      <c r="C18" s="119"/>
      <c r="D18" s="118" t="s">
        <v>447</v>
      </c>
      <c r="E18" s="120"/>
    </row>
    <row r="19" spans="1:5" x14ac:dyDescent="0.25">
      <c r="A19" s="119"/>
      <c r="B19" s="109" t="s">
        <v>448</v>
      </c>
      <c r="C19" s="119"/>
      <c r="D19" s="118" t="s">
        <v>449</v>
      </c>
      <c r="E19" s="120"/>
    </row>
    <row r="20" spans="1:5" x14ac:dyDescent="0.25">
      <c r="A20" s="119"/>
      <c r="B20" s="109" t="s">
        <v>450</v>
      </c>
      <c r="C20" s="119"/>
      <c r="D20" s="118" t="s">
        <v>451</v>
      </c>
      <c r="E20" s="120"/>
    </row>
    <row r="21" spans="1:5" x14ac:dyDescent="0.25">
      <c r="B21" s="109" t="s">
        <v>452</v>
      </c>
      <c r="D21" s="118" t="s">
        <v>453</v>
      </c>
      <c r="E21" s="120"/>
    </row>
    <row r="22" spans="1:5" x14ac:dyDescent="0.25">
      <c r="B22" s="109" t="s">
        <v>454</v>
      </c>
      <c r="D22" s="118" t="s">
        <v>455</v>
      </c>
      <c r="E22" s="120"/>
    </row>
    <row r="23" spans="1:5" x14ac:dyDescent="0.25">
      <c r="B23" s="109" t="s">
        <v>456</v>
      </c>
      <c r="D23" s="118" t="s">
        <v>457</v>
      </c>
      <c r="E23" s="120"/>
    </row>
    <row r="24" spans="1:5" x14ac:dyDescent="0.25">
      <c r="D24" s="121" t="s">
        <v>458</v>
      </c>
      <c r="E24" s="121" t="s">
        <v>459</v>
      </c>
    </row>
    <row r="25" spans="1:5" x14ac:dyDescent="0.25">
      <c r="D25" s="122" t="s">
        <v>460</v>
      </c>
      <c r="E25" s="116" t="s">
        <v>461</v>
      </c>
    </row>
    <row r="26" spans="1:5" x14ac:dyDescent="0.25">
      <c r="D26" s="122" t="s">
        <v>462</v>
      </c>
      <c r="E26" s="116" t="s">
        <v>463</v>
      </c>
    </row>
    <row r="27" spans="1:5" x14ac:dyDescent="0.25">
      <c r="D27" s="1039" t="s">
        <v>464</v>
      </c>
      <c r="E27" s="116" t="s">
        <v>465</v>
      </c>
    </row>
    <row r="28" spans="1:5" x14ac:dyDescent="0.25">
      <c r="D28" s="1040"/>
      <c r="E28" s="116" t="s">
        <v>466</v>
      </c>
    </row>
    <row r="29" spans="1:5" x14ac:dyDescent="0.25">
      <c r="D29" s="1040"/>
      <c r="E29" s="116" t="s">
        <v>467</v>
      </c>
    </row>
    <row r="30" spans="1:5" x14ac:dyDescent="0.25">
      <c r="D30" s="1041"/>
      <c r="E30" s="116" t="s">
        <v>468</v>
      </c>
    </row>
    <row r="31" spans="1:5" x14ac:dyDescent="0.25">
      <c r="D31" s="122" t="s">
        <v>469</v>
      </c>
      <c r="E31" s="116" t="s">
        <v>470</v>
      </c>
    </row>
    <row r="32" spans="1:5" x14ac:dyDescent="0.25">
      <c r="D32" s="122" t="s">
        <v>471</v>
      </c>
      <c r="E32" s="116" t="s">
        <v>472</v>
      </c>
    </row>
    <row r="33" spans="4:5" x14ac:dyDescent="0.25">
      <c r="D33" s="122" t="s">
        <v>473</v>
      </c>
      <c r="E33" s="116" t="s">
        <v>474</v>
      </c>
    </row>
    <row r="34" spans="4:5" x14ac:dyDescent="0.25">
      <c r="D34" s="122" t="s">
        <v>475</v>
      </c>
      <c r="E34" s="116" t="s">
        <v>476</v>
      </c>
    </row>
    <row r="35" spans="4:5" x14ac:dyDescent="0.25">
      <c r="D35" s="122" t="s">
        <v>477</v>
      </c>
      <c r="E35" s="116" t="s">
        <v>478</v>
      </c>
    </row>
    <row r="36" spans="4:5" x14ac:dyDescent="0.25">
      <c r="D36" s="122" t="s">
        <v>479</v>
      </c>
      <c r="E36" s="116" t="s">
        <v>480</v>
      </c>
    </row>
    <row r="37" spans="4:5" x14ac:dyDescent="0.25">
      <c r="D37" s="122" t="s">
        <v>481</v>
      </c>
      <c r="E37" s="116" t="s">
        <v>482</v>
      </c>
    </row>
    <row r="38" spans="4:5" x14ac:dyDescent="0.25">
      <c r="D38" s="122" t="s">
        <v>483</v>
      </c>
      <c r="E38" s="116" t="s">
        <v>484</v>
      </c>
    </row>
    <row r="39" spans="4:5" x14ac:dyDescent="0.25">
      <c r="D39" s="123" t="s">
        <v>485</v>
      </c>
      <c r="E39" s="116" t="s">
        <v>486</v>
      </c>
    </row>
    <row r="40" spans="4:5" x14ac:dyDescent="0.25">
      <c r="D40" s="123" t="s">
        <v>487</v>
      </c>
      <c r="E40" s="116" t="s">
        <v>488</v>
      </c>
    </row>
    <row r="41" spans="4:5" x14ac:dyDescent="0.25">
      <c r="D41" s="122" t="s">
        <v>489</v>
      </c>
      <c r="E41" s="116" t="s">
        <v>490</v>
      </c>
    </row>
    <row r="42" spans="4:5" x14ac:dyDescent="0.25">
      <c r="D42" s="122" t="s">
        <v>491</v>
      </c>
      <c r="E42" s="116" t="s">
        <v>492</v>
      </c>
    </row>
    <row r="43" spans="4:5" x14ac:dyDescent="0.25">
      <c r="D43" s="123" t="s">
        <v>493</v>
      </c>
      <c r="E43" s="116" t="s">
        <v>494</v>
      </c>
    </row>
    <row r="44" spans="4:5" x14ac:dyDescent="0.25">
      <c r="D44" s="124" t="s">
        <v>495</v>
      </c>
      <c r="E44" s="116" t="s">
        <v>496</v>
      </c>
    </row>
    <row r="45" spans="4:5" x14ac:dyDescent="0.25">
      <c r="D45" s="118" t="s">
        <v>497</v>
      </c>
      <c r="E45" s="116" t="s">
        <v>498</v>
      </c>
    </row>
    <row r="46" spans="4:5" x14ac:dyDescent="0.25">
      <c r="D46" s="118" t="s">
        <v>499</v>
      </c>
      <c r="E46" s="116" t="s">
        <v>500</v>
      </c>
    </row>
    <row r="47" spans="4:5" x14ac:dyDescent="0.25">
      <c r="D47" s="118" t="s">
        <v>501</v>
      </c>
      <c r="E47" s="116" t="s">
        <v>502</v>
      </c>
    </row>
    <row r="48" spans="4:5" x14ac:dyDescent="0.25">
      <c r="D48" s="118" t="s">
        <v>503</v>
      </c>
      <c r="E48" s="116" t="s">
        <v>504</v>
      </c>
    </row>
    <row r="49" spans="4:4" x14ac:dyDescent="0.25">
      <c r="D49" s="121" t="s">
        <v>505</v>
      </c>
    </row>
    <row r="50" spans="4:4" x14ac:dyDescent="0.25">
      <c r="D50" s="118" t="s">
        <v>506</v>
      </c>
    </row>
    <row r="51" spans="4:4" x14ac:dyDescent="0.25">
      <c r="D51" s="118" t="s">
        <v>507</v>
      </c>
    </row>
    <row r="52" spans="4:4" x14ac:dyDescent="0.25">
      <c r="D52" s="121" t="s">
        <v>508</v>
      </c>
    </row>
    <row r="53" spans="4:4" x14ac:dyDescent="0.25">
      <c r="D53" s="124" t="s">
        <v>509</v>
      </c>
    </row>
    <row r="54" spans="4:4" x14ac:dyDescent="0.25">
      <c r="D54" s="124" t="s">
        <v>510</v>
      </c>
    </row>
    <row r="55" spans="4:4" x14ac:dyDescent="0.25">
      <c r="D55" s="124" t="s">
        <v>511</v>
      </c>
    </row>
    <row r="56" spans="4:4" x14ac:dyDescent="0.25">
      <c r="D56" s="124" t="s">
        <v>512</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1" max="2" width="10.7109375" customWidth="1"/>
    <col min="3" max="3" width="6.7109375" customWidth="1"/>
    <col min="4" max="4" width="8.7109375" customWidth="1"/>
    <col min="5" max="5" width="10.7109375" customWidth="1"/>
  </cols>
  <sheetData>
    <row r="1" spans="1:14" x14ac:dyDescent="0.25">
      <c r="B1" t="s">
        <v>513</v>
      </c>
      <c r="C1" s="1045" t="s">
        <v>514</v>
      </c>
      <c r="D1" s="1045"/>
      <c r="E1" s="1045"/>
      <c r="F1" s="1045"/>
      <c r="G1" s="1046" t="s">
        <v>515</v>
      </c>
      <c r="H1" s="1047"/>
      <c r="I1" s="1047"/>
      <c r="J1" s="1048"/>
      <c r="K1" s="1044" t="s">
        <v>516</v>
      </c>
      <c r="L1" s="1044"/>
      <c r="M1" s="1044"/>
      <c r="N1" s="1044"/>
    </row>
    <row r="2" spans="1:14" x14ac:dyDescent="0.25">
      <c r="C2" s="4"/>
      <c r="D2" s="4"/>
      <c r="E2" s="4"/>
      <c r="F2" s="4" t="s">
        <v>517</v>
      </c>
      <c r="G2" s="30"/>
      <c r="H2" s="4"/>
      <c r="I2" s="4"/>
      <c r="J2" s="31" t="s">
        <v>517</v>
      </c>
      <c r="K2" s="4"/>
      <c r="L2" s="4"/>
      <c r="M2" s="4"/>
      <c r="N2" s="4" t="s">
        <v>517</v>
      </c>
    </row>
    <row r="3" spans="1:14" x14ac:dyDescent="0.25">
      <c r="A3" s="1043" t="s">
        <v>518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104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1043"/>
      <c r="B5" s="5">
        <v>3</v>
      </c>
      <c r="C5" s="6">
        <v>0.05</v>
      </c>
      <c r="D5" s="6">
        <v>0.05</v>
      </c>
      <c r="E5" s="6">
        <v>0.1</v>
      </c>
      <c r="F5" s="7">
        <f>(C5+D5+E5)</f>
        <v>0.2</v>
      </c>
      <c r="G5" s="32">
        <v>0.1</v>
      </c>
      <c r="H5" s="6">
        <v>0.1</v>
      </c>
      <c r="I5" s="6">
        <v>0.1</v>
      </c>
      <c r="J5" s="33">
        <f>(G5+H5+I5)</f>
        <v>0.30000000000000004</v>
      </c>
      <c r="K5" s="24"/>
      <c r="L5" s="5"/>
      <c r="M5" s="5"/>
      <c r="N5" s="5"/>
    </row>
    <row r="6" spans="1:14" x14ac:dyDescent="0.25">
      <c r="A6" s="1043"/>
      <c r="B6" s="5">
        <v>4</v>
      </c>
      <c r="C6" s="6">
        <v>0.1</v>
      </c>
      <c r="D6" s="6">
        <v>0.1</v>
      </c>
      <c r="E6" s="6">
        <v>0.2</v>
      </c>
      <c r="F6" s="7">
        <f>(C6+D6+E6)</f>
        <v>0.4</v>
      </c>
      <c r="G6" s="32">
        <v>0</v>
      </c>
      <c r="H6" s="6">
        <v>0</v>
      </c>
      <c r="I6" s="6">
        <v>0.1</v>
      </c>
      <c r="J6" s="33">
        <f>(G6+H6+I6)</f>
        <v>0.1</v>
      </c>
      <c r="K6" s="24"/>
      <c r="L6" s="5"/>
      <c r="M6" s="5"/>
      <c r="N6" s="5"/>
    </row>
    <row r="7" spans="1:14" x14ac:dyDescent="0.25">
      <c r="A7" s="1043"/>
      <c r="B7" s="5">
        <v>5</v>
      </c>
      <c r="C7" s="6">
        <v>0</v>
      </c>
      <c r="D7" s="6">
        <v>0</v>
      </c>
      <c r="E7" s="6">
        <v>0</v>
      </c>
      <c r="F7" s="7">
        <f>(C7+D7+E7)</f>
        <v>0</v>
      </c>
      <c r="G7" s="32">
        <v>0</v>
      </c>
      <c r="H7" s="6">
        <v>0</v>
      </c>
      <c r="I7" s="6">
        <v>0</v>
      </c>
      <c r="J7" s="33">
        <f>(G7+H7+I7)</f>
        <v>0</v>
      </c>
      <c r="K7" s="24"/>
      <c r="L7" s="5"/>
      <c r="M7" s="5"/>
      <c r="N7" s="5"/>
    </row>
    <row r="8" spans="1:14" x14ac:dyDescent="0.25">
      <c r="A8" s="1043" t="s">
        <v>519</v>
      </c>
      <c r="B8" s="9">
        <v>6</v>
      </c>
      <c r="C8" s="10">
        <v>0.1</v>
      </c>
      <c r="D8" s="10">
        <v>0.1</v>
      </c>
      <c r="E8" s="10">
        <v>0.1</v>
      </c>
      <c r="F8" s="11">
        <f>C8+D8+E8</f>
        <v>0.30000000000000004</v>
      </c>
      <c r="G8" s="34"/>
      <c r="H8" s="9"/>
      <c r="I8" s="9"/>
      <c r="J8" s="35"/>
      <c r="K8" s="25"/>
      <c r="L8" s="9"/>
      <c r="M8" s="9"/>
      <c r="N8" s="9"/>
    </row>
    <row r="9" spans="1:14" x14ac:dyDescent="0.25">
      <c r="A9" s="1043"/>
      <c r="B9" s="9">
        <v>7</v>
      </c>
      <c r="C9" s="9"/>
      <c r="D9" s="9"/>
      <c r="E9" s="9"/>
      <c r="F9" s="19"/>
      <c r="G9" s="36"/>
      <c r="H9" s="9"/>
      <c r="I9" s="9"/>
      <c r="J9" s="35"/>
      <c r="K9" s="25"/>
      <c r="L9" s="9"/>
      <c r="M9" s="9"/>
      <c r="N9" s="9"/>
    </row>
    <row r="10" spans="1:14" x14ac:dyDescent="0.25">
      <c r="A10" s="1043"/>
      <c r="B10" s="9">
        <v>8</v>
      </c>
      <c r="C10" s="9"/>
      <c r="D10" s="9"/>
      <c r="E10" s="9"/>
      <c r="F10" s="19"/>
      <c r="G10" s="36"/>
      <c r="H10" s="9"/>
      <c r="I10" s="9"/>
      <c r="J10" s="35"/>
      <c r="K10" s="25"/>
      <c r="L10" s="9"/>
      <c r="M10" s="9"/>
      <c r="N10" s="9"/>
    </row>
    <row r="11" spans="1:14" x14ac:dyDescent="0.25">
      <c r="A11" s="1043"/>
      <c r="B11" s="9">
        <v>9</v>
      </c>
      <c r="C11" s="9"/>
      <c r="D11" s="9"/>
      <c r="E11" s="9"/>
      <c r="F11" s="19"/>
      <c r="G11" s="36"/>
      <c r="H11" s="9"/>
      <c r="I11" s="9"/>
      <c r="J11" s="35"/>
      <c r="K11" s="25"/>
      <c r="L11" s="9"/>
      <c r="M11" s="9"/>
      <c r="N11" s="9"/>
    </row>
    <row r="12" spans="1:14" x14ac:dyDescent="0.25">
      <c r="A12" s="1043" t="s">
        <v>520</v>
      </c>
      <c r="B12" s="14">
        <v>10</v>
      </c>
      <c r="C12" s="14"/>
      <c r="D12" s="14"/>
      <c r="E12" s="14"/>
      <c r="F12" s="20"/>
      <c r="G12" s="37"/>
      <c r="H12" s="14"/>
      <c r="I12" s="14"/>
      <c r="J12" s="38"/>
      <c r="K12" s="26"/>
      <c r="L12" s="14"/>
      <c r="M12" s="14"/>
      <c r="N12" s="14"/>
    </row>
    <row r="13" spans="1:14" x14ac:dyDescent="0.25">
      <c r="A13" s="1043"/>
      <c r="B13" s="14">
        <v>11</v>
      </c>
      <c r="C13" s="14"/>
      <c r="D13" s="14"/>
      <c r="E13" s="14"/>
      <c r="F13" s="20"/>
      <c r="G13" s="37"/>
      <c r="H13" s="14"/>
      <c r="I13" s="14"/>
      <c r="J13" s="38"/>
      <c r="K13" s="26"/>
      <c r="L13" s="14"/>
      <c r="M13" s="14"/>
      <c r="N13" s="14"/>
    </row>
    <row r="14" spans="1:14" x14ac:dyDescent="0.25">
      <c r="A14" s="1043"/>
      <c r="B14" s="14">
        <v>12</v>
      </c>
      <c r="C14" s="14"/>
      <c r="D14" s="14"/>
      <c r="E14" s="14"/>
      <c r="F14" s="20"/>
      <c r="G14" s="37"/>
      <c r="H14" s="14"/>
      <c r="I14" s="14"/>
      <c r="J14" s="38"/>
      <c r="K14" s="26"/>
      <c r="L14" s="14"/>
      <c r="M14" s="14"/>
      <c r="N14" s="14"/>
    </row>
    <row r="15" spans="1:14" x14ac:dyDescent="0.25">
      <c r="A15" s="1043"/>
      <c r="B15" s="14">
        <v>13</v>
      </c>
      <c r="C15" s="14"/>
      <c r="D15" s="14"/>
      <c r="E15" s="14"/>
      <c r="F15" s="20"/>
      <c r="G15" s="37"/>
      <c r="H15" s="14"/>
      <c r="I15" s="14"/>
      <c r="J15" s="38"/>
      <c r="K15" s="26"/>
      <c r="L15" s="14"/>
      <c r="M15" s="14"/>
      <c r="N15" s="14"/>
    </row>
    <row r="16" spans="1:14" x14ac:dyDescent="0.25">
      <c r="A16" s="1043" t="s">
        <v>521</v>
      </c>
      <c r="B16" s="15">
        <v>14</v>
      </c>
      <c r="C16" s="15"/>
      <c r="D16" s="15"/>
      <c r="E16" s="15"/>
      <c r="F16" s="21"/>
      <c r="G16" s="39"/>
      <c r="H16" s="15"/>
      <c r="I16" s="15"/>
      <c r="J16" s="40"/>
      <c r="K16" s="27"/>
      <c r="L16" s="15"/>
      <c r="M16" s="15"/>
      <c r="N16" s="15"/>
    </row>
    <row r="17" spans="1:14" x14ac:dyDescent="0.25">
      <c r="A17" s="1043"/>
      <c r="B17" s="15">
        <v>15</v>
      </c>
      <c r="C17" s="15"/>
      <c r="D17" s="15"/>
      <c r="E17" s="15"/>
      <c r="F17" s="21"/>
      <c r="G17" s="39"/>
      <c r="H17" s="15"/>
      <c r="I17" s="15"/>
      <c r="J17" s="40"/>
      <c r="K17" s="27"/>
      <c r="L17" s="15"/>
      <c r="M17" s="15"/>
      <c r="N17" s="15"/>
    </row>
    <row r="18" spans="1:14" x14ac:dyDescent="0.25">
      <c r="A18" s="1043"/>
      <c r="B18" s="15">
        <v>16</v>
      </c>
      <c r="C18" s="15"/>
      <c r="D18" s="15"/>
      <c r="E18" s="15"/>
      <c r="F18" s="21"/>
      <c r="G18" s="39"/>
      <c r="H18" s="15"/>
      <c r="I18" s="15"/>
      <c r="J18" s="40"/>
      <c r="K18" s="27"/>
      <c r="L18" s="15"/>
      <c r="M18" s="15"/>
      <c r="N18" s="15"/>
    </row>
    <row r="19" spans="1:14" x14ac:dyDescent="0.25">
      <c r="A19" s="1043" t="s">
        <v>522</v>
      </c>
      <c r="B19" s="18">
        <v>17</v>
      </c>
      <c r="C19" s="18"/>
      <c r="D19" s="18"/>
      <c r="E19" s="18"/>
      <c r="F19" s="22"/>
      <c r="G19" s="41"/>
      <c r="H19" s="18"/>
      <c r="I19" s="18"/>
      <c r="J19" s="42"/>
      <c r="K19" s="28"/>
      <c r="L19" s="18"/>
      <c r="M19" s="18"/>
      <c r="N19" s="18"/>
    </row>
    <row r="20" spans="1:14" x14ac:dyDescent="0.25">
      <c r="A20" s="1043"/>
      <c r="B20" s="18">
        <v>18</v>
      </c>
      <c r="C20" s="18"/>
      <c r="D20" s="18"/>
      <c r="E20" s="18"/>
      <c r="F20" s="22"/>
      <c r="G20" s="41"/>
      <c r="H20" s="18"/>
      <c r="I20" s="18"/>
      <c r="J20" s="42"/>
      <c r="K20" s="28"/>
      <c r="L20" s="18"/>
      <c r="M20" s="18"/>
      <c r="N20" s="18"/>
    </row>
    <row r="21" spans="1:14" x14ac:dyDescent="0.25">
      <c r="A21" s="1043"/>
      <c r="B21" s="18">
        <v>19</v>
      </c>
      <c r="C21" s="18"/>
      <c r="D21" s="18"/>
      <c r="E21" s="18"/>
      <c r="F21" s="22"/>
      <c r="G21" s="41"/>
      <c r="H21" s="18"/>
      <c r="I21" s="18"/>
      <c r="J21" s="42"/>
      <c r="K21" s="28"/>
      <c r="L21" s="18"/>
      <c r="M21" s="18"/>
      <c r="N21" s="18"/>
    </row>
    <row r="22" spans="1:14" x14ac:dyDescent="0.25">
      <c r="A22" s="1043"/>
      <c r="B22" s="18">
        <v>20</v>
      </c>
      <c r="C22" s="18"/>
      <c r="D22" s="18"/>
      <c r="E22" s="18"/>
      <c r="F22" s="22"/>
      <c r="G22" s="41"/>
      <c r="H22" s="18"/>
      <c r="I22" s="18"/>
      <c r="J22" s="42"/>
      <c r="K22" s="28"/>
      <c r="L22" s="18"/>
      <c r="M22" s="18"/>
      <c r="N22" s="18"/>
    </row>
    <row r="23" spans="1:14" x14ac:dyDescent="0.25">
      <c r="A23" s="1043" t="s">
        <v>523</v>
      </c>
      <c r="B23" s="13">
        <v>21</v>
      </c>
      <c r="C23" s="13"/>
      <c r="D23" s="13"/>
      <c r="E23" s="13"/>
      <c r="F23" s="23"/>
      <c r="G23" s="43"/>
      <c r="H23" s="13"/>
      <c r="I23" s="13"/>
      <c r="J23" s="44"/>
      <c r="K23" s="29"/>
      <c r="L23" s="13"/>
      <c r="M23" s="13"/>
      <c r="N23" s="13"/>
    </row>
    <row r="24" spans="1:14" x14ac:dyDescent="0.25">
      <c r="A24" s="1043"/>
      <c r="B24" s="13">
        <v>22</v>
      </c>
      <c r="C24" s="13"/>
      <c r="D24" s="13"/>
      <c r="E24" s="13"/>
      <c r="F24" s="23"/>
      <c r="G24" s="43"/>
      <c r="H24" s="13"/>
      <c r="I24" s="13"/>
      <c r="J24" s="44"/>
      <c r="K24" s="29"/>
      <c r="L24" s="13"/>
      <c r="M24" s="13"/>
      <c r="N24" s="13"/>
    </row>
    <row r="25" spans="1:14" x14ac:dyDescent="0.25">
      <c r="A25" s="1043"/>
      <c r="B25" s="13">
        <v>23</v>
      </c>
      <c r="C25" s="13"/>
      <c r="D25" s="13"/>
      <c r="E25" s="13"/>
      <c r="F25" s="23"/>
      <c r="G25" s="43"/>
      <c r="H25" s="13"/>
      <c r="I25" s="13"/>
      <c r="J25" s="44"/>
      <c r="K25" s="29"/>
      <c r="L25" s="13"/>
      <c r="M25" s="13"/>
      <c r="N25" s="13"/>
    </row>
    <row r="26" spans="1:14" x14ac:dyDescent="0.25">
      <c r="A26" s="1043"/>
      <c r="B26" s="13">
        <v>24</v>
      </c>
      <c r="C26" s="13"/>
      <c r="D26" s="13"/>
      <c r="E26" s="13"/>
      <c r="F26" s="23"/>
      <c r="G26" s="43"/>
      <c r="H26" s="13"/>
      <c r="I26" s="13"/>
      <c r="J26" s="44"/>
      <c r="K26" s="29"/>
      <c r="L26" s="13"/>
      <c r="M26" s="13"/>
      <c r="N26" s="13"/>
    </row>
    <row r="27" spans="1:14" x14ac:dyDescent="0.25">
      <c r="A27" s="1043" t="s">
        <v>524</v>
      </c>
      <c r="B27" s="9">
        <v>25</v>
      </c>
      <c r="C27" s="9"/>
      <c r="D27" s="9"/>
      <c r="E27" s="9"/>
      <c r="F27" s="9"/>
      <c r="G27" s="9"/>
      <c r="H27" s="9"/>
      <c r="I27" s="9"/>
      <c r="J27" s="9"/>
      <c r="K27" s="9"/>
      <c r="L27" s="9"/>
      <c r="M27" s="9"/>
      <c r="N27" s="9"/>
    </row>
    <row r="28" spans="1:14" x14ac:dyDescent="0.25">
      <c r="A28" s="1043"/>
      <c r="B28" s="9">
        <v>26</v>
      </c>
      <c r="C28" s="9"/>
      <c r="D28" s="9"/>
      <c r="E28" s="9"/>
      <c r="F28" s="9"/>
      <c r="G28" s="9"/>
      <c r="H28" s="9"/>
      <c r="I28" s="9"/>
      <c r="J28" s="9"/>
      <c r="K28" s="9"/>
      <c r="L28" s="9"/>
      <c r="M28" s="9"/>
      <c r="N28" s="9"/>
    </row>
    <row r="29" spans="1:14" x14ac:dyDescent="0.25">
      <c r="A29" s="1043"/>
      <c r="B29" s="9">
        <v>27</v>
      </c>
      <c r="C29" s="9"/>
      <c r="D29" s="9"/>
      <c r="E29" s="9"/>
      <c r="F29" s="9"/>
      <c r="G29" s="9"/>
      <c r="H29" s="9"/>
      <c r="I29" s="9"/>
      <c r="J29" s="9"/>
      <c r="K29" s="9"/>
      <c r="L29" s="9"/>
      <c r="M29" s="9"/>
      <c r="N29" s="9"/>
    </row>
    <row r="30" spans="1:14" x14ac:dyDescent="0.25">
      <c r="A30" s="1043"/>
      <c r="B30" s="9">
        <v>28</v>
      </c>
      <c r="C30" s="9"/>
      <c r="D30" s="9"/>
      <c r="E30" s="9"/>
      <c r="F30" s="9"/>
      <c r="G30" s="9"/>
      <c r="H30" s="9"/>
      <c r="I30" s="9"/>
      <c r="J30" s="9"/>
      <c r="K30" s="9"/>
      <c r="L30" s="9"/>
      <c r="M30" s="9"/>
      <c r="N30" s="9"/>
    </row>
    <row r="31" spans="1:14" x14ac:dyDescent="0.25">
      <c r="A31" s="1043"/>
      <c r="B31" s="9">
        <v>29</v>
      </c>
      <c r="C31" s="9"/>
      <c r="D31" s="9"/>
      <c r="E31" s="9"/>
      <c r="F31" s="9"/>
      <c r="G31" s="9"/>
      <c r="H31" s="9"/>
      <c r="I31" s="9"/>
      <c r="J31" s="9"/>
      <c r="K31" s="9"/>
      <c r="L31" s="9"/>
      <c r="M31" s="9"/>
      <c r="N31" s="9"/>
    </row>
    <row r="32" spans="1:14" x14ac:dyDescent="0.25">
      <c r="A32" s="1043" t="s">
        <v>525</v>
      </c>
      <c r="B32" s="16">
        <v>30</v>
      </c>
      <c r="C32" s="16"/>
      <c r="D32" s="16"/>
      <c r="E32" s="16"/>
      <c r="F32" s="16"/>
      <c r="G32" s="16"/>
      <c r="H32" s="16"/>
      <c r="I32" s="16"/>
      <c r="J32" s="16"/>
      <c r="K32" s="16"/>
      <c r="L32" s="16"/>
      <c r="M32" s="16"/>
      <c r="N32" s="16"/>
    </row>
    <row r="33" spans="1:14" x14ac:dyDescent="0.25">
      <c r="A33" s="1043"/>
      <c r="B33" s="16">
        <v>31</v>
      </c>
      <c r="C33" s="16"/>
      <c r="D33" s="16"/>
      <c r="E33" s="16"/>
      <c r="F33" s="16"/>
      <c r="G33" s="16"/>
      <c r="H33" s="16"/>
      <c r="I33" s="16"/>
      <c r="J33" s="16"/>
      <c r="K33" s="16"/>
      <c r="L33" s="16"/>
      <c r="M33" s="16"/>
      <c r="N33" s="16"/>
    </row>
    <row r="34" spans="1:14" x14ac:dyDescent="0.25">
      <c r="A34" s="1043"/>
      <c r="B34" s="16">
        <v>32</v>
      </c>
      <c r="C34" s="16"/>
      <c r="D34" s="16"/>
      <c r="E34" s="16"/>
      <c r="F34" s="16"/>
      <c r="G34" s="16"/>
      <c r="H34" s="16"/>
      <c r="I34" s="16"/>
      <c r="J34" s="16"/>
      <c r="K34" s="16"/>
      <c r="L34" s="16"/>
      <c r="M34" s="16"/>
      <c r="N34" s="16"/>
    </row>
    <row r="35" spans="1:14" x14ac:dyDescent="0.25">
      <c r="A35" s="1043" t="s">
        <v>526</v>
      </c>
      <c r="B35" s="17">
        <v>33</v>
      </c>
      <c r="C35" s="14"/>
      <c r="D35" s="14"/>
      <c r="E35" s="14"/>
      <c r="F35" s="14"/>
      <c r="G35" s="14"/>
      <c r="H35" s="14"/>
      <c r="I35" s="14"/>
      <c r="J35" s="14"/>
      <c r="K35" s="14"/>
      <c r="L35" s="14"/>
      <c r="M35" s="14"/>
      <c r="N35" s="14"/>
    </row>
    <row r="36" spans="1:14" x14ac:dyDescent="0.25">
      <c r="A36" s="1043"/>
      <c r="B36" s="14">
        <v>34</v>
      </c>
      <c r="C36" s="14"/>
      <c r="D36" s="14"/>
      <c r="E36" s="14"/>
      <c r="F36" s="14"/>
      <c r="G36" s="14"/>
      <c r="H36" s="14"/>
      <c r="I36" s="14"/>
      <c r="J36" s="14"/>
      <c r="K36" s="14"/>
      <c r="L36" s="14"/>
      <c r="M36" s="14"/>
      <c r="N36" s="14"/>
    </row>
    <row r="37" spans="1:14" x14ac:dyDescent="0.25">
      <c r="A37" s="1043"/>
      <c r="B37" s="45">
        <v>35</v>
      </c>
      <c r="C37" s="14"/>
      <c r="D37" s="14"/>
      <c r="E37" s="14"/>
      <c r="F37" s="14"/>
      <c r="G37" s="14"/>
      <c r="H37" s="14"/>
      <c r="I37" s="14"/>
      <c r="J37" s="14"/>
      <c r="K37" s="14"/>
      <c r="L37" s="14"/>
      <c r="M37" s="14"/>
      <c r="N37" s="14"/>
    </row>
    <row r="38" spans="1:14" x14ac:dyDescent="0.25">
      <c r="A38" s="1043" t="s">
        <v>527</v>
      </c>
      <c r="B38" s="8">
        <v>36</v>
      </c>
      <c r="C38" s="8"/>
      <c r="D38" s="8"/>
      <c r="E38" s="8"/>
      <c r="F38" s="8"/>
      <c r="G38" s="8"/>
      <c r="H38" s="8"/>
      <c r="I38" s="8"/>
      <c r="J38" s="8"/>
      <c r="K38" s="8"/>
      <c r="L38" s="8"/>
      <c r="M38" s="8"/>
      <c r="N38" s="8"/>
    </row>
    <row r="39" spans="1:14" x14ac:dyDescent="0.25">
      <c r="A39" s="1043"/>
      <c r="B39" s="8">
        <v>37</v>
      </c>
      <c r="C39" s="8"/>
      <c r="D39" s="8"/>
      <c r="E39" s="8"/>
      <c r="F39" s="8"/>
      <c r="G39" s="8"/>
      <c r="H39" s="8"/>
      <c r="I39" s="8"/>
      <c r="J39" s="8"/>
      <c r="K39" s="8"/>
      <c r="L39" s="8"/>
      <c r="M39" s="8"/>
      <c r="N39" s="8"/>
    </row>
    <row r="40" spans="1:14" x14ac:dyDescent="0.25">
      <c r="A40" s="1043"/>
      <c r="B40" s="8">
        <v>38</v>
      </c>
      <c r="C40" s="8"/>
      <c r="D40" s="8"/>
      <c r="E40" s="8"/>
      <c r="F40" s="8"/>
      <c r="G40" s="8"/>
      <c r="H40" s="8"/>
      <c r="I40" s="8"/>
      <c r="J40" s="8"/>
      <c r="K40" s="8"/>
      <c r="L40" s="8"/>
      <c r="M40" s="8"/>
      <c r="N40" s="8"/>
    </row>
    <row r="41" spans="1:14" x14ac:dyDescent="0.25">
      <c r="A41" s="1049" t="s">
        <v>528</v>
      </c>
      <c r="B41" s="46">
        <v>39</v>
      </c>
      <c r="C41" s="47"/>
      <c r="D41" s="47"/>
      <c r="E41" s="47"/>
      <c r="F41" s="47"/>
      <c r="G41" s="47"/>
      <c r="H41" s="47"/>
      <c r="I41" s="47"/>
      <c r="J41" s="47"/>
      <c r="K41" s="47"/>
      <c r="L41" s="47"/>
      <c r="M41" s="47"/>
      <c r="N41" s="47"/>
    </row>
    <row r="42" spans="1:14" x14ac:dyDescent="0.25">
      <c r="A42" s="1049"/>
      <c r="B42" s="47">
        <v>40</v>
      </c>
      <c r="C42" s="47"/>
      <c r="D42" s="47"/>
      <c r="E42" s="47"/>
      <c r="F42" s="47"/>
      <c r="G42" s="47"/>
      <c r="H42" s="47"/>
      <c r="I42" s="47"/>
      <c r="J42" s="47"/>
      <c r="K42" s="47"/>
      <c r="L42" s="47"/>
      <c r="M42" s="47"/>
      <c r="N42" s="47"/>
    </row>
    <row r="43" spans="1:14" x14ac:dyDescent="0.25">
      <c r="A43" s="1049"/>
      <c r="B43" s="47">
        <v>41</v>
      </c>
      <c r="C43" s="47"/>
      <c r="D43" s="47"/>
      <c r="E43" s="47"/>
      <c r="F43" s="47"/>
      <c r="G43" s="47"/>
      <c r="H43" s="47"/>
      <c r="I43" s="47"/>
      <c r="J43" s="47"/>
      <c r="K43" s="47"/>
      <c r="L43" s="47"/>
      <c r="M43" s="47"/>
      <c r="N43" s="47"/>
    </row>
    <row r="44" spans="1:14" x14ac:dyDescent="0.25">
      <c r="A44" s="1049"/>
      <c r="B44" s="48">
        <v>42</v>
      </c>
      <c r="C44" s="47"/>
      <c r="D44" s="47"/>
      <c r="E44" s="47"/>
      <c r="F44" s="47"/>
      <c r="G44" s="47"/>
      <c r="H44" s="47"/>
      <c r="I44" s="47"/>
      <c r="J44" s="47"/>
      <c r="K44" s="47"/>
      <c r="L44" s="47"/>
      <c r="M44" s="47"/>
      <c r="N44" s="47"/>
    </row>
    <row r="45" spans="1:14" x14ac:dyDescent="0.25">
      <c r="A45" s="1042" t="s">
        <v>529</v>
      </c>
      <c r="B45" s="12">
        <v>43</v>
      </c>
      <c r="C45" s="12"/>
      <c r="D45" s="12"/>
      <c r="E45" s="12"/>
      <c r="F45" s="12"/>
      <c r="G45" s="12"/>
      <c r="H45" s="12"/>
      <c r="I45" s="12"/>
      <c r="J45" s="12"/>
      <c r="K45" s="12"/>
      <c r="L45" s="12"/>
      <c r="M45" s="12"/>
      <c r="N45" s="12"/>
    </row>
    <row r="46" spans="1:14" x14ac:dyDescent="0.25">
      <c r="A46" s="1042"/>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605"/>
      <c r="B1" s="696" t="s">
        <v>0</v>
      </c>
      <c r="C1" s="697"/>
      <c r="D1" s="697"/>
      <c r="E1" s="697"/>
      <c r="F1" s="697"/>
      <c r="G1" s="697"/>
      <c r="H1" s="697"/>
      <c r="I1" s="697"/>
      <c r="J1" s="697"/>
      <c r="K1" s="697"/>
      <c r="L1" s="697"/>
      <c r="M1" s="697"/>
      <c r="N1" s="697"/>
      <c r="O1" s="697"/>
      <c r="P1" s="697"/>
      <c r="Q1" s="697"/>
      <c r="R1" s="697"/>
      <c r="S1" s="697"/>
      <c r="T1" s="697"/>
      <c r="U1" s="697"/>
      <c r="V1" s="697"/>
      <c r="W1" s="697"/>
      <c r="X1" s="697"/>
      <c r="Y1" s="698"/>
      <c r="Z1" s="645" t="s">
        <v>91</v>
      </c>
      <c r="AA1" s="646"/>
      <c r="AB1" s="647"/>
    </row>
    <row r="2" spans="1:28" ht="30.75" customHeight="1" x14ac:dyDescent="0.25">
      <c r="A2" s="606"/>
      <c r="B2" s="705" t="s">
        <v>2</v>
      </c>
      <c r="C2" s="706"/>
      <c r="D2" s="706"/>
      <c r="E2" s="706"/>
      <c r="F2" s="706"/>
      <c r="G2" s="706"/>
      <c r="H2" s="706"/>
      <c r="I2" s="706"/>
      <c r="J2" s="706"/>
      <c r="K2" s="706"/>
      <c r="L2" s="706"/>
      <c r="M2" s="706"/>
      <c r="N2" s="706"/>
      <c r="O2" s="706"/>
      <c r="P2" s="706"/>
      <c r="Q2" s="706"/>
      <c r="R2" s="706"/>
      <c r="S2" s="706"/>
      <c r="T2" s="706"/>
      <c r="U2" s="706"/>
      <c r="V2" s="706"/>
      <c r="W2" s="706"/>
      <c r="X2" s="706"/>
      <c r="Y2" s="707"/>
      <c r="Z2" s="608" t="s">
        <v>92</v>
      </c>
      <c r="AA2" s="609"/>
      <c r="AB2" s="610"/>
    </row>
    <row r="3" spans="1:28" ht="24" customHeight="1" x14ac:dyDescent="0.25">
      <c r="A3" s="606"/>
      <c r="B3" s="636" t="s">
        <v>4</v>
      </c>
      <c r="C3" s="637"/>
      <c r="D3" s="637"/>
      <c r="E3" s="637"/>
      <c r="F3" s="637"/>
      <c r="G3" s="637"/>
      <c r="H3" s="637"/>
      <c r="I3" s="637"/>
      <c r="J3" s="637"/>
      <c r="K3" s="637"/>
      <c r="L3" s="637"/>
      <c r="M3" s="637"/>
      <c r="N3" s="637"/>
      <c r="O3" s="637"/>
      <c r="P3" s="637"/>
      <c r="Q3" s="637"/>
      <c r="R3" s="637"/>
      <c r="S3" s="637"/>
      <c r="T3" s="637"/>
      <c r="U3" s="637"/>
      <c r="V3" s="637"/>
      <c r="W3" s="637"/>
      <c r="X3" s="637"/>
      <c r="Y3" s="638"/>
      <c r="Z3" s="608" t="s">
        <v>93</v>
      </c>
      <c r="AA3" s="609"/>
      <c r="AB3" s="610"/>
    </row>
    <row r="4" spans="1:28" ht="15.75" customHeight="1" thickBot="1" x14ac:dyDescent="0.3">
      <c r="A4" s="607"/>
      <c r="B4" s="639"/>
      <c r="C4" s="640"/>
      <c r="D4" s="640"/>
      <c r="E4" s="640"/>
      <c r="F4" s="640"/>
      <c r="G4" s="640"/>
      <c r="H4" s="640"/>
      <c r="I4" s="640"/>
      <c r="J4" s="640"/>
      <c r="K4" s="640"/>
      <c r="L4" s="640"/>
      <c r="M4" s="640"/>
      <c r="N4" s="640"/>
      <c r="O4" s="640"/>
      <c r="P4" s="640"/>
      <c r="Q4" s="640"/>
      <c r="R4" s="640"/>
      <c r="S4" s="640"/>
      <c r="T4" s="640"/>
      <c r="U4" s="640"/>
      <c r="V4" s="640"/>
      <c r="W4" s="640"/>
      <c r="X4" s="640"/>
      <c r="Y4" s="641"/>
      <c r="Z4" s="611" t="s">
        <v>6</v>
      </c>
      <c r="AA4" s="612"/>
      <c r="AB4" s="613"/>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623" t="s">
        <v>15</v>
      </c>
      <c r="B7" s="624"/>
      <c r="C7" s="642"/>
      <c r="D7" s="643"/>
      <c r="E7" s="643"/>
      <c r="F7" s="643"/>
      <c r="G7" s="643"/>
      <c r="H7" s="643"/>
      <c r="I7" s="643"/>
      <c r="J7" s="643"/>
      <c r="K7" s="644"/>
      <c r="L7" s="62"/>
      <c r="M7" s="63"/>
      <c r="N7" s="63"/>
      <c r="O7" s="63"/>
      <c r="P7" s="63"/>
      <c r="Q7" s="64"/>
      <c r="R7" s="614" t="s">
        <v>9</v>
      </c>
      <c r="S7" s="615"/>
      <c r="T7" s="616"/>
      <c r="U7" s="730" t="s">
        <v>94</v>
      </c>
      <c r="V7" s="731"/>
      <c r="W7" s="614" t="s">
        <v>10</v>
      </c>
      <c r="X7" s="616"/>
      <c r="Y7" s="726" t="s">
        <v>11</v>
      </c>
      <c r="Z7" s="727"/>
      <c r="AA7" s="632"/>
      <c r="AB7" s="633"/>
    </row>
    <row r="8" spans="1:28" ht="15" customHeight="1" x14ac:dyDescent="0.25">
      <c r="A8" s="627"/>
      <c r="B8" s="628"/>
      <c r="C8" s="636"/>
      <c r="D8" s="637"/>
      <c r="E8" s="637"/>
      <c r="F8" s="637"/>
      <c r="G8" s="637"/>
      <c r="H8" s="637"/>
      <c r="I8" s="637"/>
      <c r="J8" s="637"/>
      <c r="K8" s="638"/>
      <c r="L8" s="62"/>
      <c r="M8" s="63"/>
      <c r="N8" s="63"/>
      <c r="O8" s="63"/>
      <c r="P8" s="63"/>
      <c r="Q8" s="64"/>
      <c r="R8" s="617"/>
      <c r="S8" s="618"/>
      <c r="T8" s="619"/>
      <c r="U8" s="732"/>
      <c r="V8" s="733"/>
      <c r="W8" s="617"/>
      <c r="X8" s="619"/>
      <c r="Y8" s="719" t="s">
        <v>12</v>
      </c>
      <c r="Z8" s="720"/>
      <c r="AA8" s="648"/>
      <c r="AB8" s="649"/>
    </row>
    <row r="9" spans="1:28" ht="15" customHeight="1" thickBot="1" x14ac:dyDescent="0.3">
      <c r="A9" s="625"/>
      <c r="B9" s="626"/>
      <c r="C9" s="639"/>
      <c r="D9" s="640"/>
      <c r="E9" s="640"/>
      <c r="F9" s="640"/>
      <c r="G9" s="640"/>
      <c r="H9" s="640"/>
      <c r="I9" s="640"/>
      <c r="J9" s="640"/>
      <c r="K9" s="641"/>
      <c r="L9" s="62"/>
      <c r="M9" s="63"/>
      <c r="N9" s="63"/>
      <c r="O9" s="63"/>
      <c r="P9" s="63"/>
      <c r="Q9" s="64"/>
      <c r="R9" s="620"/>
      <c r="S9" s="621"/>
      <c r="T9" s="622"/>
      <c r="U9" s="734"/>
      <c r="V9" s="735"/>
      <c r="W9" s="620"/>
      <c r="X9" s="622"/>
      <c r="Y9" s="634" t="s">
        <v>13</v>
      </c>
      <c r="Z9" s="635"/>
      <c r="AA9" s="650"/>
      <c r="AB9" s="65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736" t="s">
        <v>17</v>
      </c>
      <c r="B11" s="737"/>
      <c r="C11" s="738"/>
      <c r="D11" s="739"/>
      <c r="E11" s="739"/>
      <c r="F11" s="739"/>
      <c r="G11" s="739"/>
      <c r="H11" s="739"/>
      <c r="I11" s="739"/>
      <c r="J11" s="739"/>
      <c r="K11" s="740"/>
      <c r="L11" s="72"/>
      <c r="M11" s="652" t="s">
        <v>19</v>
      </c>
      <c r="N11" s="718"/>
      <c r="O11" s="718"/>
      <c r="P11" s="718"/>
      <c r="Q11" s="653"/>
      <c r="R11" s="629"/>
      <c r="S11" s="630"/>
      <c r="T11" s="630"/>
      <c r="U11" s="630"/>
      <c r="V11" s="631"/>
      <c r="W11" s="652" t="s">
        <v>21</v>
      </c>
      <c r="X11" s="653"/>
      <c r="Y11" s="708"/>
      <c r="Z11" s="709"/>
      <c r="AA11" s="709"/>
      <c r="AB11" s="710"/>
    </row>
    <row r="12" spans="1:28" ht="9" customHeight="1" thickBot="1" x14ac:dyDescent="0.3">
      <c r="A12" s="59"/>
      <c r="B12" s="54"/>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3"/>
      <c r="AB12" s="74"/>
    </row>
    <row r="13" spans="1:28" s="76" customFormat="1" ht="37.5" customHeight="1" thickBot="1" x14ac:dyDescent="0.3">
      <c r="A13" s="736" t="s">
        <v>23</v>
      </c>
      <c r="B13" s="737"/>
      <c r="C13" s="682"/>
      <c r="D13" s="683"/>
      <c r="E13" s="683"/>
      <c r="F13" s="683"/>
      <c r="G13" s="683"/>
      <c r="H13" s="683"/>
      <c r="I13" s="683"/>
      <c r="J13" s="683"/>
      <c r="K13" s="683"/>
      <c r="L13" s="683"/>
      <c r="M13" s="683"/>
      <c r="N13" s="683"/>
      <c r="O13" s="683"/>
      <c r="P13" s="683"/>
      <c r="Q13" s="684"/>
      <c r="R13" s="54"/>
      <c r="S13" s="656" t="s">
        <v>95</v>
      </c>
      <c r="T13" s="656"/>
      <c r="U13" s="75"/>
      <c r="V13" s="617" t="s">
        <v>26</v>
      </c>
      <c r="W13" s="656"/>
      <c r="X13" s="656"/>
      <c r="Y13" s="656"/>
      <c r="Z13" s="54"/>
      <c r="AA13" s="660"/>
      <c r="AB13" s="661"/>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623" t="s">
        <v>7</v>
      </c>
      <c r="B15" s="624"/>
      <c r="C15" s="679" t="s">
        <v>96</v>
      </c>
      <c r="D15" s="80"/>
      <c r="E15" s="80"/>
      <c r="F15" s="80"/>
      <c r="G15" s="80"/>
      <c r="H15" s="80"/>
      <c r="I15" s="80"/>
      <c r="J15" s="70"/>
      <c r="K15" s="81"/>
      <c r="L15" s="70"/>
      <c r="M15" s="60"/>
      <c r="N15" s="60"/>
      <c r="O15" s="60"/>
      <c r="P15" s="60"/>
      <c r="Q15" s="657" t="s">
        <v>27</v>
      </c>
      <c r="R15" s="658"/>
      <c r="S15" s="658"/>
      <c r="T15" s="658"/>
      <c r="U15" s="658"/>
      <c r="V15" s="658"/>
      <c r="W15" s="658"/>
      <c r="X15" s="658"/>
      <c r="Y15" s="658"/>
      <c r="Z15" s="658"/>
      <c r="AA15" s="658"/>
      <c r="AB15" s="659"/>
    </row>
    <row r="16" spans="1:28" ht="35.25" customHeight="1" thickBot="1" x14ac:dyDescent="0.3">
      <c r="A16" s="625"/>
      <c r="B16" s="626"/>
      <c r="C16" s="680"/>
      <c r="D16" s="80"/>
      <c r="E16" s="80"/>
      <c r="F16" s="80"/>
      <c r="G16" s="80"/>
      <c r="H16" s="80"/>
      <c r="I16" s="80"/>
      <c r="J16" s="70"/>
      <c r="K16" s="70"/>
      <c r="L16" s="70"/>
      <c r="M16" s="60"/>
      <c r="N16" s="60"/>
      <c r="O16" s="60"/>
      <c r="P16" s="60"/>
      <c r="Q16" s="715" t="s">
        <v>97</v>
      </c>
      <c r="R16" s="716"/>
      <c r="S16" s="716"/>
      <c r="T16" s="716"/>
      <c r="U16" s="716"/>
      <c r="V16" s="717"/>
      <c r="W16" s="728" t="s">
        <v>98</v>
      </c>
      <c r="X16" s="716"/>
      <c r="Y16" s="716"/>
      <c r="Z16" s="716"/>
      <c r="AA16" s="716"/>
      <c r="AB16" s="729"/>
    </row>
    <row r="17" spans="1:39" ht="27" customHeight="1" x14ac:dyDescent="0.25">
      <c r="A17" s="82"/>
      <c r="B17" s="60"/>
      <c r="C17" s="60"/>
      <c r="D17" s="80"/>
      <c r="E17" s="80"/>
      <c r="F17" s="80"/>
      <c r="G17" s="80"/>
      <c r="H17" s="80"/>
      <c r="I17" s="80"/>
      <c r="J17" s="80"/>
      <c r="K17" s="80"/>
      <c r="L17" s="80"/>
      <c r="M17" s="60"/>
      <c r="N17" s="60"/>
      <c r="O17" s="60"/>
      <c r="P17" s="60"/>
      <c r="Q17" s="744" t="s">
        <v>99</v>
      </c>
      <c r="R17" s="745"/>
      <c r="S17" s="595"/>
      <c r="T17" s="596" t="s">
        <v>100</v>
      </c>
      <c r="U17" s="713"/>
      <c r="V17" s="714"/>
      <c r="W17" s="594" t="s">
        <v>99</v>
      </c>
      <c r="X17" s="595"/>
      <c r="Y17" s="594" t="s">
        <v>101</v>
      </c>
      <c r="Z17" s="595"/>
      <c r="AA17" s="596" t="s">
        <v>102</v>
      </c>
      <c r="AB17" s="597"/>
      <c r="AC17" s="83"/>
      <c r="AD17" s="83"/>
    </row>
    <row r="18" spans="1:39" ht="27" customHeight="1" x14ac:dyDescent="0.25">
      <c r="A18" s="82"/>
      <c r="B18" s="60"/>
      <c r="C18" s="60"/>
      <c r="D18" s="80"/>
      <c r="E18" s="80"/>
      <c r="F18" s="80"/>
      <c r="G18" s="80"/>
      <c r="H18" s="80"/>
      <c r="I18" s="80"/>
      <c r="J18" s="80"/>
      <c r="K18" s="80"/>
      <c r="L18" s="80"/>
      <c r="M18" s="60"/>
      <c r="N18" s="60"/>
      <c r="O18" s="60"/>
      <c r="P18" s="60"/>
      <c r="Q18" s="140"/>
      <c r="R18" s="141"/>
      <c r="S18" s="142"/>
      <c r="T18" s="596"/>
      <c r="U18" s="713"/>
      <c r="V18" s="714"/>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741"/>
      <c r="R19" s="742"/>
      <c r="S19" s="743"/>
      <c r="T19" s="748"/>
      <c r="U19" s="742"/>
      <c r="V19" s="743"/>
      <c r="W19" s="662"/>
      <c r="X19" s="663"/>
      <c r="Y19" s="603"/>
      <c r="Z19" s="604"/>
      <c r="AA19" s="746"/>
      <c r="AB19" s="74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699" t="s">
        <v>47</v>
      </c>
      <c r="B21" s="700"/>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2"/>
    </row>
    <row r="22" spans="1:39" ht="15" customHeight="1" x14ac:dyDescent="0.25">
      <c r="A22" s="601" t="s">
        <v>48</v>
      </c>
      <c r="B22" s="724" t="s">
        <v>49</v>
      </c>
      <c r="C22" s="725"/>
      <c r="D22" s="667" t="s">
        <v>103</v>
      </c>
      <c r="E22" s="668"/>
      <c r="F22" s="668"/>
      <c r="G22" s="668"/>
      <c r="H22" s="668"/>
      <c r="I22" s="668"/>
      <c r="J22" s="668"/>
      <c r="K22" s="668"/>
      <c r="L22" s="668"/>
      <c r="M22" s="668"/>
      <c r="N22" s="668"/>
      <c r="O22" s="703"/>
      <c r="P22" s="585" t="s">
        <v>41</v>
      </c>
      <c r="Q22" s="585" t="s">
        <v>51</v>
      </c>
      <c r="R22" s="585"/>
      <c r="S22" s="585"/>
      <c r="T22" s="585"/>
      <c r="U22" s="585"/>
      <c r="V22" s="585"/>
      <c r="W22" s="585"/>
      <c r="X22" s="585"/>
      <c r="Y22" s="585"/>
      <c r="Z22" s="585"/>
      <c r="AA22" s="585"/>
      <c r="AB22" s="685"/>
    </row>
    <row r="23" spans="1:39" ht="27" customHeight="1" x14ac:dyDescent="0.25">
      <c r="A23" s="602"/>
      <c r="B23" s="664"/>
      <c r="C23" s="692"/>
      <c r="D23" s="88" t="s">
        <v>30</v>
      </c>
      <c r="E23" s="88" t="s">
        <v>31</v>
      </c>
      <c r="F23" s="88" t="s">
        <v>32</v>
      </c>
      <c r="G23" s="88" t="s">
        <v>33</v>
      </c>
      <c r="H23" s="88" t="s">
        <v>34</v>
      </c>
      <c r="I23" s="88" t="s">
        <v>35</v>
      </c>
      <c r="J23" s="88" t="s">
        <v>36</v>
      </c>
      <c r="K23" s="88" t="s">
        <v>37</v>
      </c>
      <c r="L23" s="88" t="s">
        <v>8</v>
      </c>
      <c r="M23" s="88" t="s">
        <v>38</v>
      </c>
      <c r="N23" s="88" t="s">
        <v>39</v>
      </c>
      <c r="O23" s="88" t="s">
        <v>40</v>
      </c>
      <c r="P23" s="703"/>
      <c r="Q23" s="585"/>
      <c r="R23" s="585"/>
      <c r="S23" s="585"/>
      <c r="T23" s="585"/>
      <c r="U23" s="585"/>
      <c r="V23" s="585"/>
      <c r="W23" s="585"/>
      <c r="X23" s="585"/>
      <c r="Y23" s="585"/>
      <c r="Z23" s="585"/>
      <c r="AA23" s="585"/>
      <c r="AB23" s="685"/>
    </row>
    <row r="24" spans="1:39" ht="42" customHeight="1" thickBot="1" x14ac:dyDescent="0.3">
      <c r="A24" s="85"/>
      <c r="B24" s="598"/>
      <c r="C24" s="599"/>
      <c r="D24" s="89"/>
      <c r="E24" s="89"/>
      <c r="F24" s="89"/>
      <c r="G24" s="89"/>
      <c r="H24" s="89"/>
      <c r="I24" s="89"/>
      <c r="J24" s="89"/>
      <c r="K24" s="89"/>
      <c r="L24" s="89"/>
      <c r="M24" s="89"/>
      <c r="N24" s="89"/>
      <c r="O24" s="89"/>
      <c r="P24" s="86">
        <f>SUM(D24:O24)</f>
        <v>0</v>
      </c>
      <c r="Q24" s="586" t="s">
        <v>104</v>
      </c>
      <c r="R24" s="586"/>
      <c r="S24" s="586"/>
      <c r="T24" s="586"/>
      <c r="U24" s="586"/>
      <c r="V24" s="586"/>
      <c r="W24" s="586"/>
      <c r="X24" s="586"/>
      <c r="Y24" s="586"/>
      <c r="Z24" s="586"/>
      <c r="AA24" s="586"/>
      <c r="AB24" s="587"/>
    </row>
    <row r="25" spans="1:39" ht="21.75" customHeight="1" x14ac:dyDescent="0.25">
      <c r="A25" s="582" t="s">
        <v>53</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4"/>
    </row>
    <row r="26" spans="1:39" ht="22.9" customHeight="1" x14ac:dyDescent="0.25">
      <c r="A26" s="579" t="s">
        <v>54</v>
      </c>
      <c r="B26" s="585" t="s">
        <v>55</v>
      </c>
      <c r="C26" s="585" t="s">
        <v>49</v>
      </c>
      <c r="D26" s="585" t="s">
        <v>56</v>
      </c>
      <c r="E26" s="585"/>
      <c r="F26" s="585"/>
      <c r="G26" s="585"/>
      <c r="H26" s="585"/>
      <c r="I26" s="585"/>
      <c r="J26" s="585"/>
      <c r="K26" s="585"/>
      <c r="L26" s="585"/>
      <c r="M26" s="585"/>
      <c r="N26" s="585"/>
      <c r="O26" s="585"/>
      <c r="P26" s="585"/>
      <c r="Q26" s="585" t="s">
        <v>57</v>
      </c>
      <c r="R26" s="585"/>
      <c r="S26" s="585"/>
      <c r="T26" s="585"/>
      <c r="U26" s="585"/>
      <c r="V26" s="585"/>
      <c r="W26" s="585"/>
      <c r="X26" s="585"/>
      <c r="Y26" s="585"/>
      <c r="Z26" s="585"/>
      <c r="AA26" s="585"/>
      <c r="AB26" s="685"/>
      <c r="AE26" s="87"/>
      <c r="AF26" s="87"/>
      <c r="AG26" s="87"/>
      <c r="AH26" s="87"/>
      <c r="AI26" s="87"/>
      <c r="AJ26" s="87"/>
      <c r="AK26" s="87"/>
      <c r="AL26" s="87"/>
      <c r="AM26" s="87"/>
    </row>
    <row r="27" spans="1:39" ht="22.9" customHeight="1" x14ac:dyDescent="0.25">
      <c r="A27" s="579"/>
      <c r="B27" s="585"/>
      <c r="C27" s="600"/>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664" t="s">
        <v>105</v>
      </c>
      <c r="R27" s="665"/>
      <c r="S27" s="665"/>
      <c r="T27" s="692"/>
      <c r="U27" s="664" t="s">
        <v>60</v>
      </c>
      <c r="V27" s="665"/>
      <c r="W27" s="665"/>
      <c r="X27" s="692"/>
      <c r="Y27" s="664" t="s">
        <v>61</v>
      </c>
      <c r="Z27" s="665"/>
      <c r="AA27" s="665"/>
      <c r="AB27" s="666"/>
      <c r="AE27" s="87"/>
      <c r="AF27" s="87"/>
      <c r="AG27" s="87"/>
      <c r="AH27" s="87"/>
      <c r="AI27" s="87"/>
      <c r="AJ27" s="87"/>
      <c r="AK27" s="87"/>
      <c r="AL27" s="87"/>
      <c r="AM27" s="87"/>
    </row>
    <row r="28" spans="1:39" ht="33" customHeight="1" x14ac:dyDescent="0.25">
      <c r="A28" s="580"/>
      <c r="B28" s="722"/>
      <c r="C28" s="90" t="s">
        <v>62</v>
      </c>
      <c r="D28" s="89"/>
      <c r="E28" s="89"/>
      <c r="F28" s="89"/>
      <c r="G28" s="89"/>
      <c r="H28" s="89"/>
      <c r="I28" s="89"/>
      <c r="J28" s="89"/>
      <c r="K28" s="89"/>
      <c r="L28" s="89"/>
      <c r="M28" s="89"/>
      <c r="N28" s="89"/>
      <c r="O28" s="89"/>
      <c r="P28" s="138">
        <f>SUM(D28:O28)</f>
        <v>0</v>
      </c>
      <c r="Q28" s="588" t="s">
        <v>106</v>
      </c>
      <c r="R28" s="589"/>
      <c r="S28" s="589"/>
      <c r="T28" s="590"/>
      <c r="U28" s="588" t="s">
        <v>107</v>
      </c>
      <c r="V28" s="589"/>
      <c r="W28" s="589"/>
      <c r="X28" s="590"/>
      <c r="Y28" s="588" t="s">
        <v>108</v>
      </c>
      <c r="Z28" s="589"/>
      <c r="AA28" s="589"/>
      <c r="AB28" s="711"/>
      <c r="AE28" s="87"/>
      <c r="AF28" s="87"/>
      <c r="AG28" s="87"/>
      <c r="AH28" s="87"/>
      <c r="AI28" s="87"/>
      <c r="AJ28" s="87"/>
      <c r="AK28" s="87"/>
      <c r="AL28" s="87"/>
      <c r="AM28" s="87"/>
    </row>
    <row r="29" spans="1:39" ht="33.75" customHeight="1" thickBot="1" x14ac:dyDescent="0.3">
      <c r="A29" s="581"/>
      <c r="B29" s="723"/>
      <c r="C29" s="91" t="s">
        <v>63</v>
      </c>
      <c r="D29" s="92"/>
      <c r="E29" s="92"/>
      <c r="F29" s="92"/>
      <c r="G29" s="93"/>
      <c r="H29" s="93"/>
      <c r="I29" s="93"/>
      <c r="J29" s="93"/>
      <c r="K29" s="93"/>
      <c r="L29" s="93"/>
      <c r="M29" s="93"/>
      <c r="N29" s="93"/>
      <c r="O29" s="93"/>
      <c r="P29" s="139">
        <f>SUM(D29:O29)</f>
        <v>0</v>
      </c>
      <c r="Q29" s="591"/>
      <c r="R29" s="592"/>
      <c r="S29" s="592"/>
      <c r="T29" s="593"/>
      <c r="U29" s="591"/>
      <c r="V29" s="592"/>
      <c r="W29" s="592"/>
      <c r="X29" s="593"/>
      <c r="Y29" s="591"/>
      <c r="Z29" s="592"/>
      <c r="AA29" s="592"/>
      <c r="AB29" s="712"/>
      <c r="AC29" s="49"/>
      <c r="AE29" s="87"/>
      <c r="AF29" s="87"/>
      <c r="AG29" s="87"/>
      <c r="AH29" s="87"/>
      <c r="AI29" s="87"/>
      <c r="AJ29" s="87"/>
      <c r="AK29" s="87"/>
      <c r="AL29" s="87"/>
      <c r="AM29" s="87"/>
    </row>
    <row r="30" spans="1:39" ht="25.9" customHeight="1" x14ac:dyDescent="0.25">
      <c r="A30" s="578" t="s">
        <v>64</v>
      </c>
      <c r="B30" s="573" t="s">
        <v>65</v>
      </c>
      <c r="C30" s="704" t="s">
        <v>66</v>
      </c>
      <c r="D30" s="704"/>
      <c r="E30" s="704"/>
      <c r="F30" s="704"/>
      <c r="G30" s="704"/>
      <c r="H30" s="704"/>
      <c r="I30" s="704"/>
      <c r="J30" s="704"/>
      <c r="K30" s="704"/>
      <c r="L30" s="704"/>
      <c r="M30" s="704"/>
      <c r="N30" s="704"/>
      <c r="O30" s="704"/>
      <c r="P30" s="704"/>
      <c r="Q30" s="676" t="s">
        <v>67</v>
      </c>
      <c r="R30" s="677"/>
      <c r="S30" s="677"/>
      <c r="T30" s="677"/>
      <c r="U30" s="677"/>
      <c r="V30" s="677"/>
      <c r="W30" s="677"/>
      <c r="X30" s="677"/>
      <c r="Y30" s="677"/>
      <c r="Z30" s="677"/>
      <c r="AA30" s="677"/>
      <c r="AB30" s="678"/>
      <c r="AE30" s="87"/>
      <c r="AF30" s="87"/>
      <c r="AG30" s="87"/>
      <c r="AH30" s="87"/>
      <c r="AI30" s="87"/>
      <c r="AJ30" s="87"/>
      <c r="AK30" s="87"/>
      <c r="AL30" s="87"/>
      <c r="AM30" s="87"/>
    </row>
    <row r="31" spans="1:39" ht="25.9" customHeight="1" x14ac:dyDescent="0.25">
      <c r="A31" s="579"/>
      <c r="B31" s="574"/>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667" t="s">
        <v>82</v>
      </c>
      <c r="R31" s="668"/>
      <c r="S31" s="668"/>
      <c r="T31" s="668"/>
      <c r="U31" s="668"/>
      <c r="V31" s="668"/>
      <c r="W31" s="668"/>
      <c r="X31" s="668"/>
      <c r="Y31" s="668"/>
      <c r="Z31" s="668"/>
      <c r="AA31" s="668"/>
      <c r="AB31" s="669"/>
      <c r="AE31" s="94"/>
      <c r="AF31" s="94"/>
      <c r="AG31" s="94"/>
      <c r="AH31" s="94"/>
      <c r="AI31" s="94"/>
      <c r="AJ31" s="94"/>
      <c r="AK31" s="94"/>
      <c r="AL31" s="94"/>
      <c r="AM31" s="94"/>
    </row>
    <row r="32" spans="1:39" ht="28.5" customHeight="1" x14ac:dyDescent="0.25">
      <c r="A32" s="576"/>
      <c r="B32" s="571"/>
      <c r="C32" s="90" t="s">
        <v>62</v>
      </c>
      <c r="D32" s="95"/>
      <c r="E32" s="95"/>
      <c r="F32" s="95"/>
      <c r="G32" s="95"/>
      <c r="H32" s="95"/>
      <c r="I32" s="95"/>
      <c r="J32" s="95"/>
      <c r="K32" s="95"/>
      <c r="L32" s="95"/>
      <c r="M32" s="95"/>
      <c r="N32" s="95"/>
      <c r="O32" s="95"/>
      <c r="P32" s="96">
        <f t="shared" ref="P32:P39" si="0">SUM(D32:O32)</f>
        <v>0</v>
      </c>
      <c r="Q32" s="670" t="s">
        <v>109</v>
      </c>
      <c r="R32" s="671"/>
      <c r="S32" s="671"/>
      <c r="T32" s="671"/>
      <c r="U32" s="671"/>
      <c r="V32" s="671"/>
      <c r="W32" s="671"/>
      <c r="X32" s="671"/>
      <c r="Y32" s="671"/>
      <c r="Z32" s="671"/>
      <c r="AA32" s="671"/>
      <c r="AB32" s="672"/>
      <c r="AC32" s="97"/>
      <c r="AE32" s="98"/>
      <c r="AF32" s="98"/>
      <c r="AG32" s="98"/>
      <c r="AH32" s="98"/>
      <c r="AI32" s="98"/>
      <c r="AJ32" s="98"/>
      <c r="AK32" s="98"/>
      <c r="AL32" s="98"/>
      <c r="AM32" s="98"/>
    </row>
    <row r="33" spans="1:29" ht="28.5" customHeight="1" x14ac:dyDescent="0.25">
      <c r="A33" s="577"/>
      <c r="B33" s="572"/>
      <c r="C33" s="99" t="s">
        <v>63</v>
      </c>
      <c r="D33" s="100"/>
      <c r="E33" s="100"/>
      <c r="F33" s="100"/>
      <c r="G33" s="100"/>
      <c r="H33" s="100"/>
      <c r="I33" s="100"/>
      <c r="J33" s="100"/>
      <c r="K33" s="100"/>
      <c r="L33" s="100"/>
      <c r="M33" s="100"/>
      <c r="N33" s="100"/>
      <c r="O33" s="100"/>
      <c r="P33" s="101">
        <f t="shared" si="0"/>
        <v>0</v>
      </c>
      <c r="Q33" s="673"/>
      <c r="R33" s="674"/>
      <c r="S33" s="674"/>
      <c r="T33" s="674"/>
      <c r="U33" s="674"/>
      <c r="V33" s="674"/>
      <c r="W33" s="674"/>
      <c r="X33" s="674"/>
      <c r="Y33" s="674"/>
      <c r="Z33" s="674"/>
      <c r="AA33" s="674"/>
      <c r="AB33" s="675"/>
      <c r="AC33" s="97"/>
    </row>
    <row r="34" spans="1:29" ht="28.5" customHeight="1" x14ac:dyDescent="0.25">
      <c r="A34" s="577"/>
      <c r="B34" s="575"/>
      <c r="C34" s="102" t="s">
        <v>62</v>
      </c>
      <c r="D34" s="103"/>
      <c r="E34" s="103"/>
      <c r="F34" s="103"/>
      <c r="G34" s="103"/>
      <c r="H34" s="103"/>
      <c r="I34" s="103"/>
      <c r="J34" s="103"/>
      <c r="K34" s="103"/>
      <c r="L34" s="103"/>
      <c r="M34" s="103"/>
      <c r="N34" s="103"/>
      <c r="O34" s="103"/>
      <c r="P34" s="101">
        <f t="shared" si="0"/>
        <v>0</v>
      </c>
      <c r="Q34" s="686"/>
      <c r="R34" s="687"/>
      <c r="S34" s="687"/>
      <c r="T34" s="687"/>
      <c r="U34" s="687"/>
      <c r="V34" s="687"/>
      <c r="W34" s="687"/>
      <c r="X34" s="687"/>
      <c r="Y34" s="687"/>
      <c r="Z34" s="687"/>
      <c r="AA34" s="687"/>
      <c r="AB34" s="688"/>
      <c r="AC34" s="97"/>
    </row>
    <row r="35" spans="1:29" ht="28.5" customHeight="1" x14ac:dyDescent="0.25">
      <c r="A35" s="577"/>
      <c r="B35" s="572"/>
      <c r="C35" s="99" t="s">
        <v>63</v>
      </c>
      <c r="D35" s="100"/>
      <c r="E35" s="100"/>
      <c r="F35" s="100"/>
      <c r="G35" s="100"/>
      <c r="H35" s="100"/>
      <c r="I35" s="100"/>
      <c r="J35" s="100"/>
      <c r="K35" s="100"/>
      <c r="L35" s="104"/>
      <c r="M35" s="104"/>
      <c r="N35" s="104"/>
      <c r="O35" s="104"/>
      <c r="P35" s="101">
        <f t="shared" si="0"/>
        <v>0</v>
      </c>
      <c r="Q35" s="693"/>
      <c r="R35" s="694"/>
      <c r="S35" s="694"/>
      <c r="T35" s="694"/>
      <c r="U35" s="694"/>
      <c r="V35" s="694"/>
      <c r="W35" s="694"/>
      <c r="X35" s="694"/>
      <c r="Y35" s="694"/>
      <c r="Z35" s="694"/>
      <c r="AA35" s="694"/>
      <c r="AB35" s="695"/>
      <c r="AC35" s="97"/>
    </row>
    <row r="36" spans="1:29" ht="28.5" customHeight="1" x14ac:dyDescent="0.25">
      <c r="A36" s="569"/>
      <c r="B36" s="575"/>
      <c r="C36" s="102" t="s">
        <v>62</v>
      </c>
      <c r="D36" s="103"/>
      <c r="E36" s="103"/>
      <c r="F36" s="103"/>
      <c r="G36" s="103"/>
      <c r="H36" s="103"/>
      <c r="I36" s="103"/>
      <c r="J36" s="103"/>
      <c r="K36" s="103"/>
      <c r="L36" s="103"/>
      <c r="M36" s="103"/>
      <c r="N36" s="103"/>
      <c r="O36" s="103"/>
      <c r="P36" s="101">
        <f t="shared" si="0"/>
        <v>0</v>
      </c>
      <c r="Q36" s="686"/>
      <c r="R36" s="687"/>
      <c r="S36" s="687"/>
      <c r="T36" s="687"/>
      <c r="U36" s="687"/>
      <c r="V36" s="687"/>
      <c r="W36" s="687"/>
      <c r="X36" s="687"/>
      <c r="Y36" s="687"/>
      <c r="Z36" s="687"/>
      <c r="AA36" s="687"/>
      <c r="AB36" s="688"/>
      <c r="AC36" s="97"/>
    </row>
    <row r="37" spans="1:29" ht="28.5" customHeight="1" x14ac:dyDescent="0.25">
      <c r="A37" s="570"/>
      <c r="B37" s="572"/>
      <c r="C37" s="99" t="s">
        <v>63</v>
      </c>
      <c r="D37" s="100"/>
      <c r="E37" s="100"/>
      <c r="F37" s="100"/>
      <c r="G37" s="100"/>
      <c r="H37" s="100"/>
      <c r="I37" s="100"/>
      <c r="J37" s="100"/>
      <c r="K37" s="100"/>
      <c r="L37" s="104"/>
      <c r="M37" s="104"/>
      <c r="N37" s="104"/>
      <c r="O37" s="104"/>
      <c r="P37" s="101">
        <f t="shared" si="0"/>
        <v>0</v>
      </c>
      <c r="Q37" s="693"/>
      <c r="R37" s="694"/>
      <c r="S37" s="694"/>
      <c r="T37" s="694"/>
      <c r="U37" s="694"/>
      <c r="V37" s="694"/>
      <c r="W37" s="694"/>
      <c r="X37" s="694"/>
      <c r="Y37" s="694"/>
      <c r="Z37" s="694"/>
      <c r="AA37" s="694"/>
      <c r="AB37" s="695"/>
      <c r="AC37" s="97"/>
    </row>
    <row r="38" spans="1:29" ht="28.5" customHeight="1" x14ac:dyDescent="0.25">
      <c r="A38" s="654"/>
      <c r="B38" s="575"/>
      <c r="C38" s="102" t="s">
        <v>62</v>
      </c>
      <c r="D38" s="103"/>
      <c r="E38" s="103"/>
      <c r="F38" s="103"/>
      <c r="G38" s="103"/>
      <c r="H38" s="103"/>
      <c r="I38" s="103"/>
      <c r="J38" s="103"/>
      <c r="K38" s="103"/>
      <c r="L38" s="103"/>
      <c r="M38" s="103"/>
      <c r="N38" s="103"/>
      <c r="O38" s="103"/>
      <c r="P38" s="101">
        <f t="shared" si="0"/>
        <v>0</v>
      </c>
      <c r="Q38" s="686"/>
      <c r="R38" s="687"/>
      <c r="S38" s="687"/>
      <c r="T38" s="687"/>
      <c r="U38" s="687"/>
      <c r="V38" s="687"/>
      <c r="W38" s="687"/>
      <c r="X38" s="687"/>
      <c r="Y38" s="687"/>
      <c r="Z38" s="687"/>
      <c r="AA38" s="687"/>
      <c r="AB38" s="688"/>
      <c r="AC38" s="97"/>
    </row>
    <row r="39" spans="1:29" ht="28.5" customHeight="1" thickBot="1" x14ac:dyDescent="0.3">
      <c r="A39" s="655"/>
      <c r="B39" s="681"/>
      <c r="C39" s="91" t="s">
        <v>63</v>
      </c>
      <c r="D39" s="105"/>
      <c r="E39" s="105"/>
      <c r="F39" s="105"/>
      <c r="G39" s="105"/>
      <c r="H39" s="105"/>
      <c r="I39" s="105"/>
      <c r="J39" s="105"/>
      <c r="K39" s="105"/>
      <c r="L39" s="106"/>
      <c r="M39" s="106"/>
      <c r="N39" s="106"/>
      <c r="O39" s="106"/>
      <c r="P39" s="107">
        <f t="shared" si="0"/>
        <v>0</v>
      </c>
      <c r="Q39" s="689"/>
      <c r="R39" s="690"/>
      <c r="S39" s="690"/>
      <c r="T39" s="690"/>
      <c r="U39" s="690"/>
      <c r="V39" s="690"/>
      <c r="W39" s="690"/>
      <c r="X39" s="690"/>
      <c r="Y39" s="690"/>
      <c r="Z39" s="690"/>
      <c r="AA39" s="690"/>
      <c r="AB39" s="691"/>
      <c r="AC39" s="97"/>
    </row>
    <row r="40" spans="1:29" x14ac:dyDescent="0.25">
      <c r="A40" s="50" t="s">
        <v>89</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O303"/>
  <sheetViews>
    <sheetView showGridLines="0" view="pageBreakPreview" topLeftCell="A48" zoomScale="60" zoomScaleNormal="60" workbookViewId="0">
      <selection activeCell="Q52" sqref="Q52:AD53"/>
    </sheetView>
  </sheetViews>
  <sheetFormatPr baseColWidth="10" defaultColWidth="10.7109375" defaultRowHeight="15" x14ac:dyDescent="0.25"/>
  <cols>
    <col min="1" max="1" width="64.42578125" style="50" customWidth="1"/>
    <col min="2" max="2" width="20.7109375" style="50" customWidth="1"/>
    <col min="3" max="3" width="38.140625" style="50" customWidth="1"/>
    <col min="4" max="14" width="20.7109375" style="50" customWidth="1"/>
    <col min="15" max="15" width="18.28515625" style="50" customWidth="1"/>
    <col min="16" max="16" width="18.140625" style="50" customWidth="1"/>
    <col min="17" max="17" width="20.28515625" style="50" customWidth="1"/>
    <col min="18" max="18" width="19.28515625" style="50" customWidth="1"/>
    <col min="19" max="19" width="36.7109375" style="50" customWidth="1"/>
    <col min="20" max="21" width="18.140625" style="50" customWidth="1"/>
    <col min="22" max="22" width="27.42578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776" t="s">
        <v>4</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21" t="s">
        <v>5</v>
      </c>
      <c r="AC3" s="422"/>
      <c r="AD3" s="423"/>
    </row>
    <row r="4" spans="1:33" ht="21.75" customHeight="1" thickBot="1" x14ac:dyDescent="0.3">
      <c r="A4" s="414"/>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16</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9.5"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22</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777" t="s">
        <v>110</v>
      </c>
      <c r="D17" s="778"/>
      <c r="E17" s="778"/>
      <c r="F17" s="778"/>
      <c r="G17" s="778"/>
      <c r="H17" s="778"/>
      <c r="I17" s="778"/>
      <c r="J17" s="778"/>
      <c r="K17" s="778"/>
      <c r="L17" s="778"/>
      <c r="M17" s="778"/>
      <c r="N17" s="778"/>
      <c r="O17" s="778"/>
      <c r="P17" s="778"/>
      <c r="Q17" s="779"/>
      <c r="R17" s="484" t="s">
        <v>25</v>
      </c>
      <c r="S17" s="488"/>
      <c r="T17" s="488"/>
      <c r="U17" s="488"/>
      <c r="V17" s="485"/>
      <c r="W17" s="486">
        <v>0.9</v>
      </c>
      <c r="X17" s="487"/>
      <c r="Y17" s="488" t="s">
        <v>26</v>
      </c>
      <c r="Z17" s="488"/>
      <c r="AA17" s="488"/>
      <c r="AB17" s="485"/>
      <c r="AC17" s="530">
        <v>0.2</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281">
        <v>683483817</v>
      </c>
      <c r="R22" s="282">
        <v>8537488</v>
      </c>
      <c r="S22" s="282">
        <v>11658906</v>
      </c>
      <c r="T22" s="282">
        <v>0</v>
      </c>
      <c r="U22" s="282">
        <v>31411000</v>
      </c>
      <c r="V22" s="282">
        <v>69659690</v>
      </c>
      <c r="W22" s="282">
        <v>0</v>
      </c>
      <c r="X22" s="330">
        <v>-31819212</v>
      </c>
      <c r="Y22" s="330">
        <v>0</v>
      </c>
      <c r="Z22" s="330">
        <v>-8829365</v>
      </c>
      <c r="AA22" s="330">
        <v>0</v>
      </c>
      <c r="AB22" s="330">
        <v>0</v>
      </c>
      <c r="AC22" s="283">
        <f>SUM(Q22:AB22)</f>
        <v>764102324</v>
      </c>
      <c r="AD22" s="284"/>
      <c r="AE22" s="3"/>
      <c r="AF22" s="3"/>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289">
        <f>215111267</f>
        <v>215111267</v>
      </c>
      <c r="R23" s="290">
        <f>480950967-Q23</f>
        <v>265839700</v>
      </c>
      <c r="S23" s="290">
        <f>598985084-Q23-R23</f>
        <v>118034117</v>
      </c>
      <c r="T23" s="290">
        <f>582264203-Q23-R23-S23</f>
        <v>-16720881</v>
      </c>
      <c r="U23" s="290">
        <f>608999034-Q23-R23-S23-T23</f>
        <v>26734831</v>
      </c>
      <c r="V23" s="290">
        <f>620904450-Q23-R23-S23-T23-U23</f>
        <v>11905416</v>
      </c>
      <c r="W23" s="290">
        <f>694538612-Q23-R23-S23-T23-U23-V23</f>
        <v>73634162</v>
      </c>
      <c r="X23" s="331">
        <f>694366038-Q23-R23-S23-T23-U23-V23-W23</f>
        <v>-172574</v>
      </c>
      <c r="Y23" s="331">
        <f>693991038-Q23-R23-S23-T23-U23-V23-W23-X23</f>
        <v>-375000</v>
      </c>
      <c r="Z23" s="331">
        <f>693869995-Q23-R23-S23-T23-U23-V23-W23-X23-Y23</f>
        <v>-121043</v>
      </c>
      <c r="AA23" s="331">
        <f>693869995-Q23-R23-S23-T23-U23-V23-W23-X23-Y23-Z23</f>
        <v>0</v>
      </c>
      <c r="AB23" s="331"/>
      <c r="AC23" s="287">
        <f>SUM(Q23:AB23)</f>
        <v>693869995</v>
      </c>
      <c r="AD23" s="291">
        <f>AC23/AC22</f>
        <v>0.90808517813119494</v>
      </c>
      <c r="AE23" s="3"/>
      <c r="AF23" s="3"/>
    </row>
    <row r="24" spans="1:41" ht="31.9" customHeight="1" x14ac:dyDescent="0.25">
      <c r="A24" s="470" t="s">
        <v>45</v>
      </c>
      <c r="B24" s="504"/>
      <c r="C24" s="286">
        <f>9390833+9911170+7076465</f>
        <v>26378468</v>
      </c>
      <c r="D24" s="287"/>
      <c r="E24" s="287"/>
      <c r="F24" s="287"/>
      <c r="G24" s="287"/>
      <c r="H24" s="287"/>
      <c r="I24" s="287"/>
      <c r="J24" s="287"/>
      <c r="K24" s="287"/>
      <c r="L24" s="287"/>
      <c r="M24" s="287"/>
      <c r="N24" s="287"/>
      <c r="O24" s="290">
        <f>SUM(C24:N24)</f>
        <v>26378468</v>
      </c>
      <c r="P24" s="292"/>
      <c r="Q24" s="289"/>
      <c r="R24" s="290">
        <f>2332686+5667247+15634065</f>
        <v>23633998</v>
      </c>
      <c r="S24" s="290">
        <f>2332686+9767318+40103208+10000000</f>
        <v>62203212</v>
      </c>
      <c r="T24" s="290">
        <f>2332686+37500+9767318+40103208+10000000</f>
        <v>62240712</v>
      </c>
      <c r="U24" s="290">
        <f>31411000+2558257+37500+8536960+9767318+40103208</f>
        <v>92414243</v>
      </c>
      <c r="V24" s="290">
        <f>2558257+37500+9767318+40103208</f>
        <v>52466283</v>
      </c>
      <c r="W24" s="290">
        <f>2558257+37500+6146000+9767318+40103208</f>
        <v>58612283</v>
      </c>
      <c r="X24" s="331">
        <f>814000+2558257+37500+12000000+9767318+40103208+20000000-6363842</f>
        <v>78916441</v>
      </c>
      <c r="Y24" s="331">
        <f>2558257+37500+10000000+9767318+40103208+20000000-6363842</f>
        <v>76102441</v>
      </c>
      <c r="Z24" s="331">
        <f>2558257+37500+14400000+9767318+40103208+20000000-6363842-2943122</f>
        <v>77559319</v>
      </c>
      <c r="AA24" s="331">
        <f>2558257+37500+13000000+9767318+40103208+4095218-6363842-2943122</f>
        <v>60254537</v>
      </c>
      <c r="AB24" s="331">
        <f>4557086+75000+14400000+9767318+40103208+40103208+20000000-6363844-2943121</f>
        <v>119698855</v>
      </c>
      <c r="AC24" s="287">
        <f>SUM(Q24:AB24)</f>
        <v>764102324</v>
      </c>
      <c r="AD24" s="291"/>
      <c r="AE24" s="3"/>
      <c r="AF24" s="3"/>
    </row>
    <row r="25" spans="1:41" ht="31.9" customHeight="1" thickBot="1" x14ac:dyDescent="0.3">
      <c r="A25" s="515" t="s">
        <v>46</v>
      </c>
      <c r="B25" s="516"/>
      <c r="C25" s="296">
        <v>7741652</v>
      </c>
      <c r="D25" s="297">
        <f>12069914-C25</f>
        <v>4328262</v>
      </c>
      <c r="E25" s="297">
        <f>19279460-C25-D25</f>
        <v>7209546</v>
      </c>
      <c r="F25" s="297">
        <f>26220277-C25-D25-E25</f>
        <v>6940817</v>
      </c>
      <c r="G25" s="297">
        <f>26378468-C25-D25-E25-F25</f>
        <v>158191</v>
      </c>
      <c r="H25" s="297">
        <f>26378468-C25-D25-E25-F25-G25</f>
        <v>0</v>
      </c>
      <c r="I25" s="297">
        <f>26378468-C25-D25-E25-F25-G25-H25</f>
        <v>0</v>
      </c>
      <c r="J25" s="297"/>
      <c r="K25" s="297"/>
      <c r="L25" s="297"/>
      <c r="M25" s="297"/>
      <c r="N25" s="297"/>
      <c r="O25" s="298">
        <f>SUM(C25:N25)</f>
        <v>26378468</v>
      </c>
      <c r="P25" s="299">
        <f>IFERROR(O25/(SUMIF(C25:N25,"&gt;0",C24:O24))," ")</f>
        <v>1</v>
      </c>
      <c r="Q25" s="300"/>
      <c r="R25" s="301">
        <f>3897040</f>
        <v>3897040</v>
      </c>
      <c r="S25" s="301">
        <f>35155514-R25</f>
        <v>31258474</v>
      </c>
      <c r="T25" s="301">
        <f>85390370-R25-S25</f>
        <v>50234856</v>
      </c>
      <c r="U25" s="301">
        <f>141512957-R25-S25-T25</f>
        <v>56122587</v>
      </c>
      <c r="V25" s="301">
        <f>205293868-R25-S25-T25-U25</f>
        <v>63780911</v>
      </c>
      <c r="W25" s="301">
        <f>276460813-R25-S25-T25-U25-V25</f>
        <v>71166945</v>
      </c>
      <c r="X25" s="301">
        <f>333493097-R25-S25-T25-U25-V25-W25</f>
        <v>57032284</v>
      </c>
      <c r="Y25" s="301">
        <f>413282244-R25-S25-T25-U25-V25-W25-X25</f>
        <v>79789147</v>
      </c>
      <c r="Z25" s="301">
        <f>475577409-Q25-R25-S25-T25-U25-V25-W25-X25-Y25</f>
        <v>62295165</v>
      </c>
      <c r="AA25" s="301">
        <f>532673626-Q25-R25-S25-T25-U25-V25-W25-X25-Y25-Z25</f>
        <v>57096217</v>
      </c>
      <c r="AB25" s="301"/>
      <c r="AC25" s="297">
        <f>SUM(Q25:AB25)</f>
        <v>532673626</v>
      </c>
      <c r="AD25" s="383">
        <f>AC25/AC24</f>
        <v>0.69712342086790979</v>
      </c>
      <c r="AE25" s="3"/>
      <c r="AF25" s="3"/>
    </row>
    <row r="26" spans="1:41" ht="31.9" customHeight="1" thickBot="1" x14ac:dyDescent="0.3">
      <c r="A26" s="247"/>
      <c r="B26" s="242"/>
      <c r="C26" s="304"/>
      <c r="D26" s="304"/>
      <c r="E26" s="304"/>
      <c r="F26" s="304"/>
      <c r="G26" s="303"/>
      <c r="H26" s="303"/>
      <c r="I26" s="303"/>
      <c r="J26" s="304"/>
      <c r="K26" s="304"/>
      <c r="L26" s="304"/>
      <c r="M26" s="304"/>
      <c r="N26" s="304"/>
      <c r="O26" s="303"/>
      <c r="P26" s="304"/>
      <c r="Q26" s="304"/>
      <c r="R26" s="304"/>
      <c r="S26" s="304"/>
      <c r="T26" s="304"/>
      <c r="U26" s="304"/>
      <c r="V26" s="304"/>
      <c r="W26" s="304"/>
      <c r="X26" s="304"/>
      <c r="Y26" s="304"/>
      <c r="Z26" s="304"/>
      <c r="AA26" s="304"/>
      <c r="AB26" s="304"/>
      <c r="AC26" s="248"/>
      <c r="AD26" s="262"/>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56.25" customHeight="1" thickBot="1" x14ac:dyDescent="0.3">
      <c r="A30" s="332" t="s">
        <v>110</v>
      </c>
      <c r="B30" s="774"/>
      <c r="C30" s="775"/>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x14ac:dyDescent="0.25">
      <c r="A31" s="776" t="s">
        <v>53</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8"/>
    </row>
    <row r="32" spans="1:41" ht="22.9" customHeight="1" x14ac:dyDescent="0.25">
      <c r="A32" s="470" t="s">
        <v>54</v>
      </c>
      <c r="B32" s="472" t="s">
        <v>55</v>
      </c>
      <c r="C32" s="472" t="s">
        <v>49</v>
      </c>
      <c r="D32" s="472" t="s">
        <v>56</v>
      </c>
      <c r="E32" s="472"/>
      <c r="F32" s="472"/>
      <c r="G32" s="472"/>
      <c r="H32" s="472"/>
      <c r="I32" s="472"/>
      <c r="J32" s="472"/>
      <c r="K32" s="472"/>
      <c r="L32" s="472"/>
      <c r="M32" s="472"/>
      <c r="N32" s="472"/>
      <c r="O32" s="472"/>
      <c r="P32" s="472"/>
      <c r="Q32" s="472" t="s">
        <v>57</v>
      </c>
      <c r="R32" s="472"/>
      <c r="S32" s="472"/>
      <c r="T32" s="472"/>
      <c r="U32" s="472"/>
      <c r="V32" s="472"/>
      <c r="W32" s="472"/>
      <c r="X32" s="472"/>
      <c r="Y32" s="472"/>
      <c r="Z32" s="472"/>
      <c r="AA32" s="472"/>
      <c r="AB32" s="472"/>
      <c r="AC32" s="472"/>
      <c r="AD32" s="528"/>
      <c r="AG32" s="87"/>
      <c r="AH32" s="87"/>
      <c r="AI32" s="87"/>
      <c r="AJ32" s="87"/>
      <c r="AK32" s="87"/>
      <c r="AL32" s="87"/>
      <c r="AM32" s="87"/>
      <c r="AN32" s="87"/>
      <c r="AO32" s="87"/>
    </row>
    <row r="33" spans="1:41" ht="27" customHeight="1" x14ac:dyDescent="0.25">
      <c r="A33" s="470"/>
      <c r="B33" s="472"/>
      <c r="C33" s="473"/>
      <c r="D33" s="305" t="s">
        <v>30</v>
      </c>
      <c r="E33" s="305" t="s">
        <v>31</v>
      </c>
      <c r="F33" s="305" t="s">
        <v>32</v>
      </c>
      <c r="G33" s="305" t="s">
        <v>33</v>
      </c>
      <c r="H33" s="305" t="s">
        <v>34</v>
      </c>
      <c r="I33" s="305" t="s">
        <v>35</v>
      </c>
      <c r="J33" s="305" t="s">
        <v>36</v>
      </c>
      <c r="K33" s="305" t="s">
        <v>37</v>
      </c>
      <c r="L33" s="305" t="s">
        <v>8</v>
      </c>
      <c r="M33" s="305" t="s">
        <v>38</v>
      </c>
      <c r="N33" s="305" t="s">
        <v>39</v>
      </c>
      <c r="O33" s="305" t="s">
        <v>40</v>
      </c>
      <c r="P33" s="305" t="s">
        <v>41</v>
      </c>
      <c r="Q33" s="472" t="s">
        <v>58</v>
      </c>
      <c r="R33" s="472"/>
      <c r="S33" s="472"/>
      <c r="T33" s="472" t="s">
        <v>59</v>
      </c>
      <c r="U33" s="472"/>
      <c r="V33" s="472"/>
      <c r="W33" s="524" t="s">
        <v>60</v>
      </c>
      <c r="X33" s="551"/>
      <c r="Y33" s="551"/>
      <c r="Z33" s="525"/>
      <c r="AA33" s="524" t="s">
        <v>61</v>
      </c>
      <c r="AB33" s="551"/>
      <c r="AC33" s="551"/>
      <c r="AD33" s="552"/>
      <c r="AG33" s="87"/>
      <c r="AH33" s="87"/>
      <c r="AI33" s="87"/>
      <c r="AJ33" s="87"/>
      <c r="AK33" s="87"/>
      <c r="AL33" s="87"/>
      <c r="AM33" s="87"/>
      <c r="AN33" s="87"/>
      <c r="AO33" s="87"/>
    </row>
    <row r="34" spans="1:41" ht="54.75" customHeight="1" x14ac:dyDescent="0.25">
      <c r="A34" s="536" t="s">
        <v>110</v>
      </c>
      <c r="B34" s="538">
        <v>0.2</v>
      </c>
      <c r="C34" s="311" t="s">
        <v>62</v>
      </c>
      <c r="D34" s="312">
        <f>D88</f>
        <v>0</v>
      </c>
      <c r="E34" s="312">
        <f t="shared" ref="E34:O34" si="0">E88</f>
        <v>0.10439999999999999</v>
      </c>
      <c r="F34" s="312">
        <f t="shared" si="0"/>
        <v>7.1999999999999981E-2</v>
      </c>
      <c r="G34" s="312">
        <f t="shared" si="0"/>
        <v>0.11249999999999999</v>
      </c>
      <c r="H34" s="312">
        <f t="shared" si="0"/>
        <v>9.2700000000000005E-2</v>
      </c>
      <c r="I34" s="312">
        <f t="shared" si="0"/>
        <v>9.1799999999999979E-2</v>
      </c>
      <c r="J34" s="312">
        <f t="shared" si="0"/>
        <v>8.7299999999999989E-2</v>
      </c>
      <c r="K34" s="312">
        <f t="shared" si="0"/>
        <v>7.8299999999999995E-2</v>
      </c>
      <c r="L34" s="312">
        <f t="shared" si="0"/>
        <v>7.3800000000000004E-2</v>
      </c>
      <c r="M34" s="312">
        <f t="shared" si="0"/>
        <v>9.1800000000000007E-2</v>
      </c>
      <c r="N34" s="312">
        <f t="shared" si="0"/>
        <v>6.5699999999999995E-2</v>
      </c>
      <c r="O34" s="312">
        <f t="shared" si="0"/>
        <v>2.9700000000000004E-2</v>
      </c>
      <c r="P34" s="312">
        <f>SUM(D34:O34)</f>
        <v>0.89999999999999991</v>
      </c>
      <c r="Q34" s="540" t="s">
        <v>592</v>
      </c>
      <c r="R34" s="541"/>
      <c r="S34" s="542"/>
      <c r="T34" s="541" t="s">
        <v>587</v>
      </c>
      <c r="U34" s="541"/>
      <c r="V34" s="542"/>
      <c r="W34" s="540" t="s">
        <v>568</v>
      </c>
      <c r="X34" s="541"/>
      <c r="Y34" s="541"/>
      <c r="Z34" s="542"/>
      <c r="AA34" s="540" t="s">
        <v>111</v>
      </c>
      <c r="AB34" s="541"/>
      <c r="AC34" s="541"/>
      <c r="AD34" s="546"/>
      <c r="AG34" s="87"/>
      <c r="AH34" s="87"/>
      <c r="AI34" s="87"/>
      <c r="AJ34" s="87"/>
      <c r="AK34" s="87"/>
      <c r="AL34" s="87"/>
      <c r="AM34" s="87"/>
      <c r="AN34" s="87"/>
      <c r="AO34" s="87"/>
    </row>
    <row r="35" spans="1:41" ht="409.5" customHeight="1" thickBot="1" x14ac:dyDescent="0.3">
      <c r="A35" s="537"/>
      <c r="B35" s="539"/>
      <c r="C35" s="333" t="s">
        <v>63</v>
      </c>
      <c r="D35" s="315">
        <f>D85</f>
        <v>0</v>
      </c>
      <c r="E35" s="315">
        <f>E85</f>
        <v>4.8599999999999997E-2</v>
      </c>
      <c r="F35" s="315">
        <f t="shared" ref="F35:O35" si="1">F85</f>
        <v>8.7299999999999975E-2</v>
      </c>
      <c r="G35" s="315">
        <f t="shared" si="1"/>
        <v>0.12149999999999998</v>
      </c>
      <c r="H35" s="315">
        <f t="shared" si="1"/>
        <v>0.12869999999999998</v>
      </c>
      <c r="I35" s="315">
        <f t="shared" si="1"/>
        <v>9.1799999999999979E-2</v>
      </c>
      <c r="J35" s="315">
        <f t="shared" si="1"/>
        <v>8.0099999999999991E-2</v>
      </c>
      <c r="K35" s="315">
        <f t="shared" si="1"/>
        <v>8.0999999999999989E-2</v>
      </c>
      <c r="L35" s="315">
        <f t="shared" si="1"/>
        <v>7.3800000000000004E-2</v>
      </c>
      <c r="M35" s="315">
        <f t="shared" si="1"/>
        <v>9.1800000000000007E-2</v>
      </c>
      <c r="N35" s="315">
        <f t="shared" si="1"/>
        <v>6.5699999999999995E-2</v>
      </c>
      <c r="O35" s="315">
        <f t="shared" si="1"/>
        <v>0</v>
      </c>
      <c r="P35" s="315">
        <f>SUM(D35:O35)</f>
        <v>0.87029999999999985</v>
      </c>
      <c r="Q35" s="543"/>
      <c r="R35" s="544"/>
      <c r="S35" s="545"/>
      <c r="T35" s="544"/>
      <c r="U35" s="544"/>
      <c r="V35" s="545"/>
      <c r="W35" s="543"/>
      <c r="X35" s="544"/>
      <c r="Y35" s="544"/>
      <c r="Z35" s="545"/>
      <c r="AA35" s="543"/>
      <c r="AB35" s="544"/>
      <c r="AC35" s="544"/>
      <c r="AD35" s="547"/>
      <c r="AE35" s="49"/>
      <c r="AG35" s="87"/>
      <c r="AH35" s="87"/>
      <c r="AI35" s="87"/>
      <c r="AJ35" s="87"/>
      <c r="AK35" s="87"/>
      <c r="AL35" s="87"/>
      <c r="AM35" s="87"/>
      <c r="AN35" s="87"/>
      <c r="AO35" s="87"/>
    </row>
    <row r="36" spans="1:41" ht="25.9" customHeight="1" x14ac:dyDescent="0.25">
      <c r="A36" s="766" t="s">
        <v>64</v>
      </c>
      <c r="B36" s="768" t="s">
        <v>65</v>
      </c>
      <c r="C36" s="469" t="s">
        <v>66</v>
      </c>
      <c r="D36" s="471"/>
      <c r="E36" s="471"/>
      <c r="F36" s="471"/>
      <c r="G36" s="471"/>
      <c r="H36" s="471"/>
      <c r="I36" s="471"/>
      <c r="J36" s="471"/>
      <c r="K36" s="471"/>
      <c r="L36" s="471"/>
      <c r="M36" s="471"/>
      <c r="N36" s="471"/>
      <c r="O36" s="471"/>
      <c r="P36" s="550"/>
      <c r="Q36" s="559" t="s">
        <v>67</v>
      </c>
      <c r="R36" s="559"/>
      <c r="S36" s="559"/>
      <c r="T36" s="559"/>
      <c r="U36" s="559"/>
      <c r="V36" s="559"/>
      <c r="W36" s="559"/>
      <c r="X36" s="559"/>
      <c r="Y36" s="559"/>
      <c r="Z36" s="559"/>
      <c r="AA36" s="559"/>
      <c r="AB36" s="559"/>
      <c r="AC36" s="559"/>
      <c r="AD36" s="560"/>
      <c r="AG36" s="87"/>
      <c r="AH36" s="87"/>
      <c r="AI36" s="87"/>
      <c r="AJ36" s="87"/>
      <c r="AK36" s="87"/>
      <c r="AL36" s="87"/>
      <c r="AM36" s="87"/>
      <c r="AN36" s="87"/>
      <c r="AO36" s="87"/>
    </row>
    <row r="37" spans="1:41" ht="63" customHeight="1" thickBot="1" x14ac:dyDescent="0.3">
      <c r="A37" s="767"/>
      <c r="B37" s="769"/>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562" t="s">
        <v>82</v>
      </c>
      <c r="R37" s="562"/>
      <c r="S37" s="562"/>
      <c r="T37" s="562"/>
      <c r="U37" s="562"/>
      <c r="V37" s="562"/>
      <c r="W37" s="562"/>
      <c r="X37" s="562"/>
      <c r="Y37" s="562"/>
      <c r="Z37" s="562"/>
      <c r="AA37" s="562"/>
      <c r="AB37" s="562"/>
      <c r="AC37" s="562"/>
      <c r="AD37" s="563"/>
      <c r="AG37" s="94"/>
      <c r="AH37" s="94"/>
      <c r="AI37" s="94"/>
      <c r="AJ37" s="94"/>
      <c r="AK37" s="94"/>
      <c r="AL37" s="94"/>
      <c r="AM37" s="94"/>
      <c r="AN37" s="94"/>
      <c r="AO37" s="94"/>
    </row>
    <row r="38" spans="1:41" ht="53.25" customHeight="1" x14ac:dyDescent="0.25">
      <c r="A38" s="564" t="s">
        <v>112</v>
      </c>
      <c r="B38" s="773">
        <v>0.02</v>
      </c>
      <c r="C38" s="334" t="s">
        <v>62</v>
      </c>
      <c r="D38" s="319">
        <v>0</v>
      </c>
      <c r="E38" s="319">
        <v>0.3</v>
      </c>
      <c r="F38" s="319">
        <v>0.3</v>
      </c>
      <c r="G38" s="319">
        <v>0.2</v>
      </c>
      <c r="H38" s="319">
        <v>0.06</v>
      </c>
      <c r="I38" s="319">
        <v>0.02</v>
      </c>
      <c r="J38" s="319">
        <v>0.02</v>
      </c>
      <c r="K38" s="319">
        <v>0.02</v>
      </c>
      <c r="L38" s="319">
        <v>0.02</v>
      </c>
      <c r="M38" s="319">
        <v>0.02</v>
      </c>
      <c r="N38" s="319">
        <v>0.02</v>
      </c>
      <c r="O38" s="319">
        <v>0.02</v>
      </c>
      <c r="P38" s="320">
        <f t="shared" ref="P38:P45" si="2">SUM(D38:O38)</f>
        <v>1.0000000000000002</v>
      </c>
      <c r="Q38" s="770" t="s">
        <v>593</v>
      </c>
      <c r="R38" s="771"/>
      <c r="S38" s="771"/>
      <c r="T38" s="771"/>
      <c r="U38" s="771"/>
      <c r="V38" s="771"/>
      <c r="W38" s="771"/>
      <c r="X38" s="771"/>
      <c r="Y38" s="771"/>
      <c r="Z38" s="771"/>
      <c r="AA38" s="771"/>
      <c r="AB38" s="771"/>
      <c r="AC38" s="771"/>
      <c r="AD38" s="772"/>
      <c r="AE38" s="97"/>
      <c r="AG38" s="98"/>
      <c r="AH38" s="98"/>
      <c r="AI38" s="98"/>
      <c r="AJ38" s="98"/>
      <c r="AK38" s="98"/>
      <c r="AL38" s="98"/>
      <c r="AM38" s="98"/>
      <c r="AN38" s="98"/>
      <c r="AO38" s="98"/>
    </row>
    <row r="39" spans="1:41" ht="77.25" customHeight="1" x14ac:dyDescent="0.25">
      <c r="A39" s="409"/>
      <c r="B39" s="754"/>
      <c r="C39" s="335" t="s">
        <v>63</v>
      </c>
      <c r="D39" s="322">
        <v>0</v>
      </c>
      <c r="E39" s="322">
        <v>0.3</v>
      </c>
      <c r="F39" s="322">
        <v>0.3</v>
      </c>
      <c r="G39" s="322">
        <v>0.2</v>
      </c>
      <c r="H39" s="322">
        <v>0.06</v>
      </c>
      <c r="I39" s="322">
        <v>0.02</v>
      </c>
      <c r="J39" s="322">
        <v>0.02</v>
      </c>
      <c r="K39" s="322">
        <v>0.02</v>
      </c>
      <c r="L39" s="322">
        <v>0.02</v>
      </c>
      <c r="M39" s="322">
        <v>0.02</v>
      </c>
      <c r="N39" s="322">
        <v>0.02</v>
      </c>
      <c r="O39" s="322"/>
      <c r="P39" s="336">
        <f t="shared" si="2"/>
        <v>0.9800000000000002</v>
      </c>
      <c r="Q39" s="763"/>
      <c r="R39" s="764"/>
      <c r="S39" s="764"/>
      <c r="T39" s="764"/>
      <c r="U39" s="764"/>
      <c r="V39" s="764"/>
      <c r="W39" s="764"/>
      <c r="X39" s="764"/>
      <c r="Y39" s="764"/>
      <c r="Z39" s="764"/>
      <c r="AA39" s="764"/>
      <c r="AB39" s="764"/>
      <c r="AC39" s="764"/>
      <c r="AD39" s="765"/>
      <c r="AE39" s="97"/>
    </row>
    <row r="40" spans="1:41" ht="60.4" customHeight="1" x14ac:dyDescent="0.25">
      <c r="A40" s="409" t="s">
        <v>113</v>
      </c>
      <c r="B40" s="754">
        <v>0.02</v>
      </c>
      <c r="C40" s="337" t="s">
        <v>62</v>
      </c>
      <c r="D40" s="325">
        <v>0</v>
      </c>
      <c r="E40" s="325">
        <v>0.02</v>
      </c>
      <c r="F40" s="325">
        <v>0.04</v>
      </c>
      <c r="G40" s="325">
        <v>0.1</v>
      </c>
      <c r="H40" s="325">
        <v>0.02</v>
      </c>
      <c r="I40" s="325">
        <v>0.1</v>
      </c>
      <c r="J40" s="325">
        <v>0.1</v>
      </c>
      <c r="K40" s="325">
        <v>0.1</v>
      </c>
      <c r="L40" s="325">
        <v>0.1</v>
      </c>
      <c r="M40" s="325">
        <v>0.2</v>
      </c>
      <c r="N40" s="325">
        <v>0.2</v>
      </c>
      <c r="O40" s="325">
        <v>0.02</v>
      </c>
      <c r="P40" s="323">
        <f t="shared" si="2"/>
        <v>1</v>
      </c>
      <c r="Q40" s="757" t="s">
        <v>546</v>
      </c>
      <c r="R40" s="760"/>
      <c r="S40" s="760"/>
      <c r="T40" s="760"/>
      <c r="U40" s="760"/>
      <c r="V40" s="760"/>
      <c r="W40" s="760"/>
      <c r="X40" s="760"/>
      <c r="Y40" s="760"/>
      <c r="Z40" s="760"/>
      <c r="AA40" s="760"/>
      <c r="AB40" s="760"/>
      <c r="AC40" s="760"/>
      <c r="AD40" s="761"/>
      <c r="AE40" s="97"/>
    </row>
    <row r="41" spans="1:41" ht="84.75" customHeight="1" x14ac:dyDescent="0.25">
      <c r="A41" s="409"/>
      <c r="B41" s="754"/>
      <c r="C41" s="335" t="s">
        <v>63</v>
      </c>
      <c r="D41" s="322">
        <v>0</v>
      </c>
      <c r="E41" s="322">
        <v>0</v>
      </c>
      <c r="F41" s="322">
        <v>0.06</v>
      </c>
      <c r="G41" s="322">
        <v>0.1</v>
      </c>
      <c r="H41" s="322">
        <v>0.02</v>
      </c>
      <c r="I41" s="322">
        <v>0.1</v>
      </c>
      <c r="J41" s="322">
        <v>0.1</v>
      </c>
      <c r="K41" s="322">
        <v>0.1</v>
      </c>
      <c r="L41" s="322">
        <v>0.1</v>
      </c>
      <c r="M41" s="322">
        <v>0.2</v>
      </c>
      <c r="N41" s="322">
        <v>0.2</v>
      </c>
      <c r="O41" s="322"/>
      <c r="P41" s="336">
        <f>SUM(D41:O41)</f>
        <v>0.98</v>
      </c>
      <c r="Q41" s="762"/>
      <c r="R41" s="760"/>
      <c r="S41" s="760"/>
      <c r="T41" s="760"/>
      <c r="U41" s="760"/>
      <c r="V41" s="760"/>
      <c r="W41" s="760"/>
      <c r="X41" s="760"/>
      <c r="Y41" s="760"/>
      <c r="Z41" s="760"/>
      <c r="AA41" s="760"/>
      <c r="AB41" s="760"/>
      <c r="AC41" s="760"/>
      <c r="AD41" s="761"/>
      <c r="AE41" s="97"/>
    </row>
    <row r="42" spans="1:41" ht="36" customHeight="1" x14ac:dyDescent="0.25">
      <c r="A42" s="409" t="s">
        <v>114</v>
      </c>
      <c r="B42" s="754">
        <v>0.02</v>
      </c>
      <c r="C42" s="337" t="s">
        <v>62</v>
      </c>
      <c r="D42" s="325">
        <v>0</v>
      </c>
      <c r="E42" s="325">
        <v>0.04</v>
      </c>
      <c r="F42" s="325">
        <v>0.06</v>
      </c>
      <c r="G42" s="325">
        <v>0.1</v>
      </c>
      <c r="H42" s="325">
        <v>0.1</v>
      </c>
      <c r="I42" s="325">
        <v>0.1</v>
      </c>
      <c r="J42" s="325">
        <v>0.1</v>
      </c>
      <c r="K42" s="325">
        <v>0.1</v>
      </c>
      <c r="L42" s="325">
        <v>0.1</v>
      </c>
      <c r="M42" s="325">
        <v>0.1</v>
      </c>
      <c r="N42" s="325">
        <v>0.1</v>
      </c>
      <c r="O42" s="325">
        <v>0.1</v>
      </c>
      <c r="P42" s="323">
        <f t="shared" si="2"/>
        <v>0.99999999999999989</v>
      </c>
      <c r="Q42" s="763" t="s">
        <v>594</v>
      </c>
      <c r="R42" s="764"/>
      <c r="S42" s="764"/>
      <c r="T42" s="764"/>
      <c r="U42" s="764"/>
      <c r="V42" s="764"/>
      <c r="W42" s="764"/>
      <c r="X42" s="764"/>
      <c r="Y42" s="764"/>
      <c r="Z42" s="764"/>
      <c r="AA42" s="764"/>
      <c r="AB42" s="764"/>
      <c r="AC42" s="764"/>
      <c r="AD42" s="765"/>
      <c r="AE42" s="97"/>
    </row>
    <row r="43" spans="1:41" ht="69.75" customHeight="1" x14ac:dyDescent="0.25">
      <c r="A43" s="409"/>
      <c r="B43" s="754"/>
      <c r="C43" s="335" t="s">
        <v>63</v>
      </c>
      <c r="D43" s="322">
        <v>0</v>
      </c>
      <c r="E43" s="322">
        <v>0.04</v>
      </c>
      <c r="F43" s="322">
        <v>0.06</v>
      </c>
      <c r="G43" s="322">
        <v>0.1</v>
      </c>
      <c r="H43" s="322">
        <v>0.1</v>
      </c>
      <c r="I43" s="322">
        <v>0.1</v>
      </c>
      <c r="J43" s="322">
        <v>0.1</v>
      </c>
      <c r="K43" s="322">
        <v>0.1</v>
      </c>
      <c r="L43" s="322">
        <v>0.1</v>
      </c>
      <c r="M43" s="322">
        <v>0.1</v>
      </c>
      <c r="N43" s="322">
        <v>0.1</v>
      </c>
      <c r="O43" s="322"/>
      <c r="P43" s="336">
        <f t="shared" si="2"/>
        <v>0.89999999999999991</v>
      </c>
      <c r="Q43" s="763"/>
      <c r="R43" s="764"/>
      <c r="S43" s="764"/>
      <c r="T43" s="764"/>
      <c r="U43" s="764"/>
      <c r="V43" s="764"/>
      <c r="W43" s="764"/>
      <c r="X43" s="764"/>
      <c r="Y43" s="764"/>
      <c r="Z43" s="764"/>
      <c r="AA43" s="764"/>
      <c r="AB43" s="764"/>
      <c r="AC43" s="764"/>
      <c r="AD43" s="765"/>
      <c r="AE43" s="97"/>
    </row>
    <row r="44" spans="1:41" ht="196.15" customHeight="1" x14ac:dyDescent="0.25">
      <c r="A44" s="755" t="s">
        <v>115</v>
      </c>
      <c r="B44" s="753">
        <v>0.02</v>
      </c>
      <c r="C44" s="338" t="s">
        <v>62</v>
      </c>
      <c r="D44" s="339">
        <v>0</v>
      </c>
      <c r="E44" s="339">
        <v>0.05</v>
      </c>
      <c r="F44" s="325">
        <v>0.05</v>
      </c>
      <c r="G44" s="325">
        <v>0.1</v>
      </c>
      <c r="H44" s="325">
        <v>0.1</v>
      </c>
      <c r="I44" s="325">
        <v>0.1</v>
      </c>
      <c r="J44" s="325">
        <v>0.1</v>
      </c>
      <c r="K44" s="325">
        <v>0.15</v>
      </c>
      <c r="L44" s="325">
        <v>0.1</v>
      </c>
      <c r="M44" s="325">
        <v>0.1</v>
      </c>
      <c r="N44" s="325">
        <v>0.1</v>
      </c>
      <c r="O44" s="325">
        <v>0.05</v>
      </c>
      <c r="P44" s="323">
        <f t="shared" si="2"/>
        <v>1</v>
      </c>
      <c r="Q44" s="757" t="s">
        <v>574</v>
      </c>
      <c r="R44" s="758"/>
      <c r="S44" s="758"/>
      <c r="T44" s="758"/>
      <c r="U44" s="758"/>
      <c r="V44" s="758"/>
      <c r="W44" s="758"/>
      <c r="X44" s="758"/>
      <c r="Y44" s="758"/>
      <c r="Z44" s="758"/>
      <c r="AA44" s="758"/>
      <c r="AB44" s="758"/>
      <c r="AC44" s="758"/>
      <c r="AD44" s="759"/>
      <c r="AE44" s="97"/>
    </row>
    <row r="45" spans="1:41" ht="196.15" customHeight="1" x14ac:dyDescent="0.25">
      <c r="A45" s="756"/>
      <c r="B45" s="753"/>
      <c r="C45" s="335" t="s">
        <v>63</v>
      </c>
      <c r="D45" s="322">
        <v>0</v>
      </c>
      <c r="E45" s="322">
        <v>0.05</v>
      </c>
      <c r="F45" s="322">
        <v>0.05</v>
      </c>
      <c r="G45" s="322">
        <v>0.15</v>
      </c>
      <c r="H45" s="322">
        <v>0.1</v>
      </c>
      <c r="I45" s="322">
        <v>0.1</v>
      </c>
      <c r="J45" s="322">
        <v>0.05</v>
      </c>
      <c r="K45" s="322">
        <v>0.15</v>
      </c>
      <c r="L45" s="322">
        <v>0.1</v>
      </c>
      <c r="M45" s="322">
        <v>0.1</v>
      </c>
      <c r="N45" s="322">
        <v>0.1</v>
      </c>
      <c r="O45" s="322"/>
      <c r="P45" s="336">
        <f t="shared" si="2"/>
        <v>0.94999999999999984</v>
      </c>
      <c r="Q45" s="757"/>
      <c r="R45" s="758"/>
      <c r="S45" s="758"/>
      <c r="T45" s="758"/>
      <c r="U45" s="758"/>
      <c r="V45" s="758"/>
      <c r="W45" s="758"/>
      <c r="X45" s="758"/>
      <c r="Y45" s="758"/>
      <c r="Z45" s="758"/>
      <c r="AA45" s="758"/>
      <c r="AB45" s="758"/>
      <c r="AC45" s="758"/>
      <c r="AD45" s="759"/>
      <c r="AE45" s="97"/>
    </row>
    <row r="46" spans="1:41" ht="129" customHeight="1" x14ac:dyDescent="0.25">
      <c r="A46" s="755" t="s">
        <v>116</v>
      </c>
      <c r="B46" s="753">
        <v>0.02</v>
      </c>
      <c r="C46" s="338" t="s">
        <v>62</v>
      </c>
      <c r="D46" s="339">
        <v>0</v>
      </c>
      <c r="E46" s="339">
        <v>0.05</v>
      </c>
      <c r="F46" s="325">
        <v>0.1</v>
      </c>
      <c r="G46" s="325">
        <v>0.1</v>
      </c>
      <c r="H46" s="325">
        <v>0.1</v>
      </c>
      <c r="I46" s="325">
        <v>0.1</v>
      </c>
      <c r="J46" s="325">
        <v>0.1</v>
      </c>
      <c r="K46" s="325">
        <v>0.1</v>
      </c>
      <c r="L46" s="325">
        <v>0.1</v>
      </c>
      <c r="M46" s="325">
        <v>0.1</v>
      </c>
      <c r="N46" s="325">
        <v>0.1</v>
      </c>
      <c r="O46" s="325">
        <v>0.05</v>
      </c>
      <c r="P46" s="323">
        <f t="shared" ref="P46:P57" si="3">SUM(D46:O46)</f>
        <v>0.99999999999999989</v>
      </c>
      <c r="Q46" s="763" t="s">
        <v>575</v>
      </c>
      <c r="R46" s="764"/>
      <c r="S46" s="764"/>
      <c r="T46" s="764"/>
      <c r="U46" s="764"/>
      <c r="V46" s="764"/>
      <c r="W46" s="764"/>
      <c r="X46" s="764"/>
      <c r="Y46" s="764"/>
      <c r="Z46" s="764"/>
      <c r="AA46" s="764"/>
      <c r="AB46" s="764"/>
      <c r="AC46" s="764"/>
      <c r="AD46" s="765"/>
      <c r="AE46" s="97"/>
    </row>
    <row r="47" spans="1:41" ht="97.15" customHeight="1" x14ac:dyDescent="0.25">
      <c r="A47" s="755"/>
      <c r="B47" s="753"/>
      <c r="C47" s="335" t="s">
        <v>63</v>
      </c>
      <c r="D47" s="322">
        <v>0</v>
      </c>
      <c r="E47" s="322">
        <v>0.05</v>
      </c>
      <c r="F47" s="322">
        <v>0.1</v>
      </c>
      <c r="G47" s="322">
        <v>0.1</v>
      </c>
      <c r="H47" s="322">
        <v>0.15</v>
      </c>
      <c r="I47" s="322">
        <v>0.1</v>
      </c>
      <c r="J47" s="322">
        <v>0.05</v>
      </c>
      <c r="K47" s="322">
        <v>0.1</v>
      </c>
      <c r="L47" s="322">
        <v>0.1</v>
      </c>
      <c r="M47" s="322">
        <v>0.1</v>
      </c>
      <c r="N47" s="322">
        <v>0.1</v>
      </c>
      <c r="O47" s="322"/>
      <c r="P47" s="336">
        <f t="shared" si="3"/>
        <v>0.95</v>
      </c>
      <c r="Q47" s="763"/>
      <c r="R47" s="764"/>
      <c r="S47" s="764"/>
      <c r="T47" s="764"/>
      <c r="U47" s="764"/>
      <c r="V47" s="764"/>
      <c r="W47" s="764"/>
      <c r="X47" s="764"/>
      <c r="Y47" s="764"/>
      <c r="Z47" s="764"/>
      <c r="AA47" s="764"/>
      <c r="AB47" s="764"/>
      <c r="AC47" s="764"/>
      <c r="AD47" s="765"/>
      <c r="AE47" s="97"/>
    </row>
    <row r="48" spans="1:41" ht="105.4" customHeight="1" x14ac:dyDescent="0.25">
      <c r="A48" s="755" t="s">
        <v>117</v>
      </c>
      <c r="B48" s="753">
        <v>0.02</v>
      </c>
      <c r="C48" s="338" t="s">
        <v>62</v>
      </c>
      <c r="D48" s="339">
        <v>0</v>
      </c>
      <c r="E48" s="339">
        <v>0.3</v>
      </c>
      <c r="F48" s="325">
        <v>0.05</v>
      </c>
      <c r="G48" s="325">
        <v>0.15</v>
      </c>
      <c r="H48" s="325">
        <v>0.15</v>
      </c>
      <c r="I48" s="325">
        <v>0.1</v>
      </c>
      <c r="J48" s="325">
        <v>0.05</v>
      </c>
      <c r="K48" s="325">
        <v>0.05</v>
      </c>
      <c r="L48" s="325">
        <v>0.05</v>
      </c>
      <c r="M48" s="325">
        <v>0.05</v>
      </c>
      <c r="N48" s="325">
        <v>0.03</v>
      </c>
      <c r="O48" s="325">
        <v>0.02</v>
      </c>
      <c r="P48" s="323">
        <f t="shared" si="3"/>
        <v>1.0000000000000002</v>
      </c>
      <c r="Q48" s="763" t="s">
        <v>576</v>
      </c>
      <c r="R48" s="764"/>
      <c r="S48" s="764"/>
      <c r="T48" s="764"/>
      <c r="U48" s="764"/>
      <c r="V48" s="764"/>
      <c r="W48" s="764"/>
      <c r="X48" s="764"/>
      <c r="Y48" s="764"/>
      <c r="Z48" s="764"/>
      <c r="AA48" s="764"/>
      <c r="AB48" s="764"/>
      <c r="AC48" s="764"/>
      <c r="AD48" s="765"/>
      <c r="AE48" s="97"/>
    </row>
    <row r="49" spans="1:31" ht="90.4" customHeight="1" x14ac:dyDescent="0.25">
      <c r="A49" s="755"/>
      <c r="B49" s="753"/>
      <c r="C49" s="335" t="s">
        <v>63</v>
      </c>
      <c r="D49" s="322">
        <v>0</v>
      </c>
      <c r="E49" s="322">
        <v>0.1</v>
      </c>
      <c r="F49" s="322">
        <v>0.2</v>
      </c>
      <c r="G49" s="322">
        <v>0.2</v>
      </c>
      <c r="H49" s="322">
        <v>0.15</v>
      </c>
      <c r="I49" s="322">
        <v>0.05</v>
      </c>
      <c r="J49" s="322">
        <v>0.1</v>
      </c>
      <c r="K49" s="322">
        <v>0.05</v>
      </c>
      <c r="L49" s="322">
        <v>0.05</v>
      </c>
      <c r="M49" s="322">
        <v>0.05</v>
      </c>
      <c r="N49" s="322">
        <v>0.03</v>
      </c>
      <c r="O49" s="322"/>
      <c r="P49" s="336">
        <f t="shared" si="3"/>
        <v>0.9800000000000002</v>
      </c>
      <c r="Q49" s="763"/>
      <c r="R49" s="764"/>
      <c r="S49" s="764"/>
      <c r="T49" s="764"/>
      <c r="U49" s="764"/>
      <c r="V49" s="764"/>
      <c r="W49" s="764"/>
      <c r="X49" s="764"/>
      <c r="Y49" s="764"/>
      <c r="Z49" s="764"/>
      <c r="AA49" s="764"/>
      <c r="AB49" s="764"/>
      <c r="AC49" s="764"/>
      <c r="AD49" s="765"/>
      <c r="AE49" s="97"/>
    </row>
    <row r="50" spans="1:31" ht="64.150000000000006" customHeight="1" x14ac:dyDescent="0.25">
      <c r="A50" s="409" t="s">
        <v>118</v>
      </c>
      <c r="B50" s="754">
        <v>0.02</v>
      </c>
      <c r="C50" s="337" t="s">
        <v>62</v>
      </c>
      <c r="D50" s="325">
        <v>0</v>
      </c>
      <c r="E50" s="325">
        <v>0.05</v>
      </c>
      <c r="F50" s="325">
        <v>0.05</v>
      </c>
      <c r="G50" s="325">
        <v>0.15</v>
      </c>
      <c r="H50" s="325">
        <v>0.15</v>
      </c>
      <c r="I50" s="325">
        <v>0.1</v>
      </c>
      <c r="J50" s="325">
        <v>0.15</v>
      </c>
      <c r="K50" s="325">
        <v>0.1</v>
      </c>
      <c r="L50" s="325">
        <v>0.1</v>
      </c>
      <c r="M50" s="325">
        <v>0.1</v>
      </c>
      <c r="N50" s="325">
        <v>0.05</v>
      </c>
      <c r="O50" s="325">
        <v>0</v>
      </c>
      <c r="P50" s="323">
        <f t="shared" si="3"/>
        <v>1</v>
      </c>
      <c r="Q50" s="793" t="s">
        <v>569</v>
      </c>
      <c r="R50" s="794"/>
      <c r="S50" s="794"/>
      <c r="T50" s="794"/>
      <c r="U50" s="794"/>
      <c r="V50" s="794"/>
      <c r="W50" s="794"/>
      <c r="X50" s="794"/>
      <c r="Y50" s="794"/>
      <c r="Z50" s="794"/>
      <c r="AA50" s="794"/>
      <c r="AB50" s="794"/>
      <c r="AC50" s="794"/>
      <c r="AD50" s="795"/>
      <c r="AE50" s="97"/>
    </row>
    <row r="51" spans="1:31" ht="64.150000000000006" customHeight="1" x14ac:dyDescent="0.25">
      <c r="A51" s="409"/>
      <c r="B51" s="754"/>
      <c r="C51" s="335" t="s">
        <v>63</v>
      </c>
      <c r="D51" s="322">
        <v>0</v>
      </c>
      <c r="E51" s="322">
        <v>0</v>
      </c>
      <c r="F51" s="322">
        <v>0.05</v>
      </c>
      <c r="G51" s="322">
        <v>0.2</v>
      </c>
      <c r="H51" s="322">
        <v>0.15</v>
      </c>
      <c r="I51" s="322">
        <v>0.1</v>
      </c>
      <c r="J51" s="322">
        <v>0.15</v>
      </c>
      <c r="K51" s="322">
        <v>0.1</v>
      </c>
      <c r="L51" s="322">
        <v>0.1</v>
      </c>
      <c r="M51" s="322">
        <v>0.1</v>
      </c>
      <c r="N51" s="322">
        <v>0.05</v>
      </c>
      <c r="O51" s="322"/>
      <c r="P51" s="336">
        <f t="shared" si="3"/>
        <v>1</v>
      </c>
      <c r="Q51" s="796"/>
      <c r="R51" s="797"/>
      <c r="S51" s="797"/>
      <c r="T51" s="797"/>
      <c r="U51" s="797"/>
      <c r="V51" s="797"/>
      <c r="W51" s="797"/>
      <c r="X51" s="797"/>
      <c r="Y51" s="797"/>
      <c r="Z51" s="797"/>
      <c r="AA51" s="797"/>
      <c r="AB51" s="797"/>
      <c r="AC51" s="797"/>
      <c r="AD51" s="798"/>
      <c r="AE51" s="97"/>
    </row>
    <row r="52" spans="1:31" ht="66.400000000000006" customHeight="1" x14ac:dyDescent="0.25">
      <c r="A52" s="409" t="s">
        <v>119</v>
      </c>
      <c r="B52" s="754">
        <v>0.02</v>
      </c>
      <c r="C52" s="337" t="s">
        <v>62</v>
      </c>
      <c r="D52" s="325">
        <v>0</v>
      </c>
      <c r="E52" s="325">
        <v>0.05</v>
      </c>
      <c r="F52" s="325">
        <v>0.1</v>
      </c>
      <c r="G52" s="325">
        <v>0.1</v>
      </c>
      <c r="H52" s="325">
        <v>0.1</v>
      </c>
      <c r="I52" s="325">
        <v>0.1</v>
      </c>
      <c r="J52" s="325">
        <v>0.1</v>
      </c>
      <c r="K52" s="325">
        <v>0.1</v>
      </c>
      <c r="L52" s="325">
        <v>0.1</v>
      </c>
      <c r="M52" s="325">
        <v>0.1</v>
      </c>
      <c r="N52" s="325">
        <v>0.1</v>
      </c>
      <c r="O52" s="325">
        <v>0.05</v>
      </c>
      <c r="P52" s="323">
        <f t="shared" si="3"/>
        <v>0.99999999999999989</v>
      </c>
      <c r="Q52" s="793" t="s">
        <v>570</v>
      </c>
      <c r="R52" s="794"/>
      <c r="S52" s="794"/>
      <c r="T52" s="794"/>
      <c r="U52" s="794"/>
      <c r="V52" s="794"/>
      <c r="W52" s="794"/>
      <c r="X52" s="794"/>
      <c r="Y52" s="794"/>
      <c r="Z52" s="794"/>
      <c r="AA52" s="794"/>
      <c r="AB52" s="794"/>
      <c r="AC52" s="794"/>
      <c r="AD52" s="795"/>
      <c r="AE52" s="97"/>
    </row>
    <row r="53" spans="1:31" ht="66.400000000000006" customHeight="1" x14ac:dyDescent="0.25">
      <c r="A53" s="409"/>
      <c r="B53" s="754"/>
      <c r="C53" s="335" t="s">
        <v>63</v>
      </c>
      <c r="D53" s="322">
        <v>0</v>
      </c>
      <c r="E53" s="322">
        <v>0</v>
      </c>
      <c r="F53" s="322">
        <v>0.15</v>
      </c>
      <c r="G53" s="322">
        <v>0.1</v>
      </c>
      <c r="H53" s="322">
        <v>0.15</v>
      </c>
      <c r="I53" s="322">
        <v>0.1</v>
      </c>
      <c r="J53" s="322">
        <v>0.05</v>
      </c>
      <c r="K53" s="322">
        <v>0.1</v>
      </c>
      <c r="L53" s="322">
        <v>0.1</v>
      </c>
      <c r="M53" s="322">
        <v>0.1</v>
      </c>
      <c r="N53" s="322">
        <v>0.1</v>
      </c>
      <c r="O53" s="322"/>
      <c r="P53" s="336">
        <f t="shared" si="3"/>
        <v>0.95</v>
      </c>
      <c r="Q53" s="796"/>
      <c r="R53" s="797"/>
      <c r="S53" s="797"/>
      <c r="T53" s="797"/>
      <c r="U53" s="797"/>
      <c r="V53" s="797"/>
      <c r="W53" s="797"/>
      <c r="X53" s="797"/>
      <c r="Y53" s="797"/>
      <c r="Z53" s="797"/>
      <c r="AA53" s="797"/>
      <c r="AB53" s="797"/>
      <c r="AC53" s="797"/>
      <c r="AD53" s="798"/>
      <c r="AE53" s="97"/>
    </row>
    <row r="54" spans="1:31" ht="62.65" customHeight="1" x14ac:dyDescent="0.25">
      <c r="A54" s="409" t="s">
        <v>120</v>
      </c>
      <c r="B54" s="754">
        <v>0.02</v>
      </c>
      <c r="C54" s="337" t="s">
        <v>62</v>
      </c>
      <c r="D54" s="325">
        <v>0</v>
      </c>
      <c r="E54" s="325">
        <v>0</v>
      </c>
      <c r="F54" s="325">
        <v>0</v>
      </c>
      <c r="G54" s="325">
        <v>0.1</v>
      </c>
      <c r="H54" s="325">
        <v>0.1</v>
      </c>
      <c r="I54" s="325">
        <v>0.2</v>
      </c>
      <c r="J54" s="325">
        <v>0.2</v>
      </c>
      <c r="K54" s="325">
        <v>0.1</v>
      </c>
      <c r="L54" s="325">
        <v>0.1</v>
      </c>
      <c r="M54" s="325">
        <v>0.2</v>
      </c>
      <c r="N54" s="325">
        <v>0</v>
      </c>
      <c r="O54" s="325">
        <v>0</v>
      </c>
      <c r="P54" s="323">
        <f t="shared" si="3"/>
        <v>1</v>
      </c>
      <c r="Q54" s="793" t="s">
        <v>571</v>
      </c>
      <c r="R54" s="794"/>
      <c r="S54" s="794"/>
      <c r="T54" s="794"/>
      <c r="U54" s="794"/>
      <c r="V54" s="794"/>
      <c r="W54" s="794"/>
      <c r="X54" s="794"/>
      <c r="Y54" s="794"/>
      <c r="Z54" s="794"/>
      <c r="AA54" s="794"/>
      <c r="AB54" s="794"/>
      <c r="AC54" s="794"/>
      <c r="AD54" s="795"/>
      <c r="AE54" s="97"/>
    </row>
    <row r="55" spans="1:31" ht="66" customHeight="1" x14ac:dyDescent="0.25">
      <c r="A55" s="409"/>
      <c r="B55" s="754"/>
      <c r="C55" s="335" t="s">
        <v>63</v>
      </c>
      <c r="D55" s="322">
        <v>0</v>
      </c>
      <c r="E55" s="322">
        <v>0</v>
      </c>
      <c r="F55" s="322">
        <v>0</v>
      </c>
      <c r="G55" s="322">
        <v>0.05</v>
      </c>
      <c r="H55" s="322">
        <v>0.15</v>
      </c>
      <c r="I55" s="322">
        <v>0.2</v>
      </c>
      <c r="J55" s="322">
        <v>0.2</v>
      </c>
      <c r="K55" s="322">
        <v>0.1</v>
      </c>
      <c r="L55" s="322">
        <v>0.1</v>
      </c>
      <c r="M55" s="322">
        <v>0.2</v>
      </c>
      <c r="N55" s="322">
        <v>0</v>
      </c>
      <c r="O55" s="322"/>
      <c r="P55" s="336">
        <f t="shared" si="3"/>
        <v>1</v>
      </c>
      <c r="Q55" s="796"/>
      <c r="R55" s="797"/>
      <c r="S55" s="797"/>
      <c r="T55" s="797"/>
      <c r="U55" s="797"/>
      <c r="V55" s="797"/>
      <c r="W55" s="797"/>
      <c r="X55" s="797"/>
      <c r="Y55" s="797"/>
      <c r="Z55" s="797"/>
      <c r="AA55" s="797"/>
      <c r="AB55" s="797"/>
      <c r="AC55" s="797"/>
      <c r="AD55" s="798"/>
      <c r="AE55" s="97"/>
    </row>
    <row r="56" spans="1:31" ht="71.650000000000006" customHeight="1" x14ac:dyDescent="0.25">
      <c r="A56" s="409" t="s">
        <v>121</v>
      </c>
      <c r="B56" s="754">
        <v>0.02</v>
      </c>
      <c r="C56" s="337" t="s">
        <v>62</v>
      </c>
      <c r="D56" s="325">
        <v>0</v>
      </c>
      <c r="E56" s="325">
        <v>0.3</v>
      </c>
      <c r="F56" s="325">
        <v>0.05</v>
      </c>
      <c r="G56" s="325">
        <v>0.15</v>
      </c>
      <c r="H56" s="325">
        <v>0.15</v>
      </c>
      <c r="I56" s="325">
        <v>0.1</v>
      </c>
      <c r="J56" s="325">
        <v>0.05</v>
      </c>
      <c r="K56" s="325">
        <v>0.05</v>
      </c>
      <c r="L56" s="325">
        <v>0.05</v>
      </c>
      <c r="M56" s="325">
        <v>0.05</v>
      </c>
      <c r="N56" s="325">
        <v>0.03</v>
      </c>
      <c r="O56" s="325">
        <v>0.02</v>
      </c>
      <c r="P56" s="323">
        <f t="shared" si="3"/>
        <v>1.0000000000000002</v>
      </c>
      <c r="Q56" s="786" t="s">
        <v>572</v>
      </c>
      <c r="R56" s="787"/>
      <c r="S56" s="787"/>
      <c r="T56" s="787"/>
      <c r="U56" s="787"/>
      <c r="V56" s="787"/>
      <c r="W56" s="787"/>
      <c r="X56" s="787"/>
      <c r="Y56" s="787"/>
      <c r="Z56" s="787"/>
      <c r="AA56" s="787"/>
      <c r="AB56" s="787"/>
      <c r="AC56" s="787"/>
      <c r="AD56" s="788"/>
      <c r="AE56" s="97"/>
    </row>
    <row r="57" spans="1:31" ht="71.650000000000006" customHeight="1" thickBot="1" x14ac:dyDescent="0.3">
      <c r="A57" s="785"/>
      <c r="B57" s="792"/>
      <c r="C57" s="340" t="s">
        <v>63</v>
      </c>
      <c r="D57" s="327">
        <v>0</v>
      </c>
      <c r="E57" s="327">
        <v>0</v>
      </c>
      <c r="F57" s="327">
        <v>0</v>
      </c>
      <c r="G57" s="327">
        <v>0.15</v>
      </c>
      <c r="H57" s="327">
        <v>0.4</v>
      </c>
      <c r="I57" s="327">
        <v>0.15</v>
      </c>
      <c r="J57" s="327">
        <v>7.0000000000000007E-2</v>
      </c>
      <c r="K57" s="327">
        <v>0.08</v>
      </c>
      <c r="L57" s="327">
        <v>0.05</v>
      </c>
      <c r="M57" s="327">
        <v>0.05</v>
      </c>
      <c r="N57" s="327">
        <v>0.03</v>
      </c>
      <c r="O57" s="327"/>
      <c r="P57" s="341">
        <f t="shared" si="3"/>
        <v>0.98000000000000009</v>
      </c>
      <c r="Q57" s="789"/>
      <c r="R57" s="790"/>
      <c r="S57" s="790"/>
      <c r="T57" s="790"/>
      <c r="U57" s="790"/>
      <c r="V57" s="790"/>
      <c r="W57" s="790"/>
      <c r="X57" s="790"/>
      <c r="Y57" s="790"/>
      <c r="Z57" s="790"/>
      <c r="AA57" s="790"/>
      <c r="AB57" s="790"/>
      <c r="AC57" s="790"/>
      <c r="AD57" s="791"/>
      <c r="AE57" s="97"/>
    </row>
    <row r="58" spans="1:31" x14ac:dyDescent="0.25">
      <c r="A58" s="194"/>
      <c r="Q58" s="223"/>
      <c r="R58" s="223"/>
      <c r="S58" s="223"/>
      <c r="T58" s="223"/>
      <c r="U58" s="223"/>
      <c r="V58" s="223"/>
      <c r="W58" s="223"/>
      <c r="X58" s="223"/>
      <c r="Y58" s="223"/>
      <c r="Z58" s="223"/>
      <c r="AA58" s="223"/>
      <c r="AB58" s="223"/>
      <c r="AC58" s="223"/>
      <c r="AD58" s="223"/>
    </row>
    <row r="59" spans="1:31" x14ac:dyDescent="0.25">
      <c r="A59" s="194"/>
      <c r="Q59" s="194"/>
      <c r="R59" s="194"/>
      <c r="S59" s="194"/>
      <c r="T59" s="194"/>
      <c r="U59" s="194"/>
      <c r="V59" s="194"/>
      <c r="W59" s="194"/>
      <c r="X59" s="194"/>
      <c r="Y59" s="194"/>
      <c r="Z59" s="194"/>
      <c r="AA59" s="194"/>
      <c r="AB59" s="194"/>
      <c r="AC59" s="194"/>
      <c r="AD59" s="194"/>
    </row>
    <row r="60" spans="1:31" x14ac:dyDescent="0.25">
      <c r="A60" s="194"/>
      <c r="Q60" s="194"/>
      <c r="R60" s="194"/>
      <c r="S60" s="194"/>
      <c r="T60" s="194"/>
      <c r="U60" s="194"/>
      <c r="V60" s="194"/>
      <c r="W60" s="194"/>
      <c r="X60" s="194"/>
      <c r="Y60" s="194"/>
      <c r="Z60" s="194"/>
      <c r="AA60" s="194"/>
      <c r="AB60" s="194"/>
      <c r="AC60" s="194"/>
      <c r="AD60" s="194"/>
    </row>
    <row r="61" spans="1:31" x14ac:dyDescent="0.25">
      <c r="A61" s="194"/>
      <c r="Q61" s="194"/>
      <c r="R61" s="194"/>
      <c r="S61" s="194"/>
      <c r="T61" s="194"/>
      <c r="U61" s="194"/>
      <c r="V61" s="194"/>
      <c r="W61" s="194"/>
      <c r="X61" s="194"/>
      <c r="Y61" s="194"/>
      <c r="Z61" s="194"/>
      <c r="AA61" s="194"/>
      <c r="AB61" s="194"/>
      <c r="AC61" s="194"/>
      <c r="AD61" s="194"/>
    </row>
    <row r="62" spans="1:31" hidden="1" x14ac:dyDescent="0.25">
      <c r="A62" s="399" t="s">
        <v>90</v>
      </c>
      <c r="B62" s="401" t="s">
        <v>65</v>
      </c>
      <c r="C62" s="403" t="s">
        <v>66</v>
      </c>
      <c r="D62" s="751"/>
      <c r="E62" s="751"/>
      <c r="F62" s="751"/>
      <c r="G62" s="751"/>
      <c r="H62" s="751"/>
      <c r="I62" s="751"/>
      <c r="J62" s="751"/>
      <c r="K62" s="751"/>
      <c r="L62" s="751"/>
      <c r="M62" s="751"/>
      <c r="N62" s="751"/>
      <c r="O62" s="751"/>
      <c r="P62" s="752"/>
      <c r="Q62" s="195"/>
      <c r="R62" s="195"/>
      <c r="S62" s="194"/>
      <c r="T62" s="194"/>
      <c r="U62" s="194"/>
      <c r="V62" s="194"/>
      <c r="W62" s="194"/>
      <c r="X62" s="194"/>
      <c r="Y62" s="194"/>
      <c r="Z62" s="194"/>
      <c r="AA62" s="194"/>
      <c r="AB62" s="194"/>
      <c r="AC62" s="194"/>
      <c r="AD62" s="194"/>
    </row>
    <row r="63" spans="1:31" hidden="1" x14ac:dyDescent="0.25">
      <c r="A63" s="749"/>
      <c r="B63" s="750"/>
      <c r="C63" s="177" t="s">
        <v>68</v>
      </c>
      <c r="D63" s="177" t="s">
        <v>69</v>
      </c>
      <c r="E63" s="177" t="s">
        <v>70</v>
      </c>
      <c r="F63" s="177" t="s">
        <v>71</v>
      </c>
      <c r="G63" s="177" t="s">
        <v>72</v>
      </c>
      <c r="H63" s="177" t="s">
        <v>73</v>
      </c>
      <c r="I63" s="177" t="s">
        <v>74</v>
      </c>
      <c r="J63" s="177" t="s">
        <v>75</v>
      </c>
      <c r="K63" s="177" t="s">
        <v>76</v>
      </c>
      <c r="L63" s="177" t="s">
        <v>77</v>
      </c>
      <c r="M63" s="177" t="s">
        <v>78</v>
      </c>
      <c r="N63" s="177" t="s">
        <v>79</v>
      </c>
      <c r="O63" s="177" t="s">
        <v>80</v>
      </c>
      <c r="P63" s="177" t="s">
        <v>81</v>
      </c>
      <c r="Q63" s="195"/>
      <c r="R63" s="195"/>
      <c r="S63" s="194"/>
      <c r="T63" s="194"/>
      <c r="U63" s="194"/>
      <c r="V63" s="194"/>
      <c r="W63" s="194"/>
      <c r="X63" s="194"/>
      <c r="Y63" s="194"/>
      <c r="Z63" s="194"/>
      <c r="AA63" s="194"/>
      <c r="AB63" s="194"/>
      <c r="AC63" s="194"/>
      <c r="AD63" s="194"/>
    </row>
    <row r="64" spans="1:31" hidden="1" x14ac:dyDescent="0.25">
      <c r="A64" s="384" t="str">
        <f>A38</f>
        <v xml:space="preserve">7. Realizar ajustes a las metodologías de semilleros y jornadas significativas de acuerdo con las necesidades de cada grupo poblacional teniendo en cuenta sus diferencias y diversidad </v>
      </c>
      <c r="B64" s="406">
        <f>B38</f>
        <v>0.02</v>
      </c>
      <c r="C64" s="176" t="s">
        <v>62</v>
      </c>
      <c r="D64" s="175">
        <f>D38*$B$38/$P$38</f>
        <v>0</v>
      </c>
      <c r="E64" s="175">
        <f t="shared" ref="E64:O65" si="4">E38*$B$38/$P$38</f>
        <v>5.9999999999999984E-3</v>
      </c>
      <c r="F64" s="175">
        <f t="shared" si="4"/>
        <v>5.9999999999999984E-3</v>
      </c>
      <c r="G64" s="175">
        <f t="shared" si="4"/>
        <v>3.9999999999999992E-3</v>
      </c>
      <c r="H64" s="175">
        <f t="shared" si="4"/>
        <v>1.1999999999999997E-3</v>
      </c>
      <c r="I64" s="175">
        <f t="shared" si="4"/>
        <v>3.9999999999999991E-4</v>
      </c>
      <c r="J64" s="175">
        <f t="shared" si="4"/>
        <v>3.9999999999999991E-4</v>
      </c>
      <c r="K64" s="175">
        <f t="shared" si="4"/>
        <v>3.9999999999999991E-4</v>
      </c>
      <c r="L64" s="175">
        <f t="shared" si="4"/>
        <v>3.9999999999999991E-4</v>
      </c>
      <c r="M64" s="175">
        <f t="shared" si="4"/>
        <v>3.9999999999999991E-4</v>
      </c>
      <c r="N64" s="175">
        <f t="shared" si="4"/>
        <v>3.9999999999999991E-4</v>
      </c>
      <c r="O64" s="175">
        <f t="shared" si="4"/>
        <v>3.9999999999999991E-4</v>
      </c>
      <c r="P64" s="174">
        <f t="shared" ref="P64:P83" si="5">SUM(D64:O64)</f>
        <v>2.0000000000000004E-2</v>
      </c>
      <c r="Q64" s="197">
        <v>0.05</v>
      </c>
      <c r="R64" s="198">
        <f t="shared" ref="R64:R84" si="6">+P64-Q64</f>
        <v>-0.03</v>
      </c>
      <c r="S64" s="194"/>
      <c r="T64" s="194"/>
      <c r="U64" s="194"/>
      <c r="V64" s="194"/>
      <c r="W64" s="194"/>
      <c r="X64" s="194"/>
      <c r="Y64" s="194"/>
      <c r="Z64" s="194"/>
      <c r="AA64" s="194"/>
      <c r="AB64" s="194"/>
      <c r="AC64" s="194"/>
      <c r="AD64" s="194"/>
    </row>
    <row r="65" spans="1:30" hidden="1" x14ac:dyDescent="0.25">
      <c r="A65" s="385"/>
      <c r="B65" s="407"/>
      <c r="C65" s="173" t="s">
        <v>63</v>
      </c>
      <c r="D65" s="172">
        <f>D39*$B$38/$P$38</f>
        <v>0</v>
      </c>
      <c r="E65" s="172">
        <f t="shared" si="4"/>
        <v>5.9999999999999984E-3</v>
      </c>
      <c r="F65" s="172">
        <f t="shared" si="4"/>
        <v>5.9999999999999984E-3</v>
      </c>
      <c r="G65" s="172">
        <f t="shared" si="4"/>
        <v>3.9999999999999992E-3</v>
      </c>
      <c r="H65" s="172">
        <f t="shared" si="4"/>
        <v>1.1999999999999997E-3</v>
      </c>
      <c r="I65" s="172">
        <f t="shared" si="4"/>
        <v>3.9999999999999991E-4</v>
      </c>
      <c r="J65" s="172">
        <f t="shared" si="4"/>
        <v>3.9999999999999991E-4</v>
      </c>
      <c r="K65" s="172">
        <f t="shared" si="4"/>
        <v>3.9999999999999991E-4</v>
      </c>
      <c r="L65" s="172">
        <f t="shared" si="4"/>
        <v>3.9999999999999991E-4</v>
      </c>
      <c r="M65" s="172">
        <f t="shared" si="4"/>
        <v>3.9999999999999991E-4</v>
      </c>
      <c r="N65" s="172">
        <f t="shared" si="4"/>
        <v>3.9999999999999991E-4</v>
      </c>
      <c r="O65" s="172">
        <f t="shared" si="4"/>
        <v>0</v>
      </c>
      <c r="P65" s="171">
        <f t="shared" si="5"/>
        <v>1.9600000000000003E-2</v>
      </c>
      <c r="Q65" s="199">
        <f>+P65</f>
        <v>1.9600000000000003E-2</v>
      </c>
      <c r="R65" s="198">
        <f t="shared" si="6"/>
        <v>0</v>
      </c>
      <c r="S65" s="194"/>
      <c r="T65" s="194"/>
      <c r="U65" s="194"/>
      <c r="V65" s="194"/>
      <c r="W65" s="194"/>
      <c r="X65" s="194"/>
      <c r="Y65" s="194"/>
      <c r="Z65" s="194"/>
      <c r="AA65" s="194"/>
      <c r="AB65" s="194"/>
      <c r="AC65" s="194"/>
      <c r="AD65" s="194"/>
    </row>
    <row r="66" spans="1:30" hidden="1" x14ac:dyDescent="0.25">
      <c r="A66" s="384" t="str">
        <f>A40</f>
        <v>8. Realizar semilleros y jornadas significativas  que brinden herramientas para el  empoderamiento. Dirigidos a niñas, adolescentes y mujeres jóvenes en sus diferencias y diversidad</v>
      </c>
      <c r="B66" s="406">
        <f>B40</f>
        <v>0.02</v>
      </c>
      <c r="C66" s="176" t="s">
        <v>62</v>
      </c>
      <c r="D66" s="175">
        <f>D40*$B$40/$P$40</f>
        <v>0</v>
      </c>
      <c r="E66" s="175">
        <f t="shared" ref="E66:O67" si="7">E40*$B$40/$P$40</f>
        <v>4.0000000000000002E-4</v>
      </c>
      <c r="F66" s="175">
        <f t="shared" si="7"/>
        <v>8.0000000000000004E-4</v>
      </c>
      <c r="G66" s="175">
        <f t="shared" si="7"/>
        <v>2E-3</v>
      </c>
      <c r="H66" s="175">
        <f t="shared" si="7"/>
        <v>4.0000000000000002E-4</v>
      </c>
      <c r="I66" s="175">
        <f t="shared" si="7"/>
        <v>2E-3</v>
      </c>
      <c r="J66" s="175">
        <f t="shared" si="7"/>
        <v>2E-3</v>
      </c>
      <c r="K66" s="175">
        <f t="shared" si="7"/>
        <v>2E-3</v>
      </c>
      <c r="L66" s="175">
        <f t="shared" si="7"/>
        <v>2E-3</v>
      </c>
      <c r="M66" s="175">
        <f t="shared" si="7"/>
        <v>4.0000000000000001E-3</v>
      </c>
      <c r="N66" s="175">
        <f t="shared" si="7"/>
        <v>4.0000000000000001E-3</v>
      </c>
      <c r="O66" s="175">
        <f t="shared" si="7"/>
        <v>4.0000000000000002E-4</v>
      </c>
      <c r="P66" s="174">
        <f t="shared" si="5"/>
        <v>0.02</v>
      </c>
      <c r="Q66" s="197">
        <v>2.5000000000000001E-2</v>
      </c>
      <c r="R66" s="198">
        <f t="shared" si="6"/>
        <v>-5.000000000000001E-3</v>
      </c>
      <c r="S66" s="194"/>
      <c r="T66" s="194"/>
      <c r="U66" s="194"/>
      <c r="V66" s="194"/>
      <c r="W66" s="194"/>
      <c r="X66" s="194"/>
      <c r="Y66" s="194"/>
      <c r="Z66" s="194"/>
      <c r="AA66" s="194"/>
      <c r="AB66" s="194"/>
      <c r="AC66" s="194"/>
      <c r="AD66" s="194"/>
    </row>
    <row r="67" spans="1:30" hidden="1" x14ac:dyDescent="0.25">
      <c r="A67" s="385"/>
      <c r="B67" s="407"/>
      <c r="C67" s="173" t="s">
        <v>63</v>
      </c>
      <c r="D67" s="172">
        <f>D41*$B$40/$P$40</f>
        <v>0</v>
      </c>
      <c r="E67" s="172">
        <f t="shared" si="7"/>
        <v>0</v>
      </c>
      <c r="F67" s="172">
        <f t="shared" si="7"/>
        <v>1.1999999999999999E-3</v>
      </c>
      <c r="G67" s="172">
        <f t="shared" si="7"/>
        <v>2E-3</v>
      </c>
      <c r="H67" s="172">
        <f t="shared" si="7"/>
        <v>4.0000000000000002E-4</v>
      </c>
      <c r="I67" s="172">
        <f t="shared" si="7"/>
        <v>2E-3</v>
      </c>
      <c r="J67" s="172">
        <f t="shared" si="7"/>
        <v>2E-3</v>
      </c>
      <c r="K67" s="172">
        <f t="shared" si="7"/>
        <v>2E-3</v>
      </c>
      <c r="L67" s="172">
        <f t="shared" si="7"/>
        <v>2E-3</v>
      </c>
      <c r="M67" s="172">
        <f t="shared" si="7"/>
        <v>4.0000000000000001E-3</v>
      </c>
      <c r="N67" s="172">
        <f t="shared" si="7"/>
        <v>4.0000000000000001E-3</v>
      </c>
      <c r="O67" s="172">
        <f t="shared" si="7"/>
        <v>0</v>
      </c>
      <c r="P67" s="171">
        <f t="shared" si="5"/>
        <v>1.9599999999999999E-2</v>
      </c>
      <c r="Q67" s="199">
        <f>+P67</f>
        <v>1.9599999999999999E-2</v>
      </c>
      <c r="R67" s="198">
        <f t="shared" si="6"/>
        <v>0</v>
      </c>
      <c r="S67" s="194"/>
      <c r="T67" s="194"/>
      <c r="U67" s="194"/>
      <c r="V67" s="194"/>
      <c r="W67" s="194"/>
      <c r="X67" s="194"/>
      <c r="Y67" s="194"/>
      <c r="Z67" s="194"/>
      <c r="AA67" s="194"/>
      <c r="AB67" s="194"/>
      <c r="AC67" s="194"/>
      <c r="AD67" s="194"/>
    </row>
    <row r="68" spans="1:30" hidden="1" x14ac:dyDescent="0.25">
      <c r="A68" s="384" t="str">
        <f>A42</f>
        <v>9. Desarrollar acciones de difusión, visibilización divulgación de la estrategia de empoderamiento.</v>
      </c>
      <c r="B68" s="406">
        <f>B42</f>
        <v>0.02</v>
      </c>
      <c r="C68" s="176" t="s">
        <v>62</v>
      </c>
      <c r="D68" s="175">
        <f>D42*$B$42/$P$42</f>
        <v>0</v>
      </c>
      <c r="E68" s="175">
        <f t="shared" ref="E68:O69" si="8">E42*$B$42/$P$42</f>
        <v>8.0000000000000015E-4</v>
      </c>
      <c r="F68" s="175">
        <f t="shared" si="8"/>
        <v>1.2000000000000001E-3</v>
      </c>
      <c r="G68" s="175">
        <f t="shared" si="8"/>
        <v>2.0000000000000005E-3</v>
      </c>
      <c r="H68" s="175">
        <f t="shared" si="8"/>
        <v>2.0000000000000005E-3</v>
      </c>
      <c r="I68" s="175">
        <f t="shared" si="8"/>
        <v>2.0000000000000005E-3</v>
      </c>
      <c r="J68" s="175">
        <f t="shared" si="8"/>
        <v>2.0000000000000005E-3</v>
      </c>
      <c r="K68" s="175">
        <f t="shared" si="8"/>
        <v>2.0000000000000005E-3</v>
      </c>
      <c r="L68" s="175">
        <f t="shared" si="8"/>
        <v>2.0000000000000005E-3</v>
      </c>
      <c r="M68" s="175">
        <f t="shared" si="8"/>
        <v>2.0000000000000005E-3</v>
      </c>
      <c r="N68" s="175">
        <f t="shared" si="8"/>
        <v>2.0000000000000005E-3</v>
      </c>
      <c r="O68" s="175">
        <f t="shared" si="8"/>
        <v>2.0000000000000005E-3</v>
      </c>
      <c r="P68" s="174">
        <f t="shared" si="5"/>
        <v>2.0000000000000004E-2</v>
      </c>
      <c r="Q68" s="197">
        <v>2.5000000000000001E-2</v>
      </c>
      <c r="R68" s="198">
        <f t="shared" si="6"/>
        <v>-4.9999999999999975E-3</v>
      </c>
      <c r="S68" s="194"/>
      <c r="T68" s="194"/>
      <c r="U68" s="194"/>
      <c r="V68" s="194"/>
      <c r="W68" s="194"/>
      <c r="X68" s="194"/>
      <c r="Y68" s="194"/>
      <c r="Z68" s="194"/>
      <c r="AA68" s="194"/>
      <c r="AB68" s="194"/>
      <c r="AC68" s="194"/>
      <c r="AD68" s="194"/>
    </row>
    <row r="69" spans="1:30" hidden="1" x14ac:dyDescent="0.25">
      <c r="A69" s="385"/>
      <c r="B69" s="407"/>
      <c r="C69" s="173" t="s">
        <v>63</v>
      </c>
      <c r="D69" s="172">
        <f>D43*$B$42/$P$42</f>
        <v>0</v>
      </c>
      <c r="E69" s="172">
        <f t="shared" si="8"/>
        <v>8.0000000000000015E-4</v>
      </c>
      <c r="F69" s="172">
        <f t="shared" si="8"/>
        <v>1.2000000000000001E-3</v>
      </c>
      <c r="G69" s="172">
        <f t="shared" si="8"/>
        <v>2.0000000000000005E-3</v>
      </c>
      <c r="H69" s="172">
        <f t="shared" si="8"/>
        <v>2.0000000000000005E-3</v>
      </c>
      <c r="I69" s="172">
        <f t="shared" si="8"/>
        <v>2.0000000000000005E-3</v>
      </c>
      <c r="J69" s="172">
        <f t="shared" si="8"/>
        <v>2.0000000000000005E-3</v>
      </c>
      <c r="K69" s="172">
        <f t="shared" si="8"/>
        <v>2.0000000000000005E-3</v>
      </c>
      <c r="L69" s="172">
        <f t="shared" si="8"/>
        <v>2.0000000000000005E-3</v>
      </c>
      <c r="M69" s="172">
        <f t="shared" si="8"/>
        <v>2.0000000000000005E-3</v>
      </c>
      <c r="N69" s="172">
        <f t="shared" si="8"/>
        <v>2.0000000000000005E-3</v>
      </c>
      <c r="O69" s="172">
        <f t="shared" si="8"/>
        <v>0</v>
      </c>
      <c r="P69" s="171">
        <f t="shared" si="5"/>
        <v>1.8000000000000002E-2</v>
      </c>
      <c r="Q69" s="199">
        <f>+P69</f>
        <v>1.8000000000000002E-2</v>
      </c>
      <c r="R69" s="198">
        <f t="shared" si="6"/>
        <v>0</v>
      </c>
      <c r="S69" s="194"/>
      <c r="T69" s="194"/>
      <c r="U69" s="194"/>
      <c r="V69" s="194"/>
      <c r="W69" s="194"/>
      <c r="X69" s="194"/>
      <c r="Y69" s="194"/>
      <c r="Z69" s="194"/>
      <c r="AA69" s="194"/>
      <c r="AB69" s="194"/>
      <c r="AC69" s="194"/>
      <c r="AD69" s="194"/>
    </row>
    <row r="70" spans="1:30" hidden="1" x14ac:dyDescent="0.25">
      <c r="A70" s="384" t="str">
        <f>A44</f>
        <v>10. Desarrollar escuelas de educación emocional enfocadas en fortalecer capacidades y herramientas para gestionar la salud mental de las mujeres en su diversidad en la ciudad de Bogotá.</v>
      </c>
      <c r="B70" s="406">
        <f>B44</f>
        <v>0.02</v>
      </c>
      <c r="C70" s="176" t="s">
        <v>62</v>
      </c>
      <c r="D70" s="175">
        <f>D44*$B$40/$P$44</f>
        <v>0</v>
      </c>
      <c r="E70" s="175">
        <f t="shared" ref="E70:O71" si="9">E44*$B$40/$P$44</f>
        <v>1E-3</v>
      </c>
      <c r="F70" s="175">
        <f t="shared" si="9"/>
        <v>1E-3</v>
      </c>
      <c r="G70" s="175">
        <f t="shared" si="9"/>
        <v>2E-3</v>
      </c>
      <c r="H70" s="175">
        <f t="shared" si="9"/>
        <v>2E-3</v>
      </c>
      <c r="I70" s="175">
        <f t="shared" si="9"/>
        <v>2E-3</v>
      </c>
      <c r="J70" s="175">
        <f t="shared" si="9"/>
        <v>2E-3</v>
      </c>
      <c r="K70" s="175">
        <f t="shared" si="9"/>
        <v>3.0000000000000001E-3</v>
      </c>
      <c r="L70" s="175">
        <f t="shared" si="9"/>
        <v>2E-3</v>
      </c>
      <c r="M70" s="175">
        <f t="shared" si="9"/>
        <v>2E-3</v>
      </c>
      <c r="N70" s="175">
        <f t="shared" si="9"/>
        <v>2E-3</v>
      </c>
      <c r="O70" s="175">
        <f t="shared" si="9"/>
        <v>1E-3</v>
      </c>
      <c r="P70" s="174">
        <f t="shared" si="5"/>
        <v>2.0000000000000004E-2</v>
      </c>
      <c r="Q70" s="197">
        <v>0.02</v>
      </c>
      <c r="R70" s="198">
        <f t="shared" si="6"/>
        <v>0</v>
      </c>
      <c r="S70" s="194"/>
      <c r="T70" s="194"/>
      <c r="U70" s="194"/>
      <c r="V70" s="194"/>
      <c r="W70" s="194"/>
      <c r="X70" s="194"/>
      <c r="Y70" s="194"/>
      <c r="Z70" s="194"/>
      <c r="AA70" s="194"/>
      <c r="AB70" s="194"/>
      <c r="AC70" s="194"/>
      <c r="AD70" s="194"/>
    </row>
    <row r="71" spans="1:30" hidden="1" x14ac:dyDescent="0.25">
      <c r="A71" s="385"/>
      <c r="B71" s="407"/>
      <c r="C71" s="173" t="s">
        <v>63</v>
      </c>
      <c r="D71" s="172">
        <f>D45*$B$40/$P$44</f>
        <v>0</v>
      </c>
      <c r="E71" s="172">
        <f t="shared" si="9"/>
        <v>1E-3</v>
      </c>
      <c r="F71" s="172">
        <f t="shared" si="9"/>
        <v>1E-3</v>
      </c>
      <c r="G71" s="172">
        <f t="shared" si="9"/>
        <v>3.0000000000000001E-3</v>
      </c>
      <c r="H71" s="172">
        <f t="shared" si="9"/>
        <v>2E-3</v>
      </c>
      <c r="I71" s="172">
        <f t="shared" si="9"/>
        <v>2E-3</v>
      </c>
      <c r="J71" s="172">
        <f t="shared" si="9"/>
        <v>1E-3</v>
      </c>
      <c r="K71" s="172">
        <f t="shared" si="9"/>
        <v>3.0000000000000001E-3</v>
      </c>
      <c r="L71" s="172">
        <f t="shared" si="9"/>
        <v>2E-3</v>
      </c>
      <c r="M71" s="172">
        <f t="shared" si="9"/>
        <v>2E-3</v>
      </c>
      <c r="N71" s="172">
        <f t="shared" si="9"/>
        <v>2E-3</v>
      </c>
      <c r="O71" s="172">
        <f t="shared" si="9"/>
        <v>0</v>
      </c>
      <c r="P71" s="171">
        <f t="shared" si="5"/>
        <v>1.9000000000000003E-2</v>
      </c>
      <c r="Q71" s="199">
        <f>+P71</f>
        <v>1.9000000000000003E-2</v>
      </c>
      <c r="R71" s="198">
        <f t="shared" si="6"/>
        <v>0</v>
      </c>
      <c r="S71" s="194"/>
      <c r="T71" s="194"/>
      <c r="U71" s="194"/>
      <c r="V71" s="194"/>
      <c r="W71" s="194"/>
      <c r="X71" s="194"/>
      <c r="Y71" s="194"/>
      <c r="Z71" s="194"/>
      <c r="AA71" s="194"/>
      <c r="AB71" s="194"/>
      <c r="AC71" s="194"/>
      <c r="AD71" s="194"/>
    </row>
    <row r="72" spans="1:30" hidden="1" x14ac:dyDescent="0.25">
      <c r="A72" s="384" t="str">
        <f>A46</f>
        <v>11. Desarrollar espacios de encuentro de mujeres para el cuidado emocional denominados Espacios Respiro.</v>
      </c>
      <c r="B72" s="406">
        <f>B46</f>
        <v>0.02</v>
      </c>
      <c r="C72" s="176" t="s">
        <v>62</v>
      </c>
      <c r="D72" s="175">
        <f>D46*$B$46/$P$46</f>
        <v>0</v>
      </c>
      <c r="E72" s="175">
        <f t="shared" ref="E72:O73" si="10">E46*$B$46/$P$46</f>
        <v>1.0000000000000002E-3</v>
      </c>
      <c r="F72" s="175">
        <f t="shared" si="10"/>
        <v>2.0000000000000005E-3</v>
      </c>
      <c r="G72" s="175">
        <f t="shared" si="10"/>
        <v>2.0000000000000005E-3</v>
      </c>
      <c r="H72" s="175">
        <f t="shared" si="10"/>
        <v>2.0000000000000005E-3</v>
      </c>
      <c r="I72" s="175">
        <f t="shared" si="10"/>
        <v>2.0000000000000005E-3</v>
      </c>
      <c r="J72" s="175">
        <f t="shared" si="10"/>
        <v>2.0000000000000005E-3</v>
      </c>
      <c r="K72" s="175">
        <f t="shared" si="10"/>
        <v>2.0000000000000005E-3</v>
      </c>
      <c r="L72" s="175">
        <f t="shared" si="10"/>
        <v>2.0000000000000005E-3</v>
      </c>
      <c r="M72" s="175">
        <f t="shared" si="10"/>
        <v>2.0000000000000005E-3</v>
      </c>
      <c r="N72" s="175">
        <f t="shared" si="10"/>
        <v>2.0000000000000005E-3</v>
      </c>
      <c r="O72" s="175">
        <f t="shared" si="10"/>
        <v>1.0000000000000002E-3</v>
      </c>
      <c r="P72" s="174">
        <f t="shared" si="5"/>
        <v>2.0000000000000004E-2</v>
      </c>
      <c r="Q72" s="197">
        <v>0.02</v>
      </c>
      <c r="R72" s="198">
        <f t="shared" si="6"/>
        <v>0</v>
      </c>
      <c r="S72" s="194"/>
      <c r="T72" s="194"/>
      <c r="U72" s="194"/>
      <c r="V72" s="194"/>
      <c r="W72" s="194"/>
      <c r="X72" s="194"/>
      <c r="Y72" s="194"/>
      <c r="Z72" s="194"/>
      <c r="AA72" s="194"/>
      <c r="AB72" s="194"/>
      <c r="AC72" s="194"/>
      <c r="AD72" s="194"/>
    </row>
    <row r="73" spans="1:30" hidden="1" x14ac:dyDescent="0.25">
      <c r="A73" s="385"/>
      <c r="B73" s="407"/>
      <c r="C73" s="173" t="s">
        <v>63</v>
      </c>
      <c r="D73" s="172">
        <f>D47*$B$46/$P$46</f>
        <v>0</v>
      </c>
      <c r="E73" s="172">
        <f t="shared" si="10"/>
        <v>1.0000000000000002E-3</v>
      </c>
      <c r="F73" s="172">
        <f t="shared" si="10"/>
        <v>2.0000000000000005E-3</v>
      </c>
      <c r="G73" s="172">
        <f t="shared" si="10"/>
        <v>2.0000000000000005E-3</v>
      </c>
      <c r="H73" s="172">
        <f t="shared" si="10"/>
        <v>3.0000000000000005E-3</v>
      </c>
      <c r="I73" s="172">
        <f t="shared" si="10"/>
        <v>2.0000000000000005E-3</v>
      </c>
      <c r="J73" s="172">
        <f t="shared" si="10"/>
        <v>1.0000000000000002E-3</v>
      </c>
      <c r="K73" s="172">
        <f t="shared" si="10"/>
        <v>2.0000000000000005E-3</v>
      </c>
      <c r="L73" s="172">
        <f t="shared" si="10"/>
        <v>2.0000000000000005E-3</v>
      </c>
      <c r="M73" s="172">
        <f t="shared" si="10"/>
        <v>2.0000000000000005E-3</v>
      </c>
      <c r="N73" s="172">
        <f t="shared" si="10"/>
        <v>2.0000000000000005E-3</v>
      </c>
      <c r="O73" s="172">
        <f t="shared" si="10"/>
        <v>0</v>
      </c>
      <c r="P73" s="171">
        <f t="shared" si="5"/>
        <v>1.9000000000000006E-2</v>
      </c>
      <c r="Q73" s="199">
        <f>+P73</f>
        <v>1.9000000000000006E-2</v>
      </c>
      <c r="R73" s="198">
        <f t="shared" si="6"/>
        <v>0</v>
      </c>
      <c r="S73" s="194"/>
      <c r="T73" s="194"/>
      <c r="U73" s="194"/>
      <c r="V73" s="194"/>
      <c r="W73" s="194"/>
      <c r="X73" s="194"/>
      <c r="Y73" s="194"/>
      <c r="Z73" s="194"/>
      <c r="AA73" s="194"/>
      <c r="AB73" s="194"/>
      <c r="AC73" s="194"/>
      <c r="AD73" s="194"/>
    </row>
    <row r="74" spans="1:30" hidden="1" x14ac:dyDescent="0.25">
      <c r="A74" s="384" t="str">
        <f>A48</f>
        <v xml:space="preserve">12.Diseñar e implementar una estrategia de difusión y socialización de la caja de herramientas construida en el marco de la estrategia de capacidades psicoemocionales  </v>
      </c>
      <c r="B74" s="406">
        <f>B48</f>
        <v>0.02</v>
      </c>
      <c r="C74" s="176" t="s">
        <v>62</v>
      </c>
      <c r="D74" s="175">
        <f>D48*$B$48/$P$48</f>
        <v>0</v>
      </c>
      <c r="E74" s="175">
        <f t="shared" ref="E74:O75" si="11">E48*$B$48/$P$48</f>
        <v>5.9999999999999984E-3</v>
      </c>
      <c r="F74" s="175">
        <f t="shared" si="11"/>
        <v>9.999999999999998E-4</v>
      </c>
      <c r="G74" s="175">
        <f t="shared" si="11"/>
        <v>2.9999999999999992E-3</v>
      </c>
      <c r="H74" s="175">
        <f t="shared" si="11"/>
        <v>2.9999999999999992E-3</v>
      </c>
      <c r="I74" s="175">
        <f t="shared" si="11"/>
        <v>1.9999999999999996E-3</v>
      </c>
      <c r="J74" s="175">
        <f t="shared" si="11"/>
        <v>9.999999999999998E-4</v>
      </c>
      <c r="K74" s="175">
        <f t="shared" si="11"/>
        <v>9.999999999999998E-4</v>
      </c>
      <c r="L74" s="175">
        <f t="shared" si="11"/>
        <v>9.999999999999998E-4</v>
      </c>
      <c r="M74" s="175">
        <f t="shared" si="11"/>
        <v>9.999999999999998E-4</v>
      </c>
      <c r="N74" s="175">
        <f t="shared" si="11"/>
        <v>5.9999999999999984E-4</v>
      </c>
      <c r="O74" s="175">
        <f t="shared" si="11"/>
        <v>3.9999999999999991E-4</v>
      </c>
      <c r="P74" s="174">
        <f t="shared" si="5"/>
        <v>0.02</v>
      </c>
      <c r="Q74" s="197">
        <v>0.02</v>
      </c>
      <c r="R74" s="198">
        <f t="shared" si="6"/>
        <v>0</v>
      </c>
      <c r="S74" s="194"/>
      <c r="T74" s="194"/>
      <c r="U74" s="194"/>
      <c r="V74" s="194"/>
      <c r="W74" s="194"/>
      <c r="X74" s="194"/>
      <c r="Y74" s="194"/>
      <c r="Z74" s="194"/>
      <c r="AA74" s="194"/>
      <c r="AB74" s="194"/>
      <c r="AC74" s="194"/>
      <c r="AD74" s="194"/>
    </row>
    <row r="75" spans="1:30" hidden="1" x14ac:dyDescent="0.25">
      <c r="A75" s="385"/>
      <c r="B75" s="407"/>
      <c r="C75" s="173" t="s">
        <v>63</v>
      </c>
      <c r="D75" s="172">
        <f>D49*$B$48/$P$48</f>
        <v>0</v>
      </c>
      <c r="E75" s="172">
        <f t="shared" si="11"/>
        <v>1.9999999999999996E-3</v>
      </c>
      <c r="F75" s="172">
        <f t="shared" si="11"/>
        <v>3.9999999999999992E-3</v>
      </c>
      <c r="G75" s="172">
        <f t="shared" si="11"/>
        <v>3.9999999999999992E-3</v>
      </c>
      <c r="H75" s="172">
        <f t="shared" si="11"/>
        <v>2.9999999999999992E-3</v>
      </c>
      <c r="I75" s="172">
        <f t="shared" si="11"/>
        <v>9.999999999999998E-4</v>
      </c>
      <c r="J75" s="172">
        <f t="shared" si="11"/>
        <v>1.9999999999999996E-3</v>
      </c>
      <c r="K75" s="172">
        <f t="shared" si="11"/>
        <v>9.999999999999998E-4</v>
      </c>
      <c r="L75" s="172">
        <f t="shared" si="11"/>
        <v>9.999999999999998E-4</v>
      </c>
      <c r="M75" s="172">
        <f t="shared" si="11"/>
        <v>9.999999999999998E-4</v>
      </c>
      <c r="N75" s="172">
        <f t="shared" si="11"/>
        <v>5.9999999999999984E-4</v>
      </c>
      <c r="O75" s="172">
        <f t="shared" si="11"/>
        <v>0</v>
      </c>
      <c r="P75" s="171">
        <f t="shared" si="5"/>
        <v>1.9599999999999999E-2</v>
      </c>
      <c r="Q75" s="199">
        <f>+P75</f>
        <v>1.9599999999999999E-2</v>
      </c>
      <c r="R75" s="198">
        <f t="shared" si="6"/>
        <v>0</v>
      </c>
      <c r="S75" s="194"/>
      <c r="T75" s="194"/>
      <c r="U75" s="194"/>
      <c r="V75" s="194"/>
      <c r="W75" s="194"/>
      <c r="X75" s="194"/>
      <c r="Y75" s="194"/>
      <c r="Z75" s="194"/>
      <c r="AA75" s="194"/>
      <c r="AB75" s="194"/>
      <c r="AC75" s="194"/>
      <c r="AD75" s="194"/>
    </row>
    <row r="76" spans="1:30" hidden="1" x14ac:dyDescent="0.25">
      <c r="A76" s="384" t="str">
        <f>A50</f>
        <v xml:space="preserve">13.   Implementar la Fase I y II de la EDCM . Espacios EMAA mujeres en sus diferencias y diversidad; hombres trans y personas no binarias. Jornadas de Dignidad Menstrual. </v>
      </c>
      <c r="B76" s="406">
        <f>B50</f>
        <v>0.02</v>
      </c>
      <c r="C76" s="176" t="s">
        <v>62</v>
      </c>
      <c r="D76" s="175">
        <f>D50*$B$50/$P$50</f>
        <v>0</v>
      </c>
      <c r="E76" s="175">
        <f t="shared" ref="E76:O77" si="12">E50*$B$50/$P$50</f>
        <v>1E-3</v>
      </c>
      <c r="F76" s="175">
        <f t="shared" si="12"/>
        <v>1E-3</v>
      </c>
      <c r="G76" s="175">
        <f t="shared" si="12"/>
        <v>3.0000000000000001E-3</v>
      </c>
      <c r="H76" s="175">
        <f t="shared" si="12"/>
        <v>3.0000000000000001E-3</v>
      </c>
      <c r="I76" s="175">
        <f t="shared" si="12"/>
        <v>2E-3</v>
      </c>
      <c r="J76" s="175">
        <f t="shared" si="12"/>
        <v>3.0000000000000001E-3</v>
      </c>
      <c r="K76" s="175">
        <f t="shared" si="12"/>
        <v>2E-3</v>
      </c>
      <c r="L76" s="175">
        <f t="shared" si="12"/>
        <v>2E-3</v>
      </c>
      <c r="M76" s="175">
        <f t="shared" si="12"/>
        <v>2E-3</v>
      </c>
      <c r="N76" s="175">
        <f t="shared" si="12"/>
        <v>1E-3</v>
      </c>
      <c r="O76" s="175">
        <f t="shared" si="12"/>
        <v>0</v>
      </c>
      <c r="P76" s="174">
        <f t="shared" si="5"/>
        <v>2.0000000000000004E-2</v>
      </c>
      <c r="Q76" s="197"/>
      <c r="R76" s="198"/>
      <c r="S76" s="194"/>
      <c r="T76" s="194"/>
      <c r="U76" s="194"/>
      <c r="V76" s="194"/>
      <c r="W76" s="194"/>
      <c r="X76" s="194"/>
      <c r="Y76" s="194"/>
      <c r="Z76" s="194"/>
      <c r="AA76" s="194"/>
      <c r="AB76" s="194"/>
      <c r="AC76" s="194"/>
      <c r="AD76" s="194"/>
    </row>
    <row r="77" spans="1:30" hidden="1" x14ac:dyDescent="0.25">
      <c r="A77" s="385"/>
      <c r="B77" s="407"/>
      <c r="C77" s="173" t="s">
        <v>63</v>
      </c>
      <c r="D77" s="172">
        <f>D51*$B$50/$P$50</f>
        <v>0</v>
      </c>
      <c r="E77" s="172">
        <f t="shared" si="12"/>
        <v>0</v>
      </c>
      <c r="F77" s="172">
        <f t="shared" si="12"/>
        <v>1E-3</v>
      </c>
      <c r="G77" s="172">
        <f t="shared" si="12"/>
        <v>4.0000000000000001E-3</v>
      </c>
      <c r="H77" s="172">
        <f t="shared" si="12"/>
        <v>3.0000000000000001E-3</v>
      </c>
      <c r="I77" s="172">
        <f t="shared" si="12"/>
        <v>2E-3</v>
      </c>
      <c r="J77" s="172">
        <f t="shared" si="12"/>
        <v>3.0000000000000001E-3</v>
      </c>
      <c r="K77" s="172">
        <f t="shared" si="12"/>
        <v>2E-3</v>
      </c>
      <c r="L77" s="172">
        <f t="shared" si="12"/>
        <v>2E-3</v>
      </c>
      <c r="M77" s="172">
        <f t="shared" si="12"/>
        <v>2E-3</v>
      </c>
      <c r="N77" s="172">
        <f t="shared" si="12"/>
        <v>1E-3</v>
      </c>
      <c r="O77" s="172">
        <f t="shared" si="12"/>
        <v>0</v>
      </c>
      <c r="P77" s="171">
        <f t="shared" si="5"/>
        <v>2.0000000000000004E-2</v>
      </c>
      <c r="Q77" s="199"/>
      <c r="R77" s="198"/>
      <c r="S77" s="194"/>
      <c r="T77" s="194"/>
      <c r="U77" s="194"/>
      <c r="V77" s="194"/>
      <c r="W77" s="194"/>
      <c r="X77" s="194"/>
      <c r="Y77" s="194"/>
      <c r="Z77" s="194"/>
      <c r="AA77" s="194"/>
      <c r="AB77" s="194"/>
      <c r="AC77" s="194"/>
      <c r="AD77" s="194"/>
    </row>
    <row r="78" spans="1:30" hidden="1" x14ac:dyDescent="0.25">
      <c r="A78" s="384" t="str">
        <f>A52</f>
        <v xml:space="preserve">14. Realizar la Mesa Interinstitucional activa, implementando Plan de Trabajo  </v>
      </c>
      <c r="B78" s="406">
        <f>B52</f>
        <v>0.02</v>
      </c>
      <c r="C78" s="176" t="s">
        <v>62</v>
      </c>
      <c r="D78" s="175">
        <f>D52*$B$52/$P$52</f>
        <v>0</v>
      </c>
      <c r="E78" s="175">
        <f t="shared" ref="E78:O79" si="13">E52*$B$52/$P$52</f>
        <v>1.0000000000000002E-3</v>
      </c>
      <c r="F78" s="175">
        <f t="shared" si="13"/>
        <v>2.0000000000000005E-3</v>
      </c>
      <c r="G78" s="175">
        <f t="shared" si="13"/>
        <v>2.0000000000000005E-3</v>
      </c>
      <c r="H78" s="175">
        <f t="shared" si="13"/>
        <v>2.0000000000000005E-3</v>
      </c>
      <c r="I78" s="175">
        <f t="shared" si="13"/>
        <v>2.0000000000000005E-3</v>
      </c>
      <c r="J78" s="175">
        <f t="shared" si="13"/>
        <v>2.0000000000000005E-3</v>
      </c>
      <c r="K78" s="175">
        <f t="shared" si="13"/>
        <v>2.0000000000000005E-3</v>
      </c>
      <c r="L78" s="175">
        <f t="shared" si="13"/>
        <v>2.0000000000000005E-3</v>
      </c>
      <c r="M78" s="175">
        <f t="shared" si="13"/>
        <v>2.0000000000000005E-3</v>
      </c>
      <c r="N78" s="175">
        <f t="shared" si="13"/>
        <v>2.0000000000000005E-3</v>
      </c>
      <c r="O78" s="175">
        <f t="shared" si="13"/>
        <v>1.0000000000000002E-3</v>
      </c>
      <c r="P78" s="174">
        <f t="shared" si="5"/>
        <v>2.0000000000000004E-2</v>
      </c>
      <c r="Q78" s="197">
        <v>0.02</v>
      </c>
      <c r="R78" s="198">
        <f>+P78-Q78</f>
        <v>0</v>
      </c>
      <c r="S78" s="194"/>
      <c r="T78" s="194"/>
      <c r="U78" s="194"/>
      <c r="V78" s="194"/>
      <c r="W78" s="194"/>
      <c r="X78" s="194"/>
      <c r="Y78" s="194"/>
      <c r="Z78" s="194"/>
      <c r="AA78" s="194"/>
      <c r="AB78" s="194"/>
      <c r="AC78" s="194"/>
      <c r="AD78" s="194"/>
    </row>
    <row r="79" spans="1:30" hidden="1" x14ac:dyDescent="0.25">
      <c r="A79" s="385"/>
      <c r="B79" s="407"/>
      <c r="C79" s="173" t="s">
        <v>63</v>
      </c>
      <c r="D79" s="172">
        <f>D53*$B$52/$P$52</f>
        <v>0</v>
      </c>
      <c r="E79" s="172">
        <f t="shared" si="13"/>
        <v>0</v>
      </c>
      <c r="F79" s="172">
        <f t="shared" si="13"/>
        <v>3.0000000000000005E-3</v>
      </c>
      <c r="G79" s="172">
        <f t="shared" si="13"/>
        <v>2.0000000000000005E-3</v>
      </c>
      <c r="H79" s="172">
        <f t="shared" si="13"/>
        <v>3.0000000000000005E-3</v>
      </c>
      <c r="I79" s="172">
        <f t="shared" si="13"/>
        <v>2.0000000000000005E-3</v>
      </c>
      <c r="J79" s="172">
        <f t="shared" si="13"/>
        <v>1.0000000000000002E-3</v>
      </c>
      <c r="K79" s="172">
        <f t="shared" si="13"/>
        <v>2.0000000000000005E-3</v>
      </c>
      <c r="L79" s="172">
        <f t="shared" si="13"/>
        <v>2.0000000000000005E-3</v>
      </c>
      <c r="M79" s="172">
        <f t="shared" si="13"/>
        <v>2.0000000000000005E-3</v>
      </c>
      <c r="N79" s="172">
        <f t="shared" si="13"/>
        <v>2.0000000000000005E-3</v>
      </c>
      <c r="O79" s="172">
        <f t="shared" si="13"/>
        <v>0</v>
      </c>
      <c r="P79" s="171">
        <f t="shared" si="5"/>
        <v>1.9000000000000006E-2</v>
      </c>
      <c r="Q79" s="199">
        <f>+P79</f>
        <v>1.9000000000000006E-2</v>
      </c>
      <c r="R79" s="198">
        <f>+P79-Q79</f>
        <v>0</v>
      </c>
      <c r="S79" s="194"/>
      <c r="T79" s="194"/>
      <c r="U79" s="194"/>
      <c r="V79" s="194"/>
      <c r="W79" s="194"/>
      <c r="X79" s="194"/>
      <c r="Y79" s="194"/>
      <c r="Z79" s="194"/>
      <c r="AA79" s="194"/>
      <c r="AB79" s="194"/>
      <c r="AC79" s="194"/>
      <c r="AD79" s="194"/>
    </row>
    <row r="80" spans="1:30" hidden="1" x14ac:dyDescent="0.25">
      <c r="A80" s="384" t="str">
        <f>A54</f>
        <v xml:space="preserve">15. Definir e implementar acciones de las fases III y IV de la Estrategia de Cuidado Menstrual dirigidas a mujeres y personas con experiencias menstruales en sus diferencias y diversidad, según priorización y pertinencia. </v>
      </c>
      <c r="B80" s="406">
        <f>B54</f>
        <v>0.02</v>
      </c>
      <c r="C80" s="176" t="s">
        <v>62</v>
      </c>
      <c r="D80" s="175">
        <f>D54*$B$54/$P$54</f>
        <v>0</v>
      </c>
      <c r="E80" s="175">
        <f t="shared" ref="E80:O81" si="14">E54*$B$54/$P$54</f>
        <v>0</v>
      </c>
      <c r="F80" s="175">
        <f t="shared" si="14"/>
        <v>0</v>
      </c>
      <c r="G80" s="175">
        <f t="shared" si="14"/>
        <v>2E-3</v>
      </c>
      <c r="H80" s="175">
        <f t="shared" si="14"/>
        <v>2E-3</v>
      </c>
      <c r="I80" s="175">
        <f t="shared" si="14"/>
        <v>4.0000000000000001E-3</v>
      </c>
      <c r="J80" s="175">
        <f t="shared" si="14"/>
        <v>4.0000000000000001E-3</v>
      </c>
      <c r="K80" s="175">
        <f t="shared" si="14"/>
        <v>2E-3</v>
      </c>
      <c r="L80" s="175">
        <f t="shared" si="14"/>
        <v>2E-3</v>
      </c>
      <c r="M80" s="175">
        <f t="shared" si="14"/>
        <v>4.0000000000000001E-3</v>
      </c>
      <c r="N80" s="175">
        <f t="shared" si="14"/>
        <v>0</v>
      </c>
      <c r="O80" s="175">
        <f t="shared" si="14"/>
        <v>0</v>
      </c>
      <c r="P80" s="174">
        <f t="shared" si="5"/>
        <v>0.02</v>
      </c>
      <c r="Q80" s="197">
        <v>0.02</v>
      </c>
      <c r="R80" s="198">
        <f>+P80-Q80</f>
        <v>0</v>
      </c>
      <c r="S80" s="194"/>
      <c r="T80" s="194"/>
      <c r="U80" s="194"/>
      <c r="V80" s="194"/>
      <c r="W80" s="194"/>
      <c r="X80" s="194"/>
      <c r="Y80" s="194"/>
      <c r="Z80" s="194"/>
      <c r="AA80" s="194"/>
      <c r="AB80" s="194"/>
      <c r="AC80" s="194"/>
      <c r="AD80" s="194"/>
    </row>
    <row r="81" spans="1:30" hidden="1" x14ac:dyDescent="0.25">
      <c r="A81" s="385"/>
      <c r="B81" s="407"/>
      <c r="C81" s="173" t="s">
        <v>63</v>
      </c>
      <c r="D81" s="172">
        <f>D55*$B$54/$P$54</f>
        <v>0</v>
      </c>
      <c r="E81" s="172">
        <f t="shared" si="14"/>
        <v>0</v>
      </c>
      <c r="F81" s="172">
        <f t="shared" si="14"/>
        <v>0</v>
      </c>
      <c r="G81" s="172">
        <f t="shared" si="14"/>
        <v>1E-3</v>
      </c>
      <c r="H81" s="172">
        <f t="shared" si="14"/>
        <v>3.0000000000000001E-3</v>
      </c>
      <c r="I81" s="172">
        <f t="shared" si="14"/>
        <v>4.0000000000000001E-3</v>
      </c>
      <c r="J81" s="172">
        <f t="shared" si="14"/>
        <v>4.0000000000000001E-3</v>
      </c>
      <c r="K81" s="172">
        <f t="shared" si="14"/>
        <v>2E-3</v>
      </c>
      <c r="L81" s="172">
        <f t="shared" si="14"/>
        <v>2E-3</v>
      </c>
      <c r="M81" s="172">
        <f t="shared" si="14"/>
        <v>4.0000000000000001E-3</v>
      </c>
      <c r="N81" s="172">
        <f t="shared" si="14"/>
        <v>0</v>
      </c>
      <c r="O81" s="172">
        <f t="shared" si="14"/>
        <v>0</v>
      </c>
      <c r="P81" s="171">
        <f t="shared" si="5"/>
        <v>0.02</v>
      </c>
      <c r="Q81" s="199">
        <f>+P81</f>
        <v>0.02</v>
      </c>
      <c r="R81" s="198">
        <f>+P81-Q81</f>
        <v>0</v>
      </c>
      <c r="S81" s="194"/>
      <c r="T81" s="194"/>
      <c r="U81" s="194"/>
      <c r="V81" s="194"/>
      <c r="W81" s="194"/>
      <c r="X81" s="194"/>
      <c r="Y81" s="194"/>
      <c r="Z81" s="194"/>
      <c r="AA81" s="194"/>
      <c r="AB81" s="194"/>
      <c r="AC81" s="194"/>
      <c r="AD81" s="194"/>
    </row>
    <row r="82" spans="1:30" hidden="1" x14ac:dyDescent="0.25">
      <c r="A82" s="384" t="str">
        <f>A56</f>
        <v>16. Diseñar y poner en acción el Plan Estratégico de Comunicaciones de la EDCM</v>
      </c>
      <c r="B82" s="406">
        <f>B56</f>
        <v>0.02</v>
      </c>
      <c r="C82" s="176" t="s">
        <v>62</v>
      </c>
      <c r="D82" s="175">
        <f>D56*$B$56/$P$56</f>
        <v>0</v>
      </c>
      <c r="E82" s="175">
        <f t="shared" ref="E82:O83" si="15">E56*$B$56/$P$56</f>
        <v>5.9999999999999984E-3</v>
      </c>
      <c r="F82" s="175">
        <f t="shared" si="15"/>
        <v>9.999999999999998E-4</v>
      </c>
      <c r="G82" s="175">
        <f t="shared" si="15"/>
        <v>2.9999999999999992E-3</v>
      </c>
      <c r="H82" s="175">
        <f t="shared" si="15"/>
        <v>2.9999999999999992E-3</v>
      </c>
      <c r="I82" s="175">
        <f t="shared" si="15"/>
        <v>1.9999999999999996E-3</v>
      </c>
      <c r="J82" s="175">
        <f t="shared" si="15"/>
        <v>9.999999999999998E-4</v>
      </c>
      <c r="K82" s="175">
        <f t="shared" si="15"/>
        <v>9.999999999999998E-4</v>
      </c>
      <c r="L82" s="175">
        <f t="shared" si="15"/>
        <v>9.999999999999998E-4</v>
      </c>
      <c r="M82" s="175">
        <f t="shared" si="15"/>
        <v>9.999999999999998E-4</v>
      </c>
      <c r="N82" s="175">
        <f t="shared" si="15"/>
        <v>5.9999999999999984E-4</v>
      </c>
      <c r="O82" s="175">
        <f t="shared" si="15"/>
        <v>3.9999999999999991E-4</v>
      </c>
      <c r="P82" s="174">
        <f t="shared" si="5"/>
        <v>0.02</v>
      </c>
      <c r="Q82" s="197"/>
      <c r="R82" s="198"/>
      <c r="S82" s="194"/>
      <c r="T82" s="194"/>
      <c r="U82" s="194"/>
      <c r="V82" s="194"/>
      <c r="W82" s="194"/>
      <c r="X82" s="194"/>
      <c r="Y82" s="194"/>
      <c r="Z82" s="194"/>
      <c r="AA82" s="194"/>
      <c r="AB82" s="194"/>
      <c r="AC82" s="194"/>
      <c r="AD82" s="194"/>
    </row>
    <row r="83" spans="1:30" hidden="1" x14ac:dyDescent="0.25">
      <c r="A83" s="385"/>
      <c r="B83" s="407"/>
      <c r="C83" s="173" t="s">
        <v>63</v>
      </c>
      <c r="D83" s="172">
        <f>D57*$B$56/$P$56</f>
        <v>0</v>
      </c>
      <c r="E83" s="172">
        <f t="shared" si="15"/>
        <v>0</v>
      </c>
      <c r="F83" s="172">
        <f t="shared" si="15"/>
        <v>0</v>
      </c>
      <c r="G83" s="172">
        <f t="shared" si="15"/>
        <v>2.9999999999999992E-3</v>
      </c>
      <c r="H83" s="172">
        <f t="shared" si="15"/>
        <v>7.9999999999999984E-3</v>
      </c>
      <c r="I83" s="172">
        <f t="shared" si="15"/>
        <v>2.9999999999999992E-3</v>
      </c>
      <c r="J83" s="172">
        <f t="shared" si="15"/>
        <v>1.4E-3</v>
      </c>
      <c r="K83" s="172">
        <f t="shared" si="15"/>
        <v>1.5999999999999996E-3</v>
      </c>
      <c r="L83" s="172">
        <f t="shared" si="15"/>
        <v>9.999999999999998E-4</v>
      </c>
      <c r="M83" s="172">
        <f t="shared" si="15"/>
        <v>9.999999999999998E-4</v>
      </c>
      <c r="N83" s="172">
        <f t="shared" si="15"/>
        <v>5.9999999999999984E-4</v>
      </c>
      <c r="O83" s="172">
        <f t="shared" si="15"/>
        <v>0</v>
      </c>
      <c r="P83" s="171">
        <f t="shared" si="5"/>
        <v>1.9599999999999999E-2</v>
      </c>
      <c r="Q83" s="199"/>
      <c r="R83" s="198"/>
      <c r="S83" s="194"/>
      <c r="T83" s="194"/>
      <c r="U83" s="194"/>
      <c r="V83" s="194"/>
      <c r="W83" s="194"/>
      <c r="X83" s="194"/>
      <c r="Y83" s="194"/>
      <c r="Z83" s="194"/>
      <c r="AA83" s="194"/>
      <c r="AB83" s="194"/>
      <c r="AC83" s="194"/>
      <c r="AD83" s="194"/>
    </row>
    <row r="84" spans="1:30" hidden="1" x14ac:dyDescent="0.25">
      <c r="A84" s="196"/>
      <c r="B84" s="169"/>
      <c r="C84" s="170"/>
      <c r="D84" s="165">
        <f>D65+D67+D69+D71+D73+D75+D77+D79+D81+D83</f>
        <v>0</v>
      </c>
      <c r="E84" s="165">
        <f t="shared" ref="E84:O84" si="16">E65+E67+E69+E71+E73+E75+E77+E79+E81+E83</f>
        <v>1.0799999999999999E-2</v>
      </c>
      <c r="F84" s="165">
        <f t="shared" si="16"/>
        <v>1.9399999999999997E-2</v>
      </c>
      <c r="G84" s="165">
        <f t="shared" si="16"/>
        <v>2.7E-2</v>
      </c>
      <c r="H84" s="165">
        <f t="shared" si="16"/>
        <v>2.8599999999999993E-2</v>
      </c>
      <c r="I84" s="165">
        <f t="shared" si="16"/>
        <v>2.0399999999999998E-2</v>
      </c>
      <c r="J84" s="165">
        <f t="shared" si="16"/>
        <v>1.78E-2</v>
      </c>
      <c r="K84" s="165">
        <f t="shared" si="16"/>
        <v>1.7999999999999999E-2</v>
      </c>
      <c r="L84" s="165">
        <f t="shared" si="16"/>
        <v>1.6400000000000001E-2</v>
      </c>
      <c r="M84" s="165">
        <f t="shared" si="16"/>
        <v>2.0400000000000001E-2</v>
      </c>
      <c r="N84" s="165">
        <f t="shared" si="16"/>
        <v>1.46E-2</v>
      </c>
      <c r="O84" s="165">
        <f t="shared" si="16"/>
        <v>0</v>
      </c>
      <c r="P84" s="165">
        <f>P65+P67+P69+P71+P73+P75+P77</f>
        <v>0.13480000000000003</v>
      </c>
      <c r="Q84" s="195"/>
      <c r="R84" s="198">
        <f t="shared" si="6"/>
        <v>0.13480000000000003</v>
      </c>
      <c r="S84" s="194"/>
      <c r="T84" s="194"/>
      <c r="U84" s="194"/>
      <c r="V84" s="194"/>
      <c r="W84" s="194"/>
      <c r="X84" s="194"/>
      <c r="Y84" s="194"/>
      <c r="Z84" s="194"/>
      <c r="AA84" s="194"/>
      <c r="AB84" s="194"/>
      <c r="AC84" s="194"/>
      <c r="AD84" s="194"/>
    </row>
    <row r="85" spans="1:30" hidden="1" x14ac:dyDescent="0.25">
      <c r="A85" s="197"/>
      <c r="B85" s="167"/>
      <c r="C85" s="164" t="s">
        <v>63</v>
      </c>
      <c r="D85" s="163">
        <f>D84*$W$17/$B$34</f>
        <v>0</v>
      </c>
      <c r="E85" s="163">
        <f t="shared" ref="E85:O85" si="17">E84*$W$17/$B$34</f>
        <v>4.8599999999999997E-2</v>
      </c>
      <c r="F85" s="163">
        <f t="shared" si="17"/>
        <v>8.7299999999999975E-2</v>
      </c>
      <c r="G85" s="163">
        <f t="shared" si="17"/>
        <v>0.12149999999999998</v>
      </c>
      <c r="H85" s="163">
        <f t="shared" si="17"/>
        <v>0.12869999999999998</v>
      </c>
      <c r="I85" s="163">
        <f t="shared" si="17"/>
        <v>9.1799999999999979E-2</v>
      </c>
      <c r="J85" s="163">
        <f t="shared" si="17"/>
        <v>8.0099999999999991E-2</v>
      </c>
      <c r="K85" s="163">
        <f t="shared" si="17"/>
        <v>8.0999999999999989E-2</v>
      </c>
      <c r="L85" s="163">
        <f t="shared" si="17"/>
        <v>7.3800000000000004E-2</v>
      </c>
      <c r="M85" s="163">
        <f t="shared" si="17"/>
        <v>9.1800000000000007E-2</v>
      </c>
      <c r="N85" s="163">
        <f t="shared" si="17"/>
        <v>6.5699999999999995E-2</v>
      </c>
      <c r="O85" s="163">
        <f t="shared" si="17"/>
        <v>0</v>
      </c>
      <c r="P85" s="162">
        <f>SUM(D85:O85)</f>
        <v>0.87029999999999985</v>
      </c>
      <c r="Q85" s="196"/>
      <c r="R85" s="195"/>
      <c r="S85" s="194"/>
      <c r="T85" s="194"/>
      <c r="U85" s="194"/>
      <c r="V85" s="194"/>
      <c r="W85" s="194"/>
      <c r="X85" s="194"/>
      <c r="Y85" s="194"/>
      <c r="Z85" s="194"/>
      <c r="AA85" s="194"/>
      <c r="AB85" s="194"/>
      <c r="AC85" s="194"/>
      <c r="AD85" s="194"/>
    </row>
    <row r="86" spans="1:30" hidden="1" x14ac:dyDescent="0.25">
      <c r="A86" s="196"/>
      <c r="B86" s="166"/>
      <c r="C86" s="166"/>
      <c r="D86" s="166"/>
      <c r="E86" s="166"/>
      <c r="F86" s="166"/>
      <c r="G86" s="166"/>
      <c r="H86" s="166"/>
      <c r="I86" s="166"/>
      <c r="J86" s="166"/>
      <c r="K86" s="166"/>
      <c r="L86" s="166"/>
      <c r="M86" s="166"/>
      <c r="N86" s="166"/>
      <c r="O86" s="166"/>
      <c r="P86" s="166"/>
      <c r="Q86" s="196"/>
      <c r="R86" s="196"/>
      <c r="S86" s="194"/>
      <c r="T86" s="194"/>
      <c r="U86" s="194"/>
      <c r="V86" s="194"/>
      <c r="W86" s="194"/>
      <c r="X86" s="194"/>
      <c r="Y86" s="194"/>
      <c r="Z86" s="194"/>
      <c r="AA86" s="194"/>
      <c r="AB86" s="194"/>
      <c r="AC86" s="194"/>
      <c r="AD86" s="194"/>
    </row>
    <row r="87" spans="1:30" hidden="1" x14ac:dyDescent="0.25">
      <c r="A87" s="197"/>
      <c r="B87" s="108"/>
      <c r="C87" s="108"/>
      <c r="D87" s="165">
        <f>+D64+D66+D68+D70+D72+D74+D76+D78+D80+D82</f>
        <v>0</v>
      </c>
      <c r="E87" s="165">
        <f t="shared" ref="E87:O87" si="18">+E64+E66+E68+E70+E72+E74+E76+E78+E80+E82</f>
        <v>2.3199999999999998E-2</v>
      </c>
      <c r="F87" s="165">
        <f t="shared" si="18"/>
        <v>1.5999999999999997E-2</v>
      </c>
      <c r="G87" s="165">
        <f t="shared" si="18"/>
        <v>2.4999999999999998E-2</v>
      </c>
      <c r="H87" s="165">
        <f t="shared" si="18"/>
        <v>2.06E-2</v>
      </c>
      <c r="I87" s="165">
        <f t="shared" si="18"/>
        <v>2.0399999999999998E-2</v>
      </c>
      <c r="J87" s="165">
        <f t="shared" si="18"/>
        <v>1.9400000000000001E-2</v>
      </c>
      <c r="K87" s="165">
        <f t="shared" si="18"/>
        <v>1.7399999999999999E-2</v>
      </c>
      <c r="L87" s="165">
        <f t="shared" si="18"/>
        <v>1.6400000000000001E-2</v>
      </c>
      <c r="M87" s="165">
        <f t="shared" si="18"/>
        <v>2.0400000000000001E-2</v>
      </c>
      <c r="N87" s="165">
        <f t="shared" si="18"/>
        <v>1.46E-2</v>
      </c>
      <c r="O87" s="165">
        <f t="shared" si="18"/>
        <v>6.6000000000000008E-3</v>
      </c>
      <c r="P87" s="165">
        <f>SUM(D87:O87)</f>
        <v>0.19999999999999998</v>
      </c>
      <c r="Q87" s="197"/>
      <c r="R87" s="197"/>
      <c r="S87" s="194"/>
      <c r="T87" s="194"/>
      <c r="U87" s="194"/>
      <c r="V87" s="194"/>
      <c r="W87" s="194"/>
      <c r="X87" s="194"/>
      <c r="Y87" s="194"/>
      <c r="Z87" s="194"/>
      <c r="AA87" s="194"/>
      <c r="AB87" s="194"/>
      <c r="AC87" s="194"/>
      <c r="AD87" s="194"/>
    </row>
    <row r="88" spans="1:30" hidden="1" x14ac:dyDescent="0.25">
      <c r="A88" s="197"/>
      <c r="B88" s="108"/>
      <c r="C88" s="164" t="s">
        <v>62</v>
      </c>
      <c r="D88" s="163">
        <f t="shared" ref="D88:O88" si="19">D87*$W$17/$B$34</f>
        <v>0</v>
      </c>
      <c r="E88" s="163">
        <f t="shared" si="19"/>
        <v>0.10439999999999999</v>
      </c>
      <c r="F88" s="163">
        <f t="shared" si="19"/>
        <v>7.1999999999999981E-2</v>
      </c>
      <c r="G88" s="163">
        <f t="shared" si="19"/>
        <v>0.11249999999999999</v>
      </c>
      <c r="H88" s="163">
        <f t="shared" si="19"/>
        <v>9.2700000000000005E-2</v>
      </c>
      <c r="I88" s="163">
        <f t="shared" si="19"/>
        <v>9.1799999999999979E-2</v>
      </c>
      <c r="J88" s="163">
        <f t="shared" si="19"/>
        <v>8.7299999999999989E-2</v>
      </c>
      <c r="K88" s="163">
        <f t="shared" si="19"/>
        <v>7.8299999999999995E-2</v>
      </c>
      <c r="L88" s="163">
        <f t="shared" si="19"/>
        <v>7.3800000000000004E-2</v>
      </c>
      <c r="M88" s="163">
        <f t="shared" si="19"/>
        <v>9.1800000000000007E-2</v>
      </c>
      <c r="N88" s="163">
        <f t="shared" si="19"/>
        <v>6.5699999999999995E-2</v>
      </c>
      <c r="O88" s="163">
        <f t="shared" si="19"/>
        <v>2.9700000000000004E-2</v>
      </c>
      <c r="P88" s="162">
        <f>SUM(D88:O88)</f>
        <v>0.89999999999999991</v>
      </c>
      <c r="Q88" s="197"/>
      <c r="R88" s="197"/>
      <c r="S88" s="194"/>
      <c r="T88" s="194"/>
      <c r="U88" s="194"/>
      <c r="V88" s="194"/>
      <c r="W88" s="194"/>
      <c r="X88" s="194"/>
      <c r="Y88" s="194"/>
      <c r="Z88" s="194"/>
      <c r="AA88" s="194"/>
      <c r="AB88" s="194"/>
      <c r="AC88" s="194"/>
      <c r="AD88" s="194"/>
    </row>
    <row r="89" spans="1:30" hidden="1" x14ac:dyDescent="0.25">
      <c r="A89" s="194"/>
      <c r="Q89" s="194"/>
      <c r="R89" s="194"/>
      <c r="S89" s="194"/>
      <c r="T89" s="194"/>
      <c r="U89" s="194"/>
      <c r="V89" s="194"/>
      <c r="W89" s="194"/>
      <c r="X89" s="194"/>
      <c r="Y89" s="194"/>
      <c r="Z89" s="194"/>
      <c r="AA89" s="194"/>
      <c r="AB89" s="194"/>
      <c r="AC89" s="194"/>
      <c r="AD89" s="194"/>
    </row>
    <row r="90" spans="1:30" hidden="1" x14ac:dyDescent="0.25">
      <c r="A90" s="194"/>
      <c r="Q90" s="194"/>
      <c r="R90" s="194"/>
      <c r="S90" s="194"/>
      <c r="T90" s="194"/>
      <c r="U90" s="194"/>
      <c r="V90" s="194"/>
      <c r="W90" s="194"/>
      <c r="X90" s="194"/>
      <c r="Y90" s="194"/>
      <c r="Z90" s="194"/>
      <c r="AA90" s="194"/>
      <c r="AB90" s="194"/>
      <c r="AC90" s="194"/>
      <c r="AD90" s="194"/>
    </row>
    <row r="91" spans="1:30" hidden="1" x14ac:dyDescent="0.25">
      <c r="A91" s="194"/>
      <c r="Q91" s="194"/>
      <c r="R91" s="194"/>
      <c r="S91" s="194"/>
      <c r="T91" s="194"/>
      <c r="U91" s="194"/>
      <c r="V91" s="194"/>
      <c r="W91" s="194"/>
      <c r="X91" s="194"/>
      <c r="Y91" s="194"/>
      <c r="Z91" s="194"/>
      <c r="AA91" s="194"/>
      <c r="AB91" s="194"/>
      <c r="AC91" s="194"/>
      <c r="AD91" s="194"/>
    </row>
    <row r="92" spans="1:30" hidden="1" x14ac:dyDescent="0.25">
      <c r="A92" s="194"/>
      <c r="Q92" s="194"/>
      <c r="R92" s="194"/>
      <c r="S92" s="194"/>
      <c r="T92" s="194"/>
      <c r="U92" s="194"/>
      <c r="V92" s="194"/>
      <c r="W92" s="194"/>
      <c r="X92" s="194"/>
      <c r="Y92" s="194"/>
      <c r="Z92" s="194"/>
      <c r="AA92" s="194"/>
      <c r="AB92" s="194"/>
      <c r="AC92" s="194"/>
      <c r="AD92" s="194"/>
    </row>
    <row r="93" spans="1:30" hidden="1" x14ac:dyDescent="0.25">
      <c r="A93" s="194"/>
      <c r="Q93" s="194"/>
      <c r="R93" s="194"/>
      <c r="S93" s="194"/>
      <c r="T93" s="194"/>
      <c r="U93" s="194"/>
      <c r="V93" s="194"/>
      <c r="W93" s="194"/>
      <c r="X93" s="194"/>
      <c r="Y93" s="194"/>
      <c r="Z93" s="194"/>
      <c r="AA93" s="194"/>
      <c r="AB93" s="194"/>
      <c r="AC93" s="194"/>
      <c r="AD93" s="194"/>
    </row>
    <row r="94" spans="1:30" hidden="1" x14ac:dyDescent="0.25">
      <c r="A94" s="194"/>
      <c r="Q94" s="194"/>
      <c r="R94" s="194"/>
      <c r="S94" s="194"/>
      <c r="T94" s="194"/>
      <c r="U94" s="194"/>
      <c r="V94" s="194"/>
      <c r="W94" s="194"/>
      <c r="X94" s="194"/>
      <c r="Y94" s="194"/>
      <c r="Z94" s="194"/>
      <c r="AA94" s="194"/>
      <c r="AB94" s="194"/>
      <c r="AC94" s="194"/>
      <c r="AD94" s="194"/>
    </row>
    <row r="95" spans="1:30" hidden="1"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23">
    <mergeCell ref="A56:A57"/>
    <mergeCell ref="Q56:AD57"/>
    <mergeCell ref="B56:B57"/>
    <mergeCell ref="A50:A51"/>
    <mergeCell ref="Q50:AD51"/>
    <mergeCell ref="A52:A53"/>
    <mergeCell ref="Q52:AD53"/>
    <mergeCell ref="A54:A55"/>
    <mergeCell ref="Q54:AD5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C16:AB16"/>
    <mergeCell ref="A17:B17"/>
    <mergeCell ref="C17:Q17"/>
    <mergeCell ref="R17:V17"/>
    <mergeCell ref="W17:X17"/>
    <mergeCell ref="Y17:AB17"/>
    <mergeCell ref="A15:B15"/>
    <mergeCell ref="C15:K15"/>
    <mergeCell ref="L15:Q15"/>
    <mergeCell ref="R15:X15"/>
    <mergeCell ref="Y15:Z15"/>
    <mergeCell ref="AA15:AD15"/>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B30:C30"/>
    <mergeCell ref="Q30:AD30"/>
    <mergeCell ref="A31:AD31"/>
    <mergeCell ref="A32:A33"/>
    <mergeCell ref="B32:B33"/>
    <mergeCell ref="C32:C33"/>
    <mergeCell ref="D32:P32"/>
    <mergeCell ref="Q32:AD32"/>
    <mergeCell ref="Q33:S33"/>
    <mergeCell ref="T33:V33"/>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68:A69"/>
    <mergeCell ref="B68:B69"/>
    <mergeCell ref="A70:A71"/>
    <mergeCell ref="B70:B71"/>
    <mergeCell ref="A72:A73"/>
    <mergeCell ref="B72:B73"/>
    <mergeCell ref="A62:A63"/>
    <mergeCell ref="B62:B63"/>
    <mergeCell ref="C62:P62"/>
    <mergeCell ref="A64:A65"/>
    <mergeCell ref="B64:B65"/>
    <mergeCell ref="A66:A67"/>
    <mergeCell ref="B66:B67"/>
    <mergeCell ref="A80:A81"/>
    <mergeCell ref="B80:B81"/>
    <mergeCell ref="A82:A83"/>
    <mergeCell ref="B82:B83"/>
    <mergeCell ref="A74:A75"/>
    <mergeCell ref="B74:B75"/>
    <mergeCell ref="A76:A77"/>
    <mergeCell ref="B76:B77"/>
    <mergeCell ref="A78:A79"/>
    <mergeCell ref="B78:B79"/>
  </mergeCells>
  <phoneticPr fontId="66" type="noConversion"/>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49 AA34 Q34 W34" xr:uid="{00000000-0002-0000-0200-000002000000}">
      <formula1>2000</formula1>
    </dataValidation>
  </dataValidations>
  <printOptions horizontalCentered="1"/>
  <pageMargins left="0.19685039370078741" right="0.19685039370078741" top="0.19685039370078741" bottom="0.19685039370078741" header="0" footer="0"/>
  <pageSetup paperSize="9" scale="1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view="pageBreakPreview" topLeftCell="A42" zoomScale="60" zoomScaleNormal="60" workbookViewId="0">
      <selection activeCell="Q44" sqref="Q44:AD45"/>
    </sheetView>
  </sheetViews>
  <sheetFormatPr baseColWidth="10" defaultColWidth="10.7109375" defaultRowHeight="15" x14ac:dyDescent="0.25"/>
  <cols>
    <col min="1" max="1" width="38.42578125" style="50" customWidth="1"/>
    <col min="2" max="2" width="15.42578125" style="50" customWidth="1"/>
    <col min="3" max="3" width="20.7109375" style="50" customWidth="1"/>
    <col min="4" max="4" width="28" style="50" customWidth="1"/>
    <col min="5" max="14" width="20.7109375" style="50" customWidth="1"/>
    <col min="15" max="15" width="18.42578125" style="50" customWidth="1"/>
    <col min="16" max="16" width="18.140625" style="50" customWidth="1"/>
    <col min="17" max="17" width="21.28515625" style="50" customWidth="1"/>
    <col min="18" max="18" width="22.42578125" style="50" customWidth="1"/>
    <col min="19" max="21" width="18.140625" style="50" customWidth="1"/>
    <col min="22" max="22" width="23.42578125" style="50" customWidth="1"/>
    <col min="23" max="24" width="20.7109375" style="50" customWidth="1"/>
    <col min="25" max="25" width="20.42578125" style="50" customWidth="1"/>
    <col min="26" max="27" width="19.42578125" style="50" customWidth="1"/>
    <col min="28" max="28" width="22.7109375" style="50" customWidth="1"/>
    <col min="29" max="29" width="20.7109375"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776" t="s">
        <v>4</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21" t="s">
        <v>5</v>
      </c>
      <c r="AC3" s="422"/>
      <c r="AD3" s="423"/>
    </row>
    <row r="4" spans="1:33" ht="21.75" customHeight="1" thickBot="1" x14ac:dyDescent="0.3">
      <c r="A4" s="414"/>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16</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50.25"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22</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777" t="s">
        <v>122</v>
      </c>
      <c r="D17" s="778"/>
      <c r="E17" s="778"/>
      <c r="F17" s="778"/>
      <c r="G17" s="778"/>
      <c r="H17" s="778"/>
      <c r="I17" s="778"/>
      <c r="J17" s="778"/>
      <c r="K17" s="778"/>
      <c r="L17" s="778"/>
      <c r="M17" s="778"/>
      <c r="N17" s="778"/>
      <c r="O17" s="778"/>
      <c r="P17" s="778"/>
      <c r="Q17" s="779"/>
      <c r="R17" s="484" t="s">
        <v>25</v>
      </c>
      <c r="S17" s="488"/>
      <c r="T17" s="488"/>
      <c r="U17" s="488"/>
      <c r="V17" s="485"/>
      <c r="W17" s="837">
        <v>1</v>
      </c>
      <c r="X17" s="838"/>
      <c r="Y17" s="488" t="s">
        <v>26</v>
      </c>
      <c r="Z17" s="488"/>
      <c r="AA17" s="488"/>
      <c r="AB17" s="485"/>
      <c r="AC17" s="530">
        <v>0.32</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281">
        <v>1427180577</v>
      </c>
      <c r="R22" s="282">
        <v>58442660</v>
      </c>
      <c r="S22" s="282">
        <v>52574895</v>
      </c>
      <c r="T22" s="282">
        <v>74667412</v>
      </c>
      <c r="U22" s="282">
        <v>0</v>
      </c>
      <c r="V22" s="282">
        <v>813750</v>
      </c>
      <c r="W22" s="282">
        <v>0</v>
      </c>
      <c r="X22" s="330">
        <v>2700000</v>
      </c>
      <c r="Y22" s="330">
        <v>30394704</v>
      </c>
      <c r="Z22" s="330">
        <f>28362495-10829365</f>
        <v>17533130</v>
      </c>
      <c r="AA22" s="330">
        <v>0</v>
      </c>
      <c r="AB22" s="330">
        <v>0</v>
      </c>
      <c r="AC22" s="283">
        <f>SUM(Q22:AB22)</f>
        <v>1664307128</v>
      </c>
      <c r="AD22" s="284"/>
      <c r="AE22" s="3"/>
      <c r="AF22" s="3"/>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342">
        <v>876050391</v>
      </c>
      <c r="R23" s="290">
        <f>1234409287-Q23</f>
        <v>358358896</v>
      </c>
      <c r="S23" s="290">
        <f>1390423801-Q23-R23</f>
        <v>156014514</v>
      </c>
      <c r="T23" s="290">
        <f>1373182847-Q23-R23-S23</f>
        <v>-17240954</v>
      </c>
      <c r="U23" s="290">
        <f>1434686942-Q23-R23-S23-T23</f>
        <v>61504095</v>
      </c>
      <c r="V23" s="290">
        <f>1507589637-Q23-R23-S23-T23-U23</f>
        <v>72902695</v>
      </c>
      <c r="W23" s="290">
        <f>1513778444-Q23-R23-S23-T23-U23-V23</f>
        <v>6188807</v>
      </c>
      <c r="X23" s="331">
        <f>1514316603-Q23-R23-S23-T23-U23-V23-W23</f>
        <v>538159</v>
      </c>
      <c r="Y23" s="331">
        <f>1514956343-Q23-R23-S23-T23-U23-V23-W23-X23</f>
        <v>639740</v>
      </c>
      <c r="Z23" s="331">
        <f>1520120877-Q23-R23-S23-T23-U23-V23-W23-X23-Y23</f>
        <v>5164534</v>
      </c>
      <c r="AA23" s="331">
        <f>1547967876-Q23-R23-S23-T23-U23-V23-W23-X23-Y23-Z23</f>
        <v>27846999</v>
      </c>
      <c r="AB23" s="331"/>
      <c r="AC23" s="279">
        <f>SUM(Q23:AB23)</f>
        <v>1547967876</v>
      </c>
      <c r="AD23" s="343">
        <f>AC23/AC22</f>
        <v>0.93009748618946009</v>
      </c>
      <c r="AE23" s="3"/>
      <c r="AF23" s="3"/>
    </row>
    <row r="24" spans="1:41" ht="31.9" customHeight="1" x14ac:dyDescent="0.25">
      <c r="A24" s="470" t="s">
        <v>45</v>
      </c>
      <c r="B24" s="504"/>
      <c r="C24" s="286"/>
      <c r="D24" s="287">
        <f>36314785+5265896</f>
        <v>41580681</v>
      </c>
      <c r="E24" s="287">
        <v>5691209</v>
      </c>
      <c r="F24" s="287">
        <f>8489602-2</f>
        <v>8489600</v>
      </c>
      <c r="G24" s="344">
        <f>-5321667</f>
        <v>-5321667</v>
      </c>
      <c r="H24" s="287"/>
      <c r="I24" s="287">
        <v>-3167933</v>
      </c>
      <c r="J24" s="287"/>
      <c r="K24" s="287"/>
      <c r="L24" s="287"/>
      <c r="M24" s="287"/>
      <c r="N24" s="287"/>
      <c r="O24" s="290">
        <f>SUM(C24:N24)</f>
        <v>47271890</v>
      </c>
      <c r="P24" s="292"/>
      <c r="Q24" s="289">
        <f>72500+120000+125000+489716</f>
        <v>807216</v>
      </c>
      <c r="R24" s="290">
        <f>1850000+22418000+10300000+620000+14000000+4800000+72000+1161250+80000+250000+2332686+5677247</f>
        <v>63561183</v>
      </c>
      <c r="S24" s="345">
        <v>142387531.966667</v>
      </c>
      <c r="T24" s="345">
        <v>139532033.616667</v>
      </c>
      <c r="U24" s="345">
        <v>131653057.366667</v>
      </c>
      <c r="V24" s="345">
        <v>139532032.366667</v>
      </c>
      <c r="W24" s="346">
        <v>142482865.366667</v>
      </c>
      <c r="X24" s="347">
        <f>142032032.366667+34106344+6078941</f>
        <v>182217317.366667</v>
      </c>
      <c r="Y24" s="347">
        <f>140116455.366667+6078941</f>
        <v>146195396.366667</v>
      </c>
      <c r="Z24" s="347">
        <f>139532032.366667+6078941</f>
        <v>145610973.366667</v>
      </c>
      <c r="AA24" s="347">
        <f>139970865.366667+6078941</f>
        <v>146049806.366667</v>
      </c>
      <c r="AB24" s="347">
        <f>259845889.946667+29182250+6078940-10829365</f>
        <v>284277714.94666696</v>
      </c>
      <c r="AC24" s="279">
        <f>SUM(Q24:AB24)</f>
        <v>1664307128.0966702</v>
      </c>
      <c r="AD24" s="291"/>
      <c r="AE24" s="3"/>
      <c r="AF24" s="3"/>
    </row>
    <row r="25" spans="1:41" ht="31.9" customHeight="1" thickBot="1" x14ac:dyDescent="0.3">
      <c r="A25" s="515" t="s">
        <v>46</v>
      </c>
      <c r="B25" s="516"/>
      <c r="C25" s="296">
        <f>19805344</f>
        <v>19805344</v>
      </c>
      <c r="D25" s="297">
        <f>32731361-C25</f>
        <v>12926017</v>
      </c>
      <c r="E25" s="297">
        <f>37397847-C25-D25</f>
        <v>4666486</v>
      </c>
      <c r="F25" s="297">
        <f>37664400-C25-D25-E25</f>
        <v>266553</v>
      </c>
      <c r="G25" s="297">
        <f>41396914-C25-D25-E25-F25</f>
        <v>3732514</v>
      </c>
      <c r="H25" s="297">
        <f>42900003-C25-D25-E25-F25-G25</f>
        <v>1503089</v>
      </c>
      <c r="I25" s="297">
        <f>43201528-C25-D25-E25-F25-G25-H25</f>
        <v>301525</v>
      </c>
      <c r="J25" s="297">
        <f>43503053-C25-D25-E25-F25-G25-H25-I25</f>
        <v>301525</v>
      </c>
      <c r="K25" s="297">
        <f>43536822-C25-D25-E25-F25-G25-H25-I25-J25</f>
        <v>33769</v>
      </c>
      <c r="L25" s="297">
        <f>43536822-C25-D25-E25-F25-G25-H25-I25-J25-K25</f>
        <v>0</v>
      </c>
      <c r="M25" s="297">
        <f>43536822-C25-D25-E25-F25-G25-H25-I25-J25-K25-L25</f>
        <v>0</v>
      </c>
      <c r="N25" s="297"/>
      <c r="O25" s="298">
        <f>SUM(C25:N25)</f>
        <v>43536822</v>
      </c>
      <c r="P25" s="299">
        <f>IFERROR(O25/(SUMIF(C25:N25,"&gt;0",C24:O24))," ")</f>
        <v>0.92098754672174099</v>
      </c>
      <c r="Q25" s="348">
        <f>575520</f>
        <v>575520</v>
      </c>
      <c r="R25" s="298">
        <f>52596949-Q25</f>
        <v>52021429</v>
      </c>
      <c r="S25" s="298">
        <f>151056444-Q25-R25</f>
        <v>98459495</v>
      </c>
      <c r="T25" s="298">
        <f>269839460-Q25-R25-S25</f>
        <v>118783016</v>
      </c>
      <c r="U25" s="298">
        <f>406304791-Q25-R25-S25-T25</f>
        <v>136465331</v>
      </c>
      <c r="V25" s="298">
        <f>534735508-Q25-R25-S25-T25-U25</f>
        <v>128430717</v>
      </c>
      <c r="W25" s="298">
        <f>668565590-Q25-R25-S25-T25-U25-V25</f>
        <v>133830082</v>
      </c>
      <c r="X25" s="298">
        <f>797944380-Q25-R25-S25-T25-U25-V25-W25</f>
        <v>129378790</v>
      </c>
      <c r="Y25" s="298">
        <f>942376820-Q25-R25-S25-T25-U25-V25-W25-X25</f>
        <v>144432440</v>
      </c>
      <c r="Z25" s="298">
        <f>1077231913-Q25-R25-S25-T25-U25-V25-W25-X25-Y25</f>
        <v>134855093</v>
      </c>
      <c r="AA25" s="298">
        <f>1216311162-Q25-R25-S25-T25-U25-V25-W25-Y25-Z25-X25</f>
        <v>139079249</v>
      </c>
      <c r="AB25" s="298"/>
      <c r="AC25" s="279">
        <f>SUM(Q25:AB25)</f>
        <v>1216311162</v>
      </c>
      <c r="AD25" s="302">
        <f>AC25/AC24</f>
        <v>0.73082133788070358</v>
      </c>
      <c r="AE25" s="3"/>
      <c r="AF25" s="3"/>
    </row>
    <row r="26" spans="1:41" ht="31.9" customHeight="1" thickBot="1" x14ac:dyDescent="0.3">
      <c r="A26" s="247"/>
      <c r="B26" s="242"/>
      <c r="C26" s="304"/>
      <c r="D26" s="304"/>
      <c r="E26" s="304"/>
      <c r="F26" s="304"/>
      <c r="G26" s="304"/>
      <c r="H26" s="304"/>
      <c r="I26" s="304"/>
      <c r="J26" s="304"/>
      <c r="K26" s="304"/>
      <c r="L26" s="304"/>
      <c r="M26" s="304"/>
      <c r="N26" s="303"/>
      <c r="O26" s="304"/>
      <c r="P26" s="304"/>
      <c r="Q26" s="304"/>
      <c r="R26" s="304"/>
      <c r="S26" s="304"/>
      <c r="T26" s="304"/>
      <c r="U26" s="304"/>
      <c r="V26" s="304"/>
      <c r="W26" s="304"/>
      <c r="X26" s="304"/>
      <c r="Y26" s="304"/>
      <c r="Z26" s="304"/>
      <c r="AA26" s="304"/>
      <c r="AB26" s="304"/>
      <c r="AC26" s="248"/>
      <c r="AD26" s="262"/>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42" customHeight="1" thickBot="1" x14ac:dyDescent="0.3">
      <c r="A30" s="332" t="s">
        <v>122</v>
      </c>
      <c r="B30" s="774"/>
      <c r="C30" s="775"/>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x14ac:dyDescent="0.25">
      <c r="A31" s="776" t="s">
        <v>53</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8"/>
    </row>
    <row r="32" spans="1:41" ht="22.9" customHeight="1" x14ac:dyDescent="0.25">
      <c r="A32" s="470" t="s">
        <v>54</v>
      </c>
      <c r="B32" s="472" t="s">
        <v>55</v>
      </c>
      <c r="C32" s="472" t="s">
        <v>49</v>
      </c>
      <c r="D32" s="472" t="s">
        <v>56</v>
      </c>
      <c r="E32" s="472"/>
      <c r="F32" s="472"/>
      <c r="G32" s="472"/>
      <c r="H32" s="472"/>
      <c r="I32" s="472"/>
      <c r="J32" s="472"/>
      <c r="K32" s="472"/>
      <c r="L32" s="472"/>
      <c r="M32" s="472"/>
      <c r="N32" s="472"/>
      <c r="O32" s="472"/>
      <c r="P32" s="472"/>
      <c r="Q32" s="472" t="s">
        <v>57</v>
      </c>
      <c r="R32" s="472"/>
      <c r="S32" s="472"/>
      <c r="T32" s="472"/>
      <c r="U32" s="472"/>
      <c r="V32" s="472"/>
      <c r="W32" s="472"/>
      <c r="X32" s="472"/>
      <c r="Y32" s="472"/>
      <c r="Z32" s="472"/>
      <c r="AA32" s="472"/>
      <c r="AB32" s="472"/>
      <c r="AC32" s="472"/>
      <c r="AD32" s="528"/>
      <c r="AG32" s="87"/>
      <c r="AH32" s="87"/>
      <c r="AI32" s="87"/>
      <c r="AJ32" s="87"/>
      <c r="AK32" s="87"/>
      <c r="AL32" s="87"/>
      <c r="AM32" s="87"/>
      <c r="AN32" s="87"/>
      <c r="AO32" s="87"/>
    </row>
    <row r="33" spans="1:41" ht="27" customHeight="1" x14ac:dyDescent="0.25">
      <c r="A33" s="470"/>
      <c r="B33" s="472"/>
      <c r="C33" s="473"/>
      <c r="D33" s="305" t="s">
        <v>30</v>
      </c>
      <c r="E33" s="305" t="s">
        <v>31</v>
      </c>
      <c r="F33" s="305" t="s">
        <v>32</v>
      </c>
      <c r="G33" s="305" t="s">
        <v>33</v>
      </c>
      <c r="H33" s="305" t="s">
        <v>34</v>
      </c>
      <c r="I33" s="305" t="s">
        <v>35</v>
      </c>
      <c r="J33" s="305" t="s">
        <v>36</v>
      </c>
      <c r="K33" s="305" t="s">
        <v>37</v>
      </c>
      <c r="L33" s="305" t="s">
        <v>8</v>
      </c>
      <c r="M33" s="305" t="s">
        <v>38</v>
      </c>
      <c r="N33" s="305" t="s">
        <v>39</v>
      </c>
      <c r="O33" s="305" t="s">
        <v>40</v>
      </c>
      <c r="P33" s="305" t="s">
        <v>41</v>
      </c>
      <c r="Q33" s="472" t="s">
        <v>58</v>
      </c>
      <c r="R33" s="472"/>
      <c r="S33" s="472"/>
      <c r="T33" s="472" t="s">
        <v>59</v>
      </c>
      <c r="U33" s="472"/>
      <c r="V33" s="472"/>
      <c r="W33" s="524" t="s">
        <v>60</v>
      </c>
      <c r="X33" s="551"/>
      <c r="Y33" s="551"/>
      <c r="Z33" s="525"/>
      <c r="AA33" s="524" t="s">
        <v>61</v>
      </c>
      <c r="AB33" s="551"/>
      <c r="AC33" s="551"/>
      <c r="AD33" s="552"/>
      <c r="AG33" s="87"/>
      <c r="AH33" s="87"/>
      <c r="AI33" s="87"/>
      <c r="AJ33" s="87"/>
      <c r="AK33" s="87"/>
      <c r="AL33" s="87"/>
      <c r="AM33" s="87"/>
      <c r="AN33" s="87"/>
      <c r="AO33" s="87"/>
    </row>
    <row r="34" spans="1:41" ht="236.65" customHeight="1" x14ac:dyDescent="0.25">
      <c r="A34" s="536" t="s">
        <v>122</v>
      </c>
      <c r="B34" s="538">
        <v>0.32</v>
      </c>
      <c r="C34" s="311" t="s">
        <v>62</v>
      </c>
      <c r="D34" s="312">
        <f>D75</f>
        <v>7.625000000000004E-2</v>
      </c>
      <c r="E34" s="312">
        <f t="shared" ref="E34:O34" si="0">E75</f>
        <v>9.0625000000000039E-2</v>
      </c>
      <c r="F34" s="312">
        <f t="shared" si="0"/>
        <v>9.0625000000000039E-2</v>
      </c>
      <c r="G34" s="312">
        <f t="shared" si="0"/>
        <v>9.0625000000000039E-2</v>
      </c>
      <c r="H34" s="312">
        <f t="shared" si="0"/>
        <v>9.0625000000000039E-2</v>
      </c>
      <c r="I34" s="312">
        <f t="shared" si="0"/>
        <v>8.062500000000003E-2</v>
      </c>
      <c r="J34" s="312">
        <f t="shared" si="0"/>
        <v>8.062500000000003E-2</v>
      </c>
      <c r="K34" s="312">
        <f t="shared" si="0"/>
        <v>8.062500000000003E-2</v>
      </c>
      <c r="L34" s="312">
        <f t="shared" si="0"/>
        <v>8.062500000000003E-2</v>
      </c>
      <c r="M34" s="312">
        <f t="shared" si="0"/>
        <v>8.062500000000003E-2</v>
      </c>
      <c r="N34" s="312">
        <f t="shared" si="0"/>
        <v>8.062500000000003E-2</v>
      </c>
      <c r="O34" s="312">
        <f t="shared" si="0"/>
        <v>7.7500000000000027E-2</v>
      </c>
      <c r="P34" s="312">
        <f>SUM(D34:O34)</f>
        <v>1.0000000000000007</v>
      </c>
      <c r="Q34" s="836" t="s">
        <v>558</v>
      </c>
      <c r="R34" s="836"/>
      <c r="S34" s="836"/>
      <c r="T34" s="836" t="s">
        <v>559</v>
      </c>
      <c r="U34" s="836"/>
      <c r="V34" s="836"/>
      <c r="W34" s="836" t="s">
        <v>557</v>
      </c>
      <c r="X34" s="836"/>
      <c r="Y34" s="836"/>
      <c r="Z34" s="836"/>
      <c r="AA34" s="836" t="s">
        <v>123</v>
      </c>
      <c r="AB34" s="836"/>
      <c r="AC34" s="836"/>
      <c r="AD34" s="836"/>
      <c r="AG34" s="87"/>
      <c r="AH34" s="87"/>
      <c r="AI34" s="87"/>
      <c r="AJ34" s="87"/>
      <c r="AK34" s="87"/>
      <c r="AL34" s="87"/>
      <c r="AM34" s="87"/>
      <c r="AN34" s="87"/>
      <c r="AO34" s="87"/>
    </row>
    <row r="35" spans="1:41" ht="236.65" customHeight="1" thickBot="1" x14ac:dyDescent="0.3">
      <c r="A35" s="537"/>
      <c r="B35" s="539"/>
      <c r="C35" s="314" t="s">
        <v>63</v>
      </c>
      <c r="D35" s="315">
        <f>D72</f>
        <v>7.5000000000000039E-2</v>
      </c>
      <c r="E35" s="315">
        <f t="shared" ref="E35:O35" si="1">E72</f>
        <v>8.6250000000000035E-2</v>
      </c>
      <c r="F35" s="315">
        <f t="shared" si="1"/>
        <v>9.0625000000000039E-2</v>
      </c>
      <c r="G35" s="315">
        <f t="shared" si="1"/>
        <v>9.3125000000000027E-2</v>
      </c>
      <c r="H35" s="315">
        <f t="shared" si="1"/>
        <v>9.3125000000000027E-2</v>
      </c>
      <c r="I35" s="315">
        <f t="shared" si="1"/>
        <v>8.1250000000000044E-2</v>
      </c>
      <c r="J35" s="315">
        <f t="shared" si="1"/>
        <v>8.062500000000003E-2</v>
      </c>
      <c r="K35" s="315">
        <f t="shared" si="1"/>
        <v>8.062500000000003E-2</v>
      </c>
      <c r="L35" s="315">
        <f t="shared" si="1"/>
        <v>8.062500000000003E-2</v>
      </c>
      <c r="M35" s="315">
        <f t="shared" si="1"/>
        <v>8.062500000000003E-2</v>
      </c>
      <c r="N35" s="315">
        <f t="shared" si="1"/>
        <v>7.4375000000000024E-2</v>
      </c>
      <c r="O35" s="315">
        <f t="shared" si="1"/>
        <v>0</v>
      </c>
      <c r="P35" s="315">
        <f>SUM(D35:O35)</f>
        <v>0.91625000000000045</v>
      </c>
      <c r="Q35" s="836"/>
      <c r="R35" s="836"/>
      <c r="S35" s="836"/>
      <c r="T35" s="836"/>
      <c r="U35" s="836"/>
      <c r="V35" s="836"/>
      <c r="W35" s="836"/>
      <c r="X35" s="836"/>
      <c r="Y35" s="836"/>
      <c r="Z35" s="836"/>
      <c r="AA35" s="836"/>
      <c r="AB35" s="836"/>
      <c r="AC35" s="836"/>
      <c r="AD35" s="836"/>
      <c r="AE35" s="49"/>
      <c r="AG35" s="87"/>
      <c r="AH35" s="87"/>
      <c r="AI35" s="87"/>
      <c r="AJ35" s="87"/>
      <c r="AK35" s="87"/>
      <c r="AL35" s="87"/>
      <c r="AM35" s="87"/>
      <c r="AN35" s="87"/>
      <c r="AO35" s="87"/>
    </row>
    <row r="36" spans="1:41" ht="25.9" customHeight="1" x14ac:dyDescent="0.25">
      <c r="A36" s="766" t="s">
        <v>64</v>
      </c>
      <c r="B36" s="768" t="s">
        <v>65</v>
      </c>
      <c r="C36" s="469" t="s">
        <v>66</v>
      </c>
      <c r="D36" s="471"/>
      <c r="E36" s="471"/>
      <c r="F36" s="471"/>
      <c r="G36" s="471"/>
      <c r="H36" s="471"/>
      <c r="I36" s="471"/>
      <c r="J36" s="471"/>
      <c r="K36" s="471"/>
      <c r="L36" s="471"/>
      <c r="M36" s="471"/>
      <c r="N36" s="471"/>
      <c r="O36" s="471"/>
      <c r="P36" s="550"/>
      <c r="Q36" s="551" t="s">
        <v>67</v>
      </c>
      <c r="R36" s="551"/>
      <c r="S36" s="551"/>
      <c r="T36" s="551"/>
      <c r="U36" s="551"/>
      <c r="V36" s="551"/>
      <c r="W36" s="551"/>
      <c r="X36" s="551"/>
      <c r="Y36" s="551"/>
      <c r="Z36" s="551"/>
      <c r="AA36" s="551"/>
      <c r="AB36" s="551"/>
      <c r="AC36" s="551"/>
      <c r="AD36" s="552"/>
      <c r="AG36" s="87"/>
      <c r="AH36" s="87"/>
      <c r="AI36" s="87"/>
      <c r="AJ36" s="87"/>
      <c r="AK36" s="87"/>
      <c r="AL36" s="87"/>
      <c r="AM36" s="87"/>
      <c r="AN36" s="87"/>
      <c r="AO36" s="87"/>
    </row>
    <row r="37" spans="1:41" ht="50.25" customHeight="1" thickBot="1" x14ac:dyDescent="0.3">
      <c r="A37" s="767"/>
      <c r="B37" s="769"/>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562" t="s">
        <v>82</v>
      </c>
      <c r="R37" s="562"/>
      <c r="S37" s="562"/>
      <c r="T37" s="562"/>
      <c r="U37" s="562"/>
      <c r="V37" s="562"/>
      <c r="W37" s="562"/>
      <c r="X37" s="562"/>
      <c r="Y37" s="562"/>
      <c r="Z37" s="562"/>
      <c r="AA37" s="562"/>
      <c r="AB37" s="562"/>
      <c r="AC37" s="562"/>
      <c r="AD37" s="563"/>
      <c r="AG37" s="94"/>
      <c r="AH37" s="94"/>
      <c r="AI37" s="94"/>
      <c r="AJ37" s="94"/>
      <c r="AK37" s="94"/>
      <c r="AL37" s="94"/>
      <c r="AM37" s="94"/>
      <c r="AN37" s="94"/>
      <c r="AO37" s="94"/>
    </row>
    <row r="38" spans="1:41" ht="200.65" customHeight="1" x14ac:dyDescent="0.25">
      <c r="A38" s="831" t="s">
        <v>124</v>
      </c>
      <c r="B38" s="835">
        <v>0.1</v>
      </c>
      <c r="C38" s="334" t="s">
        <v>62</v>
      </c>
      <c r="D38" s="349">
        <v>0.08</v>
      </c>
      <c r="E38" s="349">
        <v>0.09</v>
      </c>
      <c r="F38" s="349">
        <v>0.09</v>
      </c>
      <c r="G38" s="349">
        <v>0.09</v>
      </c>
      <c r="H38" s="349">
        <v>0.09</v>
      </c>
      <c r="I38" s="349">
        <v>0.08</v>
      </c>
      <c r="J38" s="349">
        <v>0.08</v>
      </c>
      <c r="K38" s="349">
        <v>0.08</v>
      </c>
      <c r="L38" s="349">
        <v>0.08</v>
      </c>
      <c r="M38" s="349">
        <v>0.08</v>
      </c>
      <c r="N38" s="349">
        <v>0.08</v>
      </c>
      <c r="O38" s="349">
        <v>0.08</v>
      </c>
      <c r="P38" s="320">
        <f t="shared" ref="P38:P45" si="2">SUM(D38:O38)</f>
        <v>0.99999999999999967</v>
      </c>
      <c r="Q38" s="832" t="s">
        <v>560</v>
      </c>
      <c r="R38" s="833"/>
      <c r="S38" s="833"/>
      <c r="T38" s="833"/>
      <c r="U38" s="833"/>
      <c r="V38" s="833"/>
      <c r="W38" s="833"/>
      <c r="X38" s="833"/>
      <c r="Y38" s="833"/>
      <c r="Z38" s="833"/>
      <c r="AA38" s="833"/>
      <c r="AB38" s="833"/>
      <c r="AC38" s="833"/>
      <c r="AD38" s="834"/>
      <c r="AE38" s="97"/>
      <c r="AG38" s="98"/>
      <c r="AH38" s="98"/>
      <c r="AI38" s="98"/>
      <c r="AJ38" s="98"/>
      <c r="AK38" s="98"/>
      <c r="AL38" s="98"/>
      <c r="AM38" s="98"/>
      <c r="AN38" s="98"/>
      <c r="AO38" s="98"/>
    </row>
    <row r="39" spans="1:41" ht="200.65" customHeight="1" x14ac:dyDescent="0.25">
      <c r="A39" s="755"/>
      <c r="B39" s="835"/>
      <c r="C39" s="335" t="s">
        <v>63</v>
      </c>
      <c r="D39" s="322">
        <v>0.08</v>
      </c>
      <c r="E39" s="322">
        <v>0.09</v>
      </c>
      <c r="F39" s="322">
        <v>0.09</v>
      </c>
      <c r="G39" s="322">
        <v>0.09</v>
      </c>
      <c r="H39" s="322">
        <v>0.09</v>
      </c>
      <c r="I39" s="322">
        <v>0.08</v>
      </c>
      <c r="J39" s="322">
        <v>0.08</v>
      </c>
      <c r="K39" s="322">
        <v>0.08</v>
      </c>
      <c r="L39" s="322">
        <v>0.08</v>
      </c>
      <c r="M39" s="322">
        <v>0.08</v>
      </c>
      <c r="N39" s="322">
        <v>0.06</v>
      </c>
      <c r="O39" s="322"/>
      <c r="P39" s="323">
        <f t="shared" si="2"/>
        <v>0.89999999999999969</v>
      </c>
      <c r="Q39" s="827"/>
      <c r="R39" s="828"/>
      <c r="S39" s="828"/>
      <c r="T39" s="828"/>
      <c r="U39" s="828"/>
      <c r="V39" s="828"/>
      <c r="W39" s="828"/>
      <c r="X39" s="828"/>
      <c r="Y39" s="828"/>
      <c r="Z39" s="828"/>
      <c r="AA39" s="828"/>
      <c r="AB39" s="828"/>
      <c r="AC39" s="828"/>
      <c r="AD39" s="829"/>
      <c r="AE39" s="97"/>
    </row>
    <row r="40" spans="1:41" ht="69.400000000000006" customHeight="1" x14ac:dyDescent="0.25">
      <c r="A40" s="755" t="s">
        <v>125</v>
      </c>
      <c r="B40" s="754">
        <v>0.1</v>
      </c>
      <c r="C40" s="337" t="s">
        <v>62</v>
      </c>
      <c r="D40" s="310">
        <v>0.08</v>
      </c>
      <c r="E40" s="310">
        <v>0.09</v>
      </c>
      <c r="F40" s="310">
        <v>0.09</v>
      </c>
      <c r="G40" s="310">
        <v>0.09</v>
      </c>
      <c r="H40" s="310">
        <v>0.09</v>
      </c>
      <c r="I40" s="310">
        <v>0.08</v>
      </c>
      <c r="J40" s="310">
        <v>0.08</v>
      </c>
      <c r="K40" s="310">
        <v>0.08</v>
      </c>
      <c r="L40" s="310">
        <v>0.08</v>
      </c>
      <c r="M40" s="310">
        <v>0.08</v>
      </c>
      <c r="N40" s="310">
        <v>0.08</v>
      </c>
      <c r="O40" s="310">
        <v>0.08</v>
      </c>
      <c r="P40" s="323">
        <f t="shared" si="2"/>
        <v>0.99999999999999967</v>
      </c>
      <c r="Q40" s="820" t="s">
        <v>561</v>
      </c>
      <c r="R40" s="821"/>
      <c r="S40" s="821"/>
      <c r="T40" s="821"/>
      <c r="U40" s="821"/>
      <c r="V40" s="821"/>
      <c r="W40" s="821"/>
      <c r="X40" s="821"/>
      <c r="Y40" s="821"/>
      <c r="Z40" s="821"/>
      <c r="AA40" s="821"/>
      <c r="AB40" s="821"/>
      <c r="AC40" s="821"/>
      <c r="AD40" s="822"/>
      <c r="AE40" s="97"/>
    </row>
    <row r="41" spans="1:41" ht="69.400000000000006" customHeight="1" x14ac:dyDescent="0.25">
      <c r="A41" s="755"/>
      <c r="B41" s="754"/>
      <c r="C41" s="335" t="s">
        <v>63</v>
      </c>
      <c r="D41" s="322">
        <v>0.08</v>
      </c>
      <c r="E41" s="322">
        <v>0.09</v>
      </c>
      <c r="F41" s="322">
        <v>0.09</v>
      </c>
      <c r="G41" s="322">
        <v>0.09</v>
      </c>
      <c r="H41" s="322">
        <v>0.09</v>
      </c>
      <c r="I41" s="322">
        <v>0.08</v>
      </c>
      <c r="J41" s="322">
        <v>0.08</v>
      </c>
      <c r="K41" s="322">
        <v>0.08</v>
      </c>
      <c r="L41" s="326">
        <v>0.08</v>
      </c>
      <c r="M41" s="326">
        <v>0.08</v>
      </c>
      <c r="N41" s="326">
        <v>0.08</v>
      </c>
      <c r="O41" s="326"/>
      <c r="P41" s="323">
        <f t="shared" si="2"/>
        <v>0.91999999999999971</v>
      </c>
      <c r="Q41" s="823"/>
      <c r="R41" s="824"/>
      <c r="S41" s="824"/>
      <c r="T41" s="824"/>
      <c r="U41" s="824"/>
      <c r="V41" s="824"/>
      <c r="W41" s="824"/>
      <c r="X41" s="824"/>
      <c r="Y41" s="824"/>
      <c r="Z41" s="824"/>
      <c r="AA41" s="824"/>
      <c r="AB41" s="824"/>
      <c r="AC41" s="824"/>
      <c r="AD41" s="825"/>
      <c r="AE41" s="97"/>
    </row>
    <row r="42" spans="1:41" ht="96.4" customHeight="1" x14ac:dyDescent="0.25">
      <c r="A42" s="755" t="s">
        <v>126</v>
      </c>
      <c r="B42" s="754">
        <v>0.1</v>
      </c>
      <c r="C42" s="337" t="s">
        <v>62</v>
      </c>
      <c r="D42" s="310">
        <v>0.08</v>
      </c>
      <c r="E42" s="310">
        <v>0.09</v>
      </c>
      <c r="F42" s="310">
        <v>0.09</v>
      </c>
      <c r="G42" s="310">
        <v>0.09</v>
      </c>
      <c r="H42" s="310">
        <v>0.09</v>
      </c>
      <c r="I42" s="310">
        <v>0.08</v>
      </c>
      <c r="J42" s="310">
        <v>0.08</v>
      </c>
      <c r="K42" s="310">
        <v>0.08</v>
      </c>
      <c r="L42" s="310">
        <v>0.08</v>
      </c>
      <c r="M42" s="310">
        <v>0.08</v>
      </c>
      <c r="N42" s="310">
        <v>0.08</v>
      </c>
      <c r="O42" s="310">
        <v>0.08</v>
      </c>
      <c r="P42" s="323">
        <f t="shared" si="2"/>
        <v>0.99999999999999967</v>
      </c>
      <c r="Q42" s="826" t="s">
        <v>562</v>
      </c>
      <c r="R42" s="815"/>
      <c r="S42" s="815"/>
      <c r="T42" s="815"/>
      <c r="U42" s="815"/>
      <c r="V42" s="815"/>
      <c r="W42" s="815"/>
      <c r="X42" s="815"/>
      <c r="Y42" s="815"/>
      <c r="Z42" s="815"/>
      <c r="AA42" s="815"/>
      <c r="AB42" s="815"/>
      <c r="AC42" s="815"/>
      <c r="AD42" s="816"/>
      <c r="AE42" s="97"/>
    </row>
    <row r="43" spans="1:41" ht="96.4" customHeight="1" x14ac:dyDescent="0.25">
      <c r="A43" s="755"/>
      <c r="B43" s="754"/>
      <c r="C43" s="335" t="s">
        <v>63</v>
      </c>
      <c r="D43" s="322">
        <v>0.08</v>
      </c>
      <c r="E43" s="322">
        <v>0.09</v>
      </c>
      <c r="F43" s="322">
        <v>0.09</v>
      </c>
      <c r="G43" s="322">
        <v>0.09</v>
      </c>
      <c r="H43" s="322">
        <v>0.09</v>
      </c>
      <c r="I43" s="322">
        <v>0.08</v>
      </c>
      <c r="J43" s="322">
        <v>0.08</v>
      </c>
      <c r="K43" s="322">
        <v>0.08</v>
      </c>
      <c r="L43" s="326">
        <v>0.08</v>
      </c>
      <c r="M43" s="326">
        <v>0.08</v>
      </c>
      <c r="N43" s="326">
        <v>0.08</v>
      </c>
      <c r="O43" s="326"/>
      <c r="P43" s="323">
        <f t="shared" si="2"/>
        <v>0.91999999999999971</v>
      </c>
      <c r="Q43" s="827"/>
      <c r="R43" s="828"/>
      <c r="S43" s="828"/>
      <c r="T43" s="828"/>
      <c r="U43" s="828"/>
      <c r="V43" s="828"/>
      <c r="W43" s="828"/>
      <c r="X43" s="828"/>
      <c r="Y43" s="828"/>
      <c r="Z43" s="828"/>
      <c r="AA43" s="828"/>
      <c r="AB43" s="828"/>
      <c r="AC43" s="828"/>
      <c r="AD43" s="829"/>
      <c r="AE43" s="97"/>
    </row>
    <row r="44" spans="1:41" ht="69.400000000000006" customHeight="1" x14ac:dyDescent="0.25">
      <c r="A44" s="755" t="s">
        <v>127</v>
      </c>
      <c r="B44" s="754">
        <v>0.02</v>
      </c>
      <c r="C44" s="337" t="s">
        <v>62</v>
      </c>
      <c r="D44" s="350">
        <v>0.02</v>
      </c>
      <c r="E44" s="350">
        <v>0.1</v>
      </c>
      <c r="F44" s="350">
        <v>0.1</v>
      </c>
      <c r="G44" s="350">
        <v>0.1</v>
      </c>
      <c r="H44" s="350">
        <v>0.1</v>
      </c>
      <c r="I44" s="350">
        <v>0.09</v>
      </c>
      <c r="J44" s="350">
        <v>0.09</v>
      </c>
      <c r="K44" s="350">
        <v>0.09</v>
      </c>
      <c r="L44" s="350">
        <v>0.09</v>
      </c>
      <c r="M44" s="350">
        <v>0.09</v>
      </c>
      <c r="N44" s="350">
        <v>0.09</v>
      </c>
      <c r="O44" s="350">
        <v>0.04</v>
      </c>
      <c r="P44" s="323">
        <f t="shared" si="2"/>
        <v>0.99999999999999989</v>
      </c>
      <c r="Q44" s="814" t="s">
        <v>563</v>
      </c>
      <c r="R44" s="815"/>
      <c r="S44" s="815"/>
      <c r="T44" s="815"/>
      <c r="U44" s="815"/>
      <c r="V44" s="815"/>
      <c r="W44" s="815"/>
      <c r="X44" s="815"/>
      <c r="Y44" s="815"/>
      <c r="Z44" s="815"/>
      <c r="AA44" s="815"/>
      <c r="AB44" s="815"/>
      <c r="AC44" s="815"/>
      <c r="AD44" s="816"/>
      <c r="AE44" s="97"/>
    </row>
    <row r="45" spans="1:41" ht="95.25" customHeight="1" thickBot="1" x14ac:dyDescent="0.3">
      <c r="A45" s="830"/>
      <c r="B45" s="792"/>
      <c r="C45" s="340" t="s">
        <v>63</v>
      </c>
      <c r="D45" s="327">
        <v>0</v>
      </c>
      <c r="E45" s="327">
        <v>0.03</v>
      </c>
      <c r="F45" s="327">
        <v>0.1</v>
      </c>
      <c r="G45" s="327">
        <v>0.14000000000000001</v>
      </c>
      <c r="H45" s="327">
        <v>0.14000000000000001</v>
      </c>
      <c r="I45" s="327">
        <v>0.1</v>
      </c>
      <c r="J45" s="327">
        <v>0.09</v>
      </c>
      <c r="K45" s="327">
        <v>0.09</v>
      </c>
      <c r="L45" s="327">
        <v>0.09</v>
      </c>
      <c r="M45" s="327">
        <v>0.09</v>
      </c>
      <c r="N45" s="327">
        <v>0.09</v>
      </c>
      <c r="O45" s="327"/>
      <c r="P45" s="329">
        <f t="shared" si="2"/>
        <v>0.95999999999999985</v>
      </c>
      <c r="Q45" s="817"/>
      <c r="R45" s="818"/>
      <c r="S45" s="818"/>
      <c r="T45" s="818"/>
      <c r="U45" s="818"/>
      <c r="V45" s="818"/>
      <c r="W45" s="818"/>
      <c r="X45" s="818"/>
      <c r="Y45" s="818"/>
      <c r="Z45" s="818"/>
      <c r="AA45" s="818"/>
      <c r="AB45" s="818"/>
      <c r="AC45" s="818"/>
      <c r="AD45" s="819"/>
      <c r="AE45" s="97"/>
    </row>
    <row r="46" spans="1:41" x14ac:dyDescent="0.25">
      <c r="A46" s="194" t="s">
        <v>89</v>
      </c>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hidden="1" x14ac:dyDescent="0.25">
      <c r="A53" s="194"/>
      <c r="Q53" s="194"/>
      <c r="R53" s="194"/>
      <c r="S53" s="194"/>
      <c r="T53" s="194"/>
      <c r="U53" s="194"/>
      <c r="V53" s="194"/>
      <c r="W53" s="194"/>
      <c r="X53" s="194"/>
      <c r="Y53" s="194"/>
      <c r="Z53" s="194"/>
      <c r="AA53" s="194"/>
      <c r="AB53" s="194"/>
      <c r="AC53" s="194"/>
      <c r="AD53" s="194"/>
    </row>
    <row r="54" spans="1:30" ht="15.75" hidden="1" thickBot="1" x14ac:dyDescent="0.3">
      <c r="A54" s="194"/>
      <c r="Q54" s="194"/>
      <c r="R54" s="194"/>
      <c r="S54" s="194"/>
      <c r="T54" s="194"/>
      <c r="U54" s="194"/>
      <c r="V54" s="194"/>
      <c r="W54" s="194"/>
      <c r="X54" s="194"/>
      <c r="Y54" s="194"/>
      <c r="Z54" s="194"/>
      <c r="AA54" s="194"/>
      <c r="AB54" s="194"/>
      <c r="AC54" s="194"/>
      <c r="AD54" s="194"/>
    </row>
    <row r="55" spans="1:30" hidden="1" x14ac:dyDescent="0.25">
      <c r="A55" s="806" t="s">
        <v>90</v>
      </c>
      <c r="B55" s="808" t="s">
        <v>65</v>
      </c>
      <c r="C55" s="809" t="s">
        <v>66</v>
      </c>
      <c r="D55" s="810"/>
      <c r="E55" s="810"/>
      <c r="F55" s="810"/>
      <c r="G55" s="810"/>
      <c r="H55" s="810"/>
      <c r="I55" s="810"/>
      <c r="J55" s="810"/>
      <c r="K55" s="810"/>
      <c r="L55" s="810"/>
      <c r="M55" s="810"/>
      <c r="N55" s="810"/>
      <c r="O55" s="810"/>
      <c r="P55" s="811"/>
      <c r="Q55" s="195"/>
      <c r="R55" s="195"/>
      <c r="S55" s="194"/>
      <c r="T55" s="194"/>
      <c r="U55" s="194"/>
      <c r="V55" s="194"/>
      <c r="W55" s="194"/>
      <c r="X55" s="194"/>
      <c r="Y55" s="194"/>
      <c r="Z55" s="194"/>
      <c r="AA55" s="194"/>
      <c r="AB55" s="194"/>
      <c r="AC55" s="194"/>
      <c r="AD55" s="194"/>
    </row>
    <row r="56" spans="1:30" ht="21" hidden="1" x14ac:dyDescent="0.25">
      <c r="A56" s="807"/>
      <c r="B56" s="750"/>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88" t="s">
        <v>81</v>
      </c>
      <c r="Q56" s="195"/>
      <c r="R56" s="195"/>
      <c r="S56" s="194"/>
      <c r="T56" s="194"/>
      <c r="U56" s="194"/>
      <c r="V56" s="194"/>
      <c r="W56" s="194"/>
      <c r="X56" s="194"/>
      <c r="Y56" s="194"/>
      <c r="Z56" s="194"/>
      <c r="AA56" s="194"/>
      <c r="AB56" s="194"/>
      <c r="AC56" s="194"/>
      <c r="AD56" s="194"/>
    </row>
    <row r="57" spans="1:30" ht="18" hidden="1" customHeight="1" x14ac:dyDescent="0.25">
      <c r="A57" s="801" t="str">
        <f>A38</f>
        <v>17. Realizar atenciones en intervención de trabajo  social que comprenden plan de intervención, valoraciones iniciales, intervenciones y seguimiento a mujeres que realizan actividades sexuales pagadas.</v>
      </c>
      <c r="B57" s="406">
        <f>B38</f>
        <v>0.1</v>
      </c>
      <c r="C57" s="176" t="s">
        <v>62</v>
      </c>
      <c r="D57" s="175">
        <f>D38*$B$38/$P$38</f>
        <v>8.0000000000000036E-3</v>
      </c>
      <c r="E57" s="175">
        <f t="shared" ref="D57:O58" si="3">E38*$B$38/$P$38</f>
        <v>9.0000000000000028E-3</v>
      </c>
      <c r="F57" s="175">
        <f t="shared" si="3"/>
        <v>9.0000000000000028E-3</v>
      </c>
      <c r="G57" s="175">
        <f t="shared" si="3"/>
        <v>9.0000000000000028E-3</v>
      </c>
      <c r="H57" s="175">
        <f t="shared" si="3"/>
        <v>9.0000000000000028E-3</v>
      </c>
      <c r="I57" s="175">
        <f t="shared" si="3"/>
        <v>8.0000000000000036E-3</v>
      </c>
      <c r="J57" s="175">
        <f t="shared" si="3"/>
        <v>8.0000000000000036E-3</v>
      </c>
      <c r="K57" s="175">
        <f t="shared" si="3"/>
        <v>8.0000000000000036E-3</v>
      </c>
      <c r="L57" s="175">
        <f t="shared" si="3"/>
        <v>8.0000000000000036E-3</v>
      </c>
      <c r="M57" s="175">
        <f t="shared" si="3"/>
        <v>8.0000000000000036E-3</v>
      </c>
      <c r="N57" s="175">
        <f t="shared" si="3"/>
        <v>8.0000000000000036E-3</v>
      </c>
      <c r="O57" s="175">
        <f t="shared" si="3"/>
        <v>8.0000000000000036E-3</v>
      </c>
      <c r="P57" s="189">
        <f t="shared" ref="P57:P64" si="4">SUM(D57:O57)</f>
        <v>0.10000000000000006</v>
      </c>
      <c r="Q57" s="197">
        <v>0.05</v>
      </c>
      <c r="R57" s="198">
        <f t="shared" ref="R57:R71" si="5">+P57-Q57</f>
        <v>5.0000000000000058E-2</v>
      </c>
      <c r="S57" s="194"/>
      <c r="T57" s="194"/>
      <c r="U57" s="194"/>
      <c r="V57" s="194"/>
      <c r="W57" s="194"/>
      <c r="X57" s="194"/>
      <c r="Y57" s="194"/>
      <c r="Z57" s="194"/>
      <c r="AA57" s="194"/>
      <c r="AB57" s="194"/>
      <c r="AC57" s="194"/>
      <c r="AD57" s="194"/>
    </row>
    <row r="58" spans="1:30" ht="18" hidden="1" customHeight="1" x14ac:dyDescent="0.25">
      <c r="A58" s="812"/>
      <c r="B58" s="813"/>
      <c r="C58" s="173" t="s">
        <v>63</v>
      </c>
      <c r="D58" s="172">
        <f t="shared" si="3"/>
        <v>8.0000000000000036E-3</v>
      </c>
      <c r="E58" s="172">
        <f t="shared" si="3"/>
        <v>9.0000000000000028E-3</v>
      </c>
      <c r="F58" s="172">
        <f t="shared" si="3"/>
        <v>9.0000000000000028E-3</v>
      </c>
      <c r="G58" s="172">
        <f t="shared" si="3"/>
        <v>9.0000000000000028E-3</v>
      </c>
      <c r="H58" s="172">
        <f t="shared" si="3"/>
        <v>9.0000000000000028E-3</v>
      </c>
      <c r="I58" s="172">
        <f t="shared" si="3"/>
        <v>8.0000000000000036E-3</v>
      </c>
      <c r="J58" s="172">
        <f t="shared" si="3"/>
        <v>8.0000000000000036E-3</v>
      </c>
      <c r="K58" s="172">
        <f t="shared" si="3"/>
        <v>8.0000000000000036E-3</v>
      </c>
      <c r="L58" s="172">
        <f t="shared" si="3"/>
        <v>8.0000000000000036E-3</v>
      </c>
      <c r="M58" s="172">
        <f t="shared" si="3"/>
        <v>8.0000000000000036E-3</v>
      </c>
      <c r="N58" s="172">
        <f t="shared" si="3"/>
        <v>6.0000000000000019E-3</v>
      </c>
      <c r="O58" s="172">
        <f t="shared" si="3"/>
        <v>0</v>
      </c>
      <c r="P58" s="190">
        <f t="shared" si="4"/>
        <v>9.0000000000000052E-2</v>
      </c>
      <c r="Q58" s="199">
        <f>+P58</f>
        <v>9.0000000000000052E-2</v>
      </c>
      <c r="R58" s="198">
        <f t="shared" si="5"/>
        <v>0</v>
      </c>
      <c r="S58" s="194"/>
      <c r="T58" s="194"/>
      <c r="U58" s="194"/>
      <c r="V58" s="194"/>
      <c r="W58" s="194"/>
      <c r="X58" s="194"/>
      <c r="Y58" s="194"/>
      <c r="Z58" s="194"/>
      <c r="AA58" s="194"/>
      <c r="AB58" s="194"/>
      <c r="AC58" s="194"/>
      <c r="AD58" s="194"/>
    </row>
    <row r="59" spans="1:30" ht="18" hidden="1" customHeight="1" x14ac:dyDescent="0.25">
      <c r="A59" s="801" t="str">
        <f>A40</f>
        <v>18.  Realizar atenciones psicosociales  (valoraciones iniciales, asesoría y seguimientos) a mujeres que realizan actividades sexuales pagadas y sus familias</v>
      </c>
      <c r="B59" s="386">
        <f>B40</f>
        <v>0.1</v>
      </c>
      <c r="C59" s="176" t="s">
        <v>62</v>
      </c>
      <c r="D59" s="175">
        <f t="shared" ref="D59:O60" si="6">D40*$B$40/$P$40</f>
        <v>8.0000000000000036E-3</v>
      </c>
      <c r="E59" s="175">
        <f t="shared" si="6"/>
        <v>9.0000000000000028E-3</v>
      </c>
      <c r="F59" s="175">
        <f t="shared" si="6"/>
        <v>9.0000000000000028E-3</v>
      </c>
      <c r="G59" s="175">
        <f t="shared" si="6"/>
        <v>9.0000000000000028E-3</v>
      </c>
      <c r="H59" s="175">
        <f t="shared" si="6"/>
        <v>9.0000000000000028E-3</v>
      </c>
      <c r="I59" s="175">
        <f t="shared" si="6"/>
        <v>8.0000000000000036E-3</v>
      </c>
      <c r="J59" s="175">
        <f t="shared" si="6"/>
        <v>8.0000000000000036E-3</v>
      </c>
      <c r="K59" s="175">
        <f t="shared" si="6"/>
        <v>8.0000000000000036E-3</v>
      </c>
      <c r="L59" s="175">
        <f t="shared" si="6"/>
        <v>8.0000000000000036E-3</v>
      </c>
      <c r="M59" s="175">
        <f t="shared" si="6"/>
        <v>8.0000000000000036E-3</v>
      </c>
      <c r="N59" s="175">
        <f t="shared" si="6"/>
        <v>8.0000000000000036E-3</v>
      </c>
      <c r="O59" s="175">
        <f t="shared" si="6"/>
        <v>8.0000000000000036E-3</v>
      </c>
      <c r="P59" s="189">
        <f t="shared" si="4"/>
        <v>0.10000000000000006</v>
      </c>
      <c r="Q59" s="197">
        <v>2.5000000000000001E-2</v>
      </c>
      <c r="R59" s="198">
        <f t="shared" si="5"/>
        <v>7.5000000000000067E-2</v>
      </c>
      <c r="S59" s="194"/>
      <c r="T59" s="194"/>
      <c r="U59" s="194"/>
      <c r="V59" s="194"/>
      <c r="W59" s="194"/>
      <c r="X59" s="194"/>
      <c r="Y59" s="194"/>
      <c r="Z59" s="194"/>
      <c r="AA59" s="194"/>
      <c r="AB59" s="194"/>
      <c r="AC59" s="194"/>
      <c r="AD59" s="194"/>
    </row>
    <row r="60" spans="1:30" ht="18" hidden="1" customHeight="1" x14ac:dyDescent="0.25">
      <c r="A60" s="802"/>
      <c r="B60" s="803"/>
      <c r="C60" s="173" t="s">
        <v>63</v>
      </c>
      <c r="D60" s="172">
        <f t="shared" si="6"/>
        <v>8.0000000000000036E-3</v>
      </c>
      <c r="E60" s="172">
        <f t="shared" si="6"/>
        <v>9.0000000000000028E-3</v>
      </c>
      <c r="F60" s="172">
        <f t="shared" si="6"/>
        <v>9.0000000000000028E-3</v>
      </c>
      <c r="G60" s="172">
        <f t="shared" si="6"/>
        <v>9.0000000000000028E-3</v>
      </c>
      <c r="H60" s="172">
        <f t="shared" si="6"/>
        <v>9.0000000000000028E-3</v>
      </c>
      <c r="I60" s="172">
        <f t="shared" si="6"/>
        <v>8.0000000000000036E-3</v>
      </c>
      <c r="J60" s="172">
        <f t="shared" si="6"/>
        <v>8.0000000000000036E-3</v>
      </c>
      <c r="K60" s="172">
        <f t="shared" si="6"/>
        <v>8.0000000000000036E-3</v>
      </c>
      <c r="L60" s="172">
        <f t="shared" si="6"/>
        <v>8.0000000000000036E-3</v>
      </c>
      <c r="M60" s="172">
        <f t="shared" si="6"/>
        <v>8.0000000000000036E-3</v>
      </c>
      <c r="N60" s="172">
        <f t="shared" si="6"/>
        <v>8.0000000000000036E-3</v>
      </c>
      <c r="O60" s="172">
        <f t="shared" si="6"/>
        <v>0</v>
      </c>
      <c r="P60" s="190">
        <f t="shared" si="4"/>
        <v>9.2000000000000054E-2</v>
      </c>
      <c r="Q60" s="199">
        <f>+P60</f>
        <v>9.2000000000000054E-2</v>
      </c>
      <c r="R60" s="198">
        <f t="shared" si="5"/>
        <v>0</v>
      </c>
      <c r="S60" s="194"/>
      <c r="T60" s="194"/>
      <c r="U60" s="194"/>
      <c r="V60" s="194"/>
      <c r="W60" s="194"/>
      <c r="X60" s="194"/>
      <c r="Y60" s="194"/>
      <c r="Z60" s="194"/>
      <c r="AA60" s="194"/>
      <c r="AB60" s="194"/>
      <c r="AC60" s="194"/>
      <c r="AD60" s="194"/>
    </row>
    <row r="61" spans="1:30" ht="18" hidden="1" customHeight="1" x14ac:dyDescent="0.25">
      <c r="A61" s="801"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386">
        <f>B42</f>
        <v>0.1</v>
      </c>
      <c r="C61" s="176" t="s">
        <v>62</v>
      </c>
      <c r="D61" s="175">
        <f t="shared" ref="D61:O62" si="7">D42*$B$42/$P$42</f>
        <v>8.0000000000000036E-3</v>
      </c>
      <c r="E61" s="175">
        <f t="shared" si="7"/>
        <v>9.0000000000000028E-3</v>
      </c>
      <c r="F61" s="175">
        <f t="shared" si="7"/>
        <v>9.0000000000000028E-3</v>
      </c>
      <c r="G61" s="175">
        <f t="shared" si="7"/>
        <v>9.0000000000000028E-3</v>
      </c>
      <c r="H61" s="175">
        <f t="shared" si="7"/>
        <v>9.0000000000000028E-3</v>
      </c>
      <c r="I61" s="175">
        <f t="shared" si="7"/>
        <v>8.0000000000000036E-3</v>
      </c>
      <c r="J61" s="175">
        <f t="shared" si="7"/>
        <v>8.0000000000000036E-3</v>
      </c>
      <c r="K61" s="175">
        <f t="shared" si="7"/>
        <v>8.0000000000000036E-3</v>
      </c>
      <c r="L61" s="175">
        <f t="shared" si="7"/>
        <v>8.0000000000000036E-3</v>
      </c>
      <c r="M61" s="175">
        <f t="shared" si="7"/>
        <v>8.0000000000000036E-3</v>
      </c>
      <c r="N61" s="175">
        <f t="shared" si="7"/>
        <v>8.0000000000000036E-3</v>
      </c>
      <c r="O61" s="175">
        <f t="shared" si="7"/>
        <v>8.0000000000000036E-3</v>
      </c>
      <c r="P61" s="189">
        <f t="shared" si="4"/>
        <v>0.10000000000000006</v>
      </c>
      <c r="Q61" s="197">
        <v>2.5000000000000001E-2</v>
      </c>
      <c r="R61" s="198">
        <f t="shared" si="5"/>
        <v>7.5000000000000067E-2</v>
      </c>
      <c r="S61" s="194"/>
      <c r="T61" s="194"/>
      <c r="U61" s="194"/>
      <c r="V61" s="194"/>
      <c r="W61" s="194"/>
      <c r="X61" s="194"/>
      <c r="Y61" s="194"/>
      <c r="Z61" s="194"/>
      <c r="AA61" s="194"/>
      <c r="AB61" s="194"/>
      <c r="AC61" s="194"/>
      <c r="AD61" s="194"/>
    </row>
    <row r="62" spans="1:30" ht="18" hidden="1" customHeight="1" x14ac:dyDescent="0.25">
      <c r="A62" s="802"/>
      <c r="B62" s="803"/>
      <c r="C62" s="173" t="s">
        <v>63</v>
      </c>
      <c r="D62" s="172">
        <f t="shared" si="7"/>
        <v>8.0000000000000036E-3</v>
      </c>
      <c r="E62" s="172">
        <f t="shared" si="7"/>
        <v>9.0000000000000028E-3</v>
      </c>
      <c r="F62" s="172">
        <f t="shared" si="7"/>
        <v>9.0000000000000028E-3</v>
      </c>
      <c r="G62" s="172">
        <f t="shared" si="7"/>
        <v>9.0000000000000028E-3</v>
      </c>
      <c r="H62" s="172">
        <f t="shared" si="7"/>
        <v>9.0000000000000028E-3</v>
      </c>
      <c r="I62" s="172">
        <f t="shared" si="7"/>
        <v>8.0000000000000036E-3</v>
      </c>
      <c r="J62" s="172">
        <f t="shared" si="7"/>
        <v>8.0000000000000036E-3</v>
      </c>
      <c r="K62" s="172">
        <f t="shared" si="7"/>
        <v>8.0000000000000036E-3</v>
      </c>
      <c r="L62" s="172">
        <f t="shared" si="7"/>
        <v>8.0000000000000036E-3</v>
      </c>
      <c r="M62" s="172">
        <f t="shared" si="7"/>
        <v>8.0000000000000036E-3</v>
      </c>
      <c r="N62" s="172">
        <f t="shared" si="7"/>
        <v>8.0000000000000036E-3</v>
      </c>
      <c r="O62" s="172">
        <f t="shared" si="7"/>
        <v>0</v>
      </c>
      <c r="P62" s="190">
        <f t="shared" si="4"/>
        <v>9.2000000000000054E-2</v>
      </c>
      <c r="Q62" s="199">
        <f>+P62</f>
        <v>9.2000000000000054E-2</v>
      </c>
      <c r="R62" s="198">
        <f t="shared" si="5"/>
        <v>0</v>
      </c>
      <c r="S62" s="194"/>
      <c r="T62" s="194"/>
      <c r="U62" s="194"/>
      <c r="V62" s="194"/>
      <c r="W62" s="194"/>
      <c r="X62" s="194"/>
      <c r="Y62" s="194"/>
      <c r="Z62" s="194"/>
      <c r="AA62" s="194"/>
      <c r="AB62" s="194"/>
      <c r="AC62" s="194"/>
      <c r="AD62" s="194"/>
    </row>
    <row r="63" spans="1:30" ht="18" hidden="1" customHeight="1" x14ac:dyDescent="0.25">
      <c r="A63" s="801" t="str">
        <f>A44</f>
        <v>20. Generar información de los sitios, dinámicas y contextos de las actividades sexuales pagadas en Bogotá</v>
      </c>
      <c r="B63" s="386">
        <f>B44</f>
        <v>0.02</v>
      </c>
      <c r="C63" s="176" t="s">
        <v>62</v>
      </c>
      <c r="D63" s="175">
        <f t="shared" ref="D63:O64" si="8">D44*$B$44/$P$44</f>
        <v>4.0000000000000007E-4</v>
      </c>
      <c r="E63" s="175">
        <f t="shared" si="8"/>
        <v>2.0000000000000005E-3</v>
      </c>
      <c r="F63" s="175">
        <f t="shared" si="8"/>
        <v>2.0000000000000005E-3</v>
      </c>
      <c r="G63" s="175">
        <f t="shared" si="8"/>
        <v>2.0000000000000005E-3</v>
      </c>
      <c r="H63" s="175">
        <f t="shared" si="8"/>
        <v>2.0000000000000005E-3</v>
      </c>
      <c r="I63" s="175">
        <f t="shared" si="8"/>
        <v>1.8000000000000002E-3</v>
      </c>
      <c r="J63" s="175">
        <f t="shared" si="8"/>
        <v>1.8000000000000002E-3</v>
      </c>
      <c r="K63" s="175">
        <f t="shared" si="8"/>
        <v>1.8000000000000002E-3</v>
      </c>
      <c r="L63" s="175">
        <f t="shared" si="8"/>
        <v>1.8000000000000002E-3</v>
      </c>
      <c r="M63" s="175">
        <f t="shared" si="8"/>
        <v>1.8000000000000002E-3</v>
      </c>
      <c r="N63" s="175">
        <f t="shared" si="8"/>
        <v>1.8000000000000002E-3</v>
      </c>
      <c r="O63" s="175">
        <f t="shared" si="8"/>
        <v>8.0000000000000015E-4</v>
      </c>
      <c r="P63" s="189">
        <f t="shared" si="4"/>
        <v>1.9999999999999997E-2</v>
      </c>
      <c r="Q63" s="197">
        <v>0.02</v>
      </c>
      <c r="R63" s="198">
        <f t="shared" si="5"/>
        <v>0</v>
      </c>
      <c r="S63" s="194"/>
      <c r="T63" s="194"/>
      <c r="U63" s="194"/>
      <c r="V63" s="194"/>
      <c r="W63" s="194"/>
      <c r="X63" s="194"/>
      <c r="Y63" s="194"/>
      <c r="Z63" s="194"/>
      <c r="AA63" s="194"/>
      <c r="AB63" s="194"/>
      <c r="AC63" s="194"/>
      <c r="AD63" s="194"/>
    </row>
    <row r="64" spans="1:30" ht="18" hidden="1" customHeight="1" thickBot="1" x14ac:dyDescent="0.3">
      <c r="A64" s="804"/>
      <c r="B64" s="805"/>
      <c r="C64" s="191" t="s">
        <v>63</v>
      </c>
      <c r="D64" s="192">
        <f t="shared" si="8"/>
        <v>0</v>
      </c>
      <c r="E64" s="192">
        <f t="shared" si="8"/>
        <v>6.0000000000000006E-4</v>
      </c>
      <c r="F64" s="192">
        <f t="shared" si="8"/>
        <v>2.0000000000000005E-3</v>
      </c>
      <c r="G64" s="192">
        <f t="shared" si="8"/>
        <v>2.8000000000000008E-3</v>
      </c>
      <c r="H64" s="192">
        <f t="shared" si="8"/>
        <v>2.8000000000000008E-3</v>
      </c>
      <c r="I64" s="192">
        <f t="shared" si="8"/>
        <v>2.0000000000000005E-3</v>
      </c>
      <c r="J64" s="192">
        <f t="shared" si="8"/>
        <v>1.8000000000000002E-3</v>
      </c>
      <c r="K64" s="192">
        <f t="shared" si="8"/>
        <v>1.8000000000000002E-3</v>
      </c>
      <c r="L64" s="192">
        <f t="shared" si="8"/>
        <v>1.8000000000000002E-3</v>
      </c>
      <c r="M64" s="192">
        <f t="shared" si="8"/>
        <v>1.8000000000000002E-3</v>
      </c>
      <c r="N64" s="192">
        <f t="shared" si="8"/>
        <v>1.8000000000000002E-3</v>
      </c>
      <c r="O64" s="192">
        <f t="shared" si="8"/>
        <v>0</v>
      </c>
      <c r="P64" s="193">
        <f t="shared" si="4"/>
        <v>1.9200000000000002E-2</v>
      </c>
      <c r="Q64" s="199">
        <f>+P64</f>
        <v>1.9200000000000002E-2</v>
      </c>
      <c r="R64" s="198">
        <f t="shared" si="5"/>
        <v>0</v>
      </c>
      <c r="S64" s="194"/>
      <c r="T64" s="194"/>
      <c r="U64" s="194"/>
      <c r="V64" s="194"/>
      <c r="W64" s="194"/>
      <c r="X64" s="194"/>
      <c r="Y64" s="194"/>
      <c r="Z64" s="194"/>
      <c r="AA64" s="194"/>
      <c r="AB64" s="194"/>
      <c r="AC64" s="194"/>
      <c r="AD64" s="194"/>
    </row>
    <row r="65" spans="1:30" hidden="1" x14ac:dyDescent="0.25">
      <c r="A65" s="388"/>
      <c r="B65" s="389"/>
      <c r="C65" s="184"/>
      <c r="D65" s="175"/>
      <c r="E65" s="175"/>
      <c r="F65" s="175"/>
      <c r="G65" s="175"/>
      <c r="H65" s="175"/>
      <c r="I65" s="175"/>
      <c r="J65" s="175"/>
      <c r="K65" s="175"/>
      <c r="L65" s="175"/>
      <c r="M65" s="175"/>
      <c r="N65" s="175"/>
      <c r="O65" s="175"/>
      <c r="P65" s="185"/>
      <c r="Q65" s="197">
        <v>0.02</v>
      </c>
      <c r="R65" s="198">
        <f t="shared" si="5"/>
        <v>-0.02</v>
      </c>
      <c r="S65" s="194"/>
      <c r="T65" s="194"/>
      <c r="U65" s="194"/>
      <c r="V65" s="194"/>
      <c r="W65" s="194"/>
      <c r="X65" s="194"/>
      <c r="Y65" s="194"/>
      <c r="Z65" s="194"/>
      <c r="AA65" s="194"/>
      <c r="AB65" s="194"/>
      <c r="AC65" s="194"/>
      <c r="AD65" s="194"/>
    </row>
    <row r="66" spans="1:30" hidden="1" x14ac:dyDescent="0.25">
      <c r="A66" s="799"/>
      <c r="B66" s="800"/>
      <c r="C66" s="184"/>
      <c r="D66" s="168"/>
      <c r="E66" s="168"/>
      <c r="F66" s="168"/>
      <c r="G66" s="168"/>
      <c r="H66" s="168"/>
      <c r="I66" s="168"/>
      <c r="J66" s="168"/>
      <c r="K66" s="168"/>
      <c r="L66" s="168"/>
      <c r="M66" s="168"/>
      <c r="N66" s="168"/>
      <c r="O66" s="168"/>
      <c r="P66" s="185"/>
      <c r="Q66" s="199">
        <f>+P66</f>
        <v>0</v>
      </c>
      <c r="R66" s="198">
        <f t="shared" si="5"/>
        <v>0</v>
      </c>
      <c r="S66" s="194"/>
      <c r="T66" s="194"/>
      <c r="U66" s="194"/>
      <c r="V66" s="194"/>
      <c r="W66" s="194"/>
      <c r="X66" s="194"/>
      <c r="Y66" s="194"/>
      <c r="Z66" s="194"/>
      <c r="AA66" s="194"/>
      <c r="AB66" s="194"/>
      <c r="AC66" s="194"/>
      <c r="AD66" s="194"/>
    </row>
    <row r="67" spans="1:30" hidden="1" x14ac:dyDescent="0.25">
      <c r="A67" s="388"/>
      <c r="B67" s="389"/>
      <c r="C67" s="184"/>
      <c r="D67" s="175"/>
      <c r="E67" s="175"/>
      <c r="F67" s="175"/>
      <c r="G67" s="175"/>
      <c r="H67" s="175"/>
      <c r="I67" s="175"/>
      <c r="J67" s="175"/>
      <c r="K67" s="175"/>
      <c r="L67" s="175"/>
      <c r="M67" s="175"/>
      <c r="N67" s="175"/>
      <c r="O67" s="175"/>
      <c r="P67" s="185"/>
      <c r="Q67" s="197">
        <v>0.02</v>
      </c>
      <c r="R67" s="198">
        <f t="shared" si="5"/>
        <v>-0.02</v>
      </c>
      <c r="S67" s="194"/>
      <c r="T67" s="194"/>
      <c r="U67" s="194"/>
      <c r="V67" s="194"/>
      <c r="W67" s="194"/>
      <c r="X67" s="194"/>
      <c r="Y67" s="194"/>
      <c r="Z67" s="194"/>
      <c r="AA67" s="194"/>
      <c r="AB67" s="194"/>
      <c r="AC67" s="194"/>
      <c r="AD67" s="194"/>
    </row>
    <row r="68" spans="1:30" hidden="1" x14ac:dyDescent="0.25">
      <c r="A68" s="799"/>
      <c r="B68" s="800"/>
      <c r="C68" s="184"/>
      <c r="D68" s="168"/>
      <c r="E68" s="168"/>
      <c r="F68" s="168"/>
      <c r="G68" s="168"/>
      <c r="H68" s="168"/>
      <c r="I68" s="168"/>
      <c r="J68" s="168"/>
      <c r="K68" s="168"/>
      <c r="L68" s="168"/>
      <c r="M68" s="168"/>
      <c r="N68" s="168"/>
      <c r="O68" s="168"/>
      <c r="P68" s="185"/>
      <c r="Q68" s="199">
        <f>+P68</f>
        <v>0</v>
      </c>
      <c r="R68" s="198">
        <f t="shared" si="5"/>
        <v>0</v>
      </c>
      <c r="S68" s="194"/>
      <c r="T68" s="194"/>
      <c r="U68" s="194"/>
      <c r="V68" s="194"/>
      <c r="W68" s="194"/>
      <c r="X68" s="194"/>
      <c r="Y68" s="194"/>
      <c r="Z68" s="194"/>
      <c r="AA68" s="194"/>
      <c r="AB68" s="194"/>
      <c r="AC68" s="194"/>
      <c r="AD68" s="194"/>
    </row>
    <row r="69" spans="1:30" hidden="1" x14ac:dyDescent="0.25">
      <c r="A69" s="388"/>
      <c r="B69" s="389"/>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25">
      <c r="A70" s="799"/>
      <c r="B70" s="800"/>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25">
      <c r="A71" s="195"/>
      <c r="B71" s="169"/>
      <c r="C71" s="170"/>
      <c r="D71" s="165">
        <f>D58+D60+D62+D64</f>
        <v>2.4000000000000011E-2</v>
      </c>
      <c r="E71" s="165">
        <f t="shared" ref="E71:O71" si="9">E58+E60+E62+E64</f>
        <v>2.760000000000001E-2</v>
      </c>
      <c r="F71" s="165">
        <f t="shared" si="9"/>
        <v>2.9000000000000012E-2</v>
      </c>
      <c r="G71" s="165">
        <f t="shared" si="9"/>
        <v>2.9800000000000011E-2</v>
      </c>
      <c r="H71" s="165">
        <f t="shared" si="9"/>
        <v>2.9800000000000011E-2</v>
      </c>
      <c r="I71" s="165">
        <f t="shared" si="9"/>
        <v>2.6000000000000013E-2</v>
      </c>
      <c r="J71" s="165">
        <f t="shared" si="9"/>
        <v>2.580000000000001E-2</v>
      </c>
      <c r="K71" s="165">
        <f t="shared" si="9"/>
        <v>2.580000000000001E-2</v>
      </c>
      <c r="L71" s="165">
        <f t="shared" si="9"/>
        <v>2.580000000000001E-2</v>
      </c>
      <c r="M71" s="165">
        <f t="shared" si="9"/>
        <v>2.580000000000001E-2</v>
      </c>
      <c r="N71" s="165">
        <f t="shared" si="9"/>
        <v>2.3800000000000009E-2</v>
      </c>
      <c r="O71" s="165">
        <f t="shared" si="9"/>
        <v>0</v>
      </c>
      <c r="P71" s="165">
        <f>P58+P60+P62+P64+P66+P68+P70</f>
        <v>0.29320000000000013</v>
      </c>
      <c r="Q71" s="195"/>
      <c r="R71" s="198">
        <f t="shared" si="5"/>
        <v>0.29320000000000013</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0">D71*$W$17/$B$34</f>
        <v>7.5000000000000039E-2</v>
      </c>
      <c r="E72" s="163">
        <f t="shared" si="10"/>
        <v>8.6250000000000035E-2</v>
      </c>
      <c r="F72" s="163">
        <f t="shared" si="10"/>
        <v>9.0625000000000039E-2</v>
      </c>
      <c r="G72" s="163">
        <f t="shared" si="10"/>
        <v>9.3125000000000027E-2</v>
      </c>
      <c r="H72" s="163">
        <f t="shared" si="10"/>
        <v>9.3125000000000027E-2</v>
      </c>
      <c r="I72" s="163">
        <f t="shared" si="10"/>
        <v>8.1250000000000044E-2</v>
      </c>
      <c r="J72" s="163">
        <f t="shared" si="10"/>
        <v>8.062500000000003E-2</v>
      </c>
      <c r="K72" s="163">
        <f t="shared" si="10"/>
        <v>8.062500000000003E-2</v>
      </c>
      <c r="L72" s="163">
        <f t="shared" si="10"/>
        <v>8.062500000000003E-2</v>
      </c>
      <c r="M72" s="163">
        <f t="shared" si="10"/>
        <v>8.062500000000003E-2</v>
      </c>
      <c r="N72" s="163">
        <f t="shared" si="10"/>
        <v>7.4375000000000024E-2</v>
      </c>
      <c r="O72" s="163">
        <f t="shared" si="10"/>
        <v>0</v>
      </c>
      <c r="P72" s="162">
        <f>SUM(D72:O72)</f>
        <v>0.91625000000000045</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+D57+D59+D61+D63</f>
        <v>2.4400000000000012E-2</v>
      </c>
      <c r="E74" s="165">
        <f t="shared" ref="E74:P74" si="11">+E57+E59+E61+E63</f>
        <v>2.9000000000000012E-2</v>
      </c>
      <c r="F74" s="165">
        <f t="shared" si="11"/>
        <v>2.9000000000000012E-2</v>
      </c>
      <c r="G74" s="165">
        <f t="shared" si="11"/>
        <v>2.9000000000000012E-2</v>
      </c>
      <c r="H74" s="165">
        <f t="shared" si="11"/>
        <v>2.9000000000000012E-2</v>
      </c>
      <c r="I74" s="165">
        <f t="shared" si="11"/>
        <v>2.580000000000001E-2</v>
      </c>
      <c r="J74" s="165">
        <f t="shared" si="11"/>
        <v>2.580000000000001E-2</v>
      </c>
      <c r="K74" s="165">
        <f t="shared" si="11"/>
        <v>2.580000000000001E-2</v>
      </c>
      <c r="L74" s="165">
        <f t="shared" si="11"/>
        <v>2.580000000000001E-2</v>
      </c>
      <c r="M74" s="165">
        <f t="shared" si="11"/>
        <v>2.580000000000001E-2</v>
      </c>
      <c r="N74" s="165">
        <f t="shared" si="11"/>
        <v>2.580000000000001E-2</v>
      </c>
      <c r="O74" s="165">
        <f t="shared" si="11"/>
        <v>2.480000000000001E-2</v>
      </c>
      <c r="P74" s="165">
        <f t="shared" si="11"/>
        <v>0.32000000000000017</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 t="shared" ref="D75:O75" si="12">D74*$W$17/$B$34</f>
        <v>7.625000000000004E-2</v>
      </c>
      <c r="E75" s="163">
        <f t="shared" si="12"/>
        <v>9.0625000000000039E-2</v>
      </c>
      <c r="F75" s="163">
        <f t="shared" si="12"/>
        <v>9.0625000000000039E-2</v>
      </c>
      <c r="G75" s="163">
        <f t="shared" si="12"/>
        <v>9.0625000000000039E-2</v>
      </c>
      <c r="H75" s="163">
        <f t="shared" si="12"/>
        <v>9.0625000000000039E-2</v>
      </c>
      <c r="I75" s="163">
        <f t="shared" si="12"/>
        <v>8.062500000000003E-2</v>
      </c>
      <c r="J75" s="163">
        <f t="shared" si="12"/>
        <v>8.062500000000003E-2</v>
      </c>
      <c r="K75" s="163">
        <f t="shared" si="12"/>
        <v>8.062500000000003E-2</v>
      </c>
      <c r="L75" s="163">
        <f t="shared" si="12"/>
        <v>8.062500000000003E-2</v>
      </c>
      <c r="M75" s="163">
        <f t="shared" si="12"/>
        <v>8.062500000000003E-2</v>
      </c>
      <c r="N75" s="163">
        <f t="shared" si="12"/>
        <v>8.062500000000003E-2</v>
      </c>
      <c r="O75" s="163">
        <f t="shared" si="12"/>
        <v>7.7500000000000027E-2</v>
      </c>
      <c r="P75" s="162">
        <f>SUM(D75:O75)</f>
        <v>1.0000000000000007</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99">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44:AD45"/>
    <mergeCell ref="A40:A41"/>
    <mergeCell ref="Q40:AD41"/>
    <mergeCell ref="A42:A43"/>
    <mergeCell ref="Q42:AD43"/>
    <mergeCell ref="B40:B41"/>
    <mergeCell ref="B42:B43"/>
    <mergeCell ref="B44:B45"/>
    <mergeCell ref="A44:A45"/>
    <mergeCell ref="A55:A56"/>
    <mergeCell ref="B55:B56"/>
    <mergeCell ref="C55:P55"/>
    <mergeCell ref="A57:A58"/>
    <mergeCell ref="B57:B58"/>
    <mergeCell ref="A67:A68"/>
    <mergeCell ref="B67:B68"/>
    <mergeCell ref="A59:A60"/>
    <mergeCell ref="B59:B60"/>
    <mergeCell ref="A69:A70"/>
    <mergeCell ref="B69:B70"/>
    <mergeCell ref="A61:A62"/>
    <mergeCell ref="B61:B62"/>
    <mergeCell ref="A63:A64"/>
    <mergeCell ref="B63:B64"/>
    <mergeCell ref="A65:A66"/>
    <mergeCell ref="B65:B66"/>
  </mergeCells>
  <phoneticPr fontId="66" type="noConversion"/>
  <dataValidations count="3">
    <dataValidation type="textLength" operator="lessThanOrEqual" allowBlank="1" showInputMessage="1" showErrorMessage="1" errorTitle="Máximo 2.000 caracteres" error="Máximo 2.000 caracteres" sqref="Q38:AD45"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rintOptions horizontalCentered="1"/>
  <pageMargins left="0.39370078740157483" right="0.39370078740157483" top="0.39370078740157483" bottom="0.39370078740157483" header="0" footer="0"/>
  <pageSetup paperSize="9"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view="pageBreakPreview" topLeftCell="H32" zoomScale="60" zoomScaleNormal="60" workbookViewId="0">
      <selection activeCell="T34" sqref="T34:V35"/>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7109375" style="50" customWidth="1"/>
    <col min="18" max="18" width="21"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776" t="s">
        <v>4</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21" t="s">
        <v>5</v>
      </c>
      <c r="AC3" s="422"/>
      <c r="AD3" s="423"/>
    </row>
    <row r="4" spans="1:33" ht="21.75" customHeight="1" thickBot="1" x14ac:dyDescent="0.3">
      <c r="A4" s="414"/>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128</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0.9" customHeight="1" thickBot="1" x14ac:dyDescent="0.3">
      <c r="A15" s="489" t="s">
        <v>17</v>
      </c>
      <c r="B15" s="490"/>
      <c r="C15" s="424" t="s">
        <v>129</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130</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777" t="s">
        <v>131</v>
      </c>
      <c r="D17" s="778"/>
      <c r="E17" s="778"/>
      <c r="F17" s="778"/>
      <c r="G17" s="778"/>
      <c r="H17" s="778"/>
      <c r="I17" s="778"/>
      <c r="J17" s="778"/>
      <c r="K17" s="778"/>
      <c r="L17" s="778"/>
      <c r="M17" s="778"/>
      <c r="N17" s="778"/>
      <c r="O17" s="778"/>
      <c r="P17" s="778"/>
      <c r="Q17" s="779"/>
      <c r="R17" s="484" t="s">
        <v>25</v>
      </c>
      <c r="S17" s="488"/>
      <c r="T17" s="488"/>
      <c r="U17" s="488"/>
      <c r="V17" s="485"/>
      <c r="W17" s="486">
        <v>0.3</v>
      </c>
      <c r="X17" s="487"/>
      <c r="Y17" s="488" t="s">
        <v>26</v>
      </c>
      <c r="Z17" s="488"/>
      <c r="AA17" s="488"/>
      <c r="AB17" s="485"/>
      <c r="AC17" s="530">
        <v>0.09</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281">
        <v>389272925</v>
      </c>
      <c r="R22" s="282">
        <v>8537488</v>
      </c>
      <c r="S22" s="282">
        <v>8390000</v>
      </c>
      <c r="T22" s="282">
        <v>0</v>
      </c>
      <c r="U22" s="282">
        <v>45000000</v>
      </c>
      <c r="V22" s="282">
        <v>15000000</v>
      </c>
      <c r="W22" s="282">
        <v>0</v>
      </c>
      <c r="X22" s="282">
        <v>0</v>
      </c>
      <c r="Y22" s="282">
        <v>0</v>
      </c>
      <c r="Z22" s="282">
        <v>-16329365</v>
      </c>
      <c r="AA22" s="282">
        <v>0</v>
      </c>
      <c r="AB22" s="282">
        <v>0</v>
      </c>
      <c r="AC22" s="283">
        <f>SUM(Q22:AB22)</f>
        <v>449871048</v>
      </c>
      <c r="AD22" s="284"/>
      <c r="AE22" s="3"/>
      <c r="AF22" s="3"/>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289">
        <f>136170675</f>
        <v>136170675</v>
      </c>
      <c r="R23" s="290">
        <f>315660175-Q23</f>
        <v>179489500</v>
      </c>
      <c r="S23" s="290">
        <f>328562115-Q23-R23</f>
        <v>12901940</v>
      </c>
      <c r="T23" s="290">
        <f>317785408-Q23-R23-S23</f>
        <v>-10776707</v>
      </c>
      <c r="U23" s="290">
        <f>392910919-Q23-R23-S23-T23</f>
        <v>75125511</v>
      </c>
      <c r="V23" s="290">
        <f>422088119-Q23-R23-S23-T23-U23</f>
        <v>29177200</v>
      </c>
      <c r="W23" s="290">
        <f>427091611-Q23-R23-S23-T23-U23-V23</f>
        <v>5003492</v>
      </c>
      <c r="X23" s="290">
        <f>426919038-Q23-R23-S23-T23-U23-V23-W23</f>
        <v>-172573</v>
      </c>
      <c r="Y23" s="290">
        <f>426544038-Q23-R23-S23-T23-U23-V23-W23-X23</f>
        <v>-375000</v>
      </c>
      <c r="Z23" s="290">
        <f>426544038-Q23-R23-S23-T23-U23-V23-W23-X23-Y23</f>
        <v>0</v>
      </c>
      <c r="AA23" s="290">
        <f>426544038-Q23-R23-S23-T23-U23-V23-W23-X23-Y23-Z23</f>
        <v>0</v>
      </c>
      <c r="AB23" s="290"/>
      <c r="AC23" s="279">
        <f>SUM(Q23:AB23)</f>
        <v>426544038</v>
      </c>
      <c r="AD23" s="291">
        <f>AC23/AC22</f>
        <v>0.94814734110206622</v>
      </c>
      <c r="AE23" s="3"/>
      <c r="AF23" s="3"/>
    </row>
    <row r="24" spans="1:41" ht="31.9" customHeight="1" x14ac:dyDescent="0.25">
      <c r="A24" s="470" t="s">
        <v>45</v>
      </c>
      <c r="B24" s="504"/>
      <c r="C24" s="286"/>
      <c r="D24" s="287"/>
      <c r="E24" s="287"/>
      <c r="F24" s="287"/>
      <c r="G24" s="287"/>
      <c r="H24" s="287"/>
      <c r="I24" s="287"/>
      <c r="J24" s="287"/>
      <c r="K24" s="287"/>
      <c r="L24" s="287"/>
      <c r="M24" s="287"/>
      <c r="N24" s="287"/>
      <c r="O24" s="287">
        <f>SUM(C24:N24)</f>
        <v>0</v>
      </c>
      <c r="P24" s="292"/>
      <c r="Q24" s="289"/>
      <c r="R24" s="346">
        <v>16917651</v>
      </c>
      <c r="S24" s="345">
        <v>30675087</v>
      </c>
      <c r="T24" s="345">
        <v>30424287</v>
      </c>
      <c r="U24" s="345">
        <v>30424287</v>
      </c>
      <c r="V24" s="345">
        <v>30424287</v>
      </c>
      <c r="W24" s="346">
        <v>43624037</v>
      </c>
      <c r="X24" s="346">
        <v>55678037</v>
      </c>
      <c r="Y24" s="346">
        <v>58678037</v>
      </c>
      <c r="Z24" s="346">
        <v>60348102</v>
      </c>
      <c r="AA24" s="346">
        <v>42897543</v>
      </c>
      <c r="AB24" s="346">
        <f>66109058.4066667-16329365</f>
        <v>49779693.406666704</v>
      </c>
      <c r="AC24" s="287">
        <f>SUM(Q24:AB24)</f>
        <v>449871048.4066667</v>
      </c>
      <c r="AD24" s="291"/>
      <c r="AE24" s="3"/>
      <c r="AF24" s="3"/>
    </row>
    <row r="25" spans="1:41" ht="31.9" customHeight="1" thickBot="1" x14ac:dyDescent="0.3">
      <c r="A25" s="515" t="s">
        <v>46</v>
      </c>
      <c r="B25" s="516"/>
      <c r="C25" s="296"/>
      <c r="D25" s="297"/>
      <c r="E25" s="297"/>
      <c r="F25" s="297"/>
      <c r="G25" s="297"/>
      <c r="H25" s="297"/>
      <c r="I25" s="297"/>
      <c r="J25" s="297"/>
      <c r="K25" s="297"/>
      <c r="L25" s="297"/>
      <c r="M25" s="297"/>
      <c r="N25" s="297"/>
      <c r="O25" s="297">
        <f>SUM(C25:N25)</f>
        <v>0</v>
      </c>
      <c r="P25" s="299" t="str">
        <f>IFERROR(O25/(SUMIF(C25:N25,"&gt;0",C24:N24))," ")</f>
        <v xml:space="preserve"> </v>
      </c>
      <c r="Q25" s="348"/>
      <c r="R25" s="298">
        <f>2487274</f>
        <v>2487274</v>
      </c>
      <c r="S25" s="298">
        <f>22155991-R25</f>
        <v>19668717</v>
      </c>
      <c r="T25" s="298">
        <f>51355125-R25-S25</f>
        <v>29199134</v>
      </c>
      <c r="U25" s="298">
        <f>80850825-R25-S25-T25</f>
        <v>29495700</v>
      </c>
      <c r="V25" s="298">
        <f>111507850-R25-S25-T25-U25</f>
        <v>30657025</v>
      </c>
      <c r="W25" s="298">
        <f>164602312-R25-S25-T25-U25-V25</f>
        <v>53094462</v>
      </c>
      <c r="X25" s="298">
        <f>224405566-R25-S25-T25-U25-V25-W25</f>
        <v>59803254</v>
      </c>
      <c r="Y25" s="298">
        <f>265215366-R25-S25-T25-U25-V25-W25-X25</f>
        <v>40809800</v>
      </c>
      <c r="Z25" s="298">
        <f>298809300-Q25-R25-S25-T25-U25-V25-W25-X25-Y25</f>
        <v>33593934</v>
      </c>
      <c r="AA25" s="298">
        <f>331587460-Q25-R25-S25-T25-U25-V25-W25-X25-Y25-Z25</f>
        <v>32778160</v>
      </c>
      <c r="AB25" s="298"/>
      <c r="AC25" s="297">
        <f>SUM(Q25:AB25)</f>
        <v>331587460</v>
      </c>
      <c r="AD25" s="302">
        <f>AC25/AC24</f>
        <v>0.73707223697635516</v>
      </c>
      <c r="AE25" s="3"/>
      <c r="AF25" s="3"/>
    </row>
    <row r="26" spans="1:41" ht="31.9" customHeight="1" thickBot="1" x14ac:dyDescent="0.3">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72" customHeight="1" thickBot="1" x14ac:dyDescent="0.3">
      <c r="A30" s="332" t="s">
        <v>132</v>
      </c>
      <c r="B30" s="774"/>
      <c r="C30" s="775"/>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thickBot="1" x14ac:dyDescent="0.3">
      <c r="A31" s="465" t="s">
        <v>53</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872"/>
    </row>
    <row r="32" spans="1:41" ht="22.9" customHeight="1" x14ac:dyDescent="0.25">
      <c r="A32" s="469" t="s">
        <v>54</v>
      </c>
      <c r="B32" s="471" t="s">
        <v>55</v>
      </c>
      <c r="C32" s="471" t="s">
        <v>49</v>
      </c>
      <c r="D32" s="471" t="s">
        <v>56</v>
      </c>
      <c r="E32" s="471"/>
      <c r="F32" s="471"/>
      <c r="G32" s="471"/>
      <c r="H32" s="471"/>
      <c r="I32" s="471"/>
      <c r="J32" s="471"/>
      <c r="K32" s="471"/>
      <c r="L32" s="471"/>
      <c r="M32" s="471"/>
      <c r="N32" s="471"/>
      <c r="O32" s="471"/>
      <c r="P32" s="471"/>
      <c r="Q32" s="471" t="s">
        <v>57</v>
      </c>
      <c r="R32" s="471"/>
      <c r="S32" s="471"/>
      <c r="T32" s="471"/>
      <c r="U32" s="471"/>
      <c r="V32" s="471"/>
      <c r="W32" s="471"/>
      <c r="X32" s="471"/>
      <c r="Y32" s="471"/>
      <c r="Z32" s="471"/>
      <c r="AA32" s="471"/>
      <c r="AB32" s="471"/>
      <c r="AC32" s="471"/>
      <c r="AD32" s="550"/>
      <c r="AG32" s="87"/>
      <c r="AH32" s="87"/>
      <c r="AI32" s="87"/>
      <c r="AJ32" s="87"/>
      <c r="AK32" s="87"/>
      <c r="AL32" s="87"/>
      <c r="AM32" s="87"/>
      <c r="AN32" s="87"/>
      <c r="AO32" s="87"/>
    </row>
    <row r="33" spans="1:41" ht="27" customHeight="1" thickBot="1" x14ac:dyDescent="0.3">
      <c r="A33" s="873"/>
      <c r="B33" s="874"/>
      <c r="C33" s="875"/>
      <c r="D33" s="351" t="s">
        <v>30</v>
      </c>
      <c r="E33" s="351" t="s">
        <v>31</v>
      </c>
      <c r="F33" s="351" t="s">
        <v>32</v>
      </c>
      <c r="G33" s="351" t="s">
        <v>33</v>
      </c>
      <c r="H33" s="351" t="s">
        <v>34</v>
      </c>
      <c r="I33" s="351" t="s">
        <v>35</v>
      </c>
      <c r="J33" s="351" t="s">
        <v>36</v>
      </c>
      <c r="K33" s="351" t="s">
        <v>37</v>
      </c>
      <c r="L33" s="351" t="s">
        <v>8</v>
      </c>
      <c r="M33" s="351" t="s">
        <v>38</v>
      </c>
      <c r="N33" s="351" t="s">
        <v>39</v>
      </c>
      <c r="O33" s="351" t="s">
        <v>40</v>
      </c>
      <c r="P33" s="351" t="s">
        <v>41</v>
      </c>
      <c r="Q33" s="874" t="s">
        <v>58</v>
      </c>
      <c r="R33" s="874"/>
      <c r="S33" s="874"/>
      <c r="T33" s="874" t="s">
        <v>59</v>
      </c>
      <c r="U33" s="874"/>
      <c r="V33" s="874"/>
      <c r="W33" s="855" t="s">
        <v>60</v>
      </c>
      <c r="X33" s="506"/>
      <c r="Y33" s="506"/>
      <c r="Z33" s="856"/>
      <c r="AA33" s="855" t="s">
        <v>61</v>
      </c>
      <c r="AB33" s="506"/>
      <c r="AC33" s="506"/>
      <c r="AD33" s="507"/>
      <c r="AG33" s="87"/>
      <c r="AH33" s="87"/>
      <c r="AI33" s="87"/>
      <c r="AJ33" s="87"/>
      <c r="AK33" s="87"/>
      <c r="AL33" s="87"/>
      <c r="AM33" s="87"/>
      <c r="AN33" s="87"/>
      <c r="AO33" s="87"/>
    </row>
    <row r="34" spans="1:41" ht="289.14999999999998" customHeight="1" x14ac:dyDescent="0.25">
      <c r="A34" s="857" t="s">
        <v>132</v>
      </c>
      <c r="B34" s="859">
        <v>0.09</v>
      </c>
      <c r="C34" s="352" t="s">
        <v>62</v>
      </c>
      <c r="D34" s="353">
        <f>D69</f>
        <v>0</v>
      </c>
      <c r="E34" s="353">
        <f t="shared" ref="E34:P34" si="0">E69</f>
        <v>9.0000000000000011E-3</v>
      </c>
      <c r="F34" s="353">
        <f t="shared" si="0"/>
        <v>1.6E-2</v>
      </c>
      <c r="G34" s="353">
        <f t="shared" si="0"/>
        <v>2.4999999999999998E-2</v>
      </c>
      <c r="H34" s="353">
        <f t="shared" si="0"/>
        <v>0.03</v>
      </c>
      <c r="I34" s="353">
        <f t="shared" si="0"/>
        <v>3.4999999999999996E-2</v>
      </c>
      <c r="J34" s="353">
        <f t="shared" si="0"/>
        <v>3.9999999999999994E-2</v>
      </c>
      <c r="K34" s="353">
        <f t="shared" si="0"/>
        <v>3.9999999999999994E-2</v>
      </c>
      <c r="L34" s="353">
        <f t="shared" si="0"/>
        <v>3.9999999999999994E-2</v>
      </c>
      <c r="M34" s="353">
        <f t="shared" si="0"/>
        <v>0.03</v>
      </c>
      <c r="N34" s="353">
        <f t="shared" si="0"/>
        <v>0.02</v>
      </c>
      <c r="O34" s="353">
        <f t="shared" si="0"/>
        <v>1.4999999999999999E-2</v>
      </c>
      <c r="P34" s="353">
        <f t="shared" si="0"/>
        <v>0.29999999999999993</v>
      </c>
      <c r="Q34" s="860" t="s">
        <v>597</v>
      </c>
      <c r="R34" s="860"/>
      <c r="S34" s="860"/>
      <c r="T34" s="860" t="s">
        <v>547</v>
      </c>
      <c r="U34" s="860"/>
      <c r="V34" s="860"/>
      <c r="W34" s="864" t="s">
        <v>133</v>
      </c>
      <c r="X34" s="865"/>
      <c r="Y34" s="865"/>
      <c r="Z34" s="866"/>
      <c r="AA34" s="860" t="s">
        <v>548</v>
      </c>
      <c r="AB34" s="860"/>
      <c r="AC34" s="860"/>
      <c r="AD34" s="861"/>
      <c r="AG34" s="87"/>
      <c r="AH34" s="87"/>
      <c r="AI34" s="87"/>
      <c r="AJ34" s="87"/>
      <c r="AK34" s="87"/>
      <c r="AL34" s="87"/>
      <c r="AM34" s="87"/>
      <c r="AN34" s="87"/>
      <c r="AO34" s="87"/>
    </row>
    <row r="35" spans="1:41" ht="97.15" customHeight="1" thickBot="1" x14ac:dyDescent="0.3">
      <c r="A35" s="858"/>
      <c r="B35" s="539"/>
      <c r="C35" s="314" t="s">
        <v>63</v>
      </c>
      <c r="D35" s="315">
        <f>D66</f>
        <v>0</v>
      </c>
      <c r="E35" s="315">
        <f t="shared" ref="E35:P35" si="1">E66</f>
        <v>9.0000000000000011E-3</v>
      </c>
      <c r="F35" s="315">
        <f t="shared" si="1"/>
        <v>1.6E-2</v>
      </c>
      <c r="G35" s="315">
        <f t="shared" si="1"/>
        <v>2.4999999999999998E-2</v>
      </c>
      <c r="H35" s="315">
        <f t="shared" si="1"/>
        <v>0.03</v>
      </c>
      <c r="I35" s="315">
        <f t="shared" si="1"/>
        <v>3.4999999999999996E-2</v>
      </c>
      <c r="J35" s="315">
        <f t="shared" si="1"/>
        <v>3.9999999999999994E-2</v>
      </c>
      <c r="K35" s="315">
        <f t="shared" si="1"/>
        <v>3.9999999999999994E-2</v>
      </c>
      <c r="L35" s="315">
        <f t="shared" si="1"/>
        <v>3.9999999999999994E-2</v>
      </c>
      <c r="M35" s="315">
        <f t="shared" si="1"/>
        <v>0.03</v>
      </c>
      <c r="N35" s="315">
        <f t="shared" si="1"/>
        <v>0.02</v>
      </c>
      <c r="O35" s="315">
        <f t="shared" si="1"/>
        <v>0</v>
      </c>
      <c r="P35" s="315">
        <f t="shared" si="1"/>
        <v>0.28499999999999992</v>
      </c>
      <c r="Q35" s="862"/>
      <c r="R35" s="862"/>
      <c r="S35" s="862"/>
      <c r="T35" s="862"/>
      <c r="U35" s="862"/>
      <c r="V35" s="862"/>
      <c r="W35" s="867"/>
      <c r="X35" s="868"/>
      <c r="Y35" s="868"/>
      <c r="Z35" s="869"/>
      <c r="AA35" s="862"/>
      <c r="AB35" s="862"/>
      <c r="AC35" s="862"/>
      <c r="AD35" s="863"/>
      <c r="AE35" s="49"/>
      <c r="AG35" s="87"/>
      <c r="AH35" s="87"/>
      <c r="AI35" s="87"/>
      <c r="AJ35" s="87"/>
      <c r="AK35" s="87"/>
      <c r="AL35" s="87"/>
      <c r="AM35" s="87"/>
      <c r="AN35" s="87"/>
      <c r="AO35" s="87"/>
    </row>
    <row r="36" spans="1:41" ht="25.9" customHeight="1" x14ac:dyDescent="0.25">
      <c r="A36" s="766" t="s">
        <v>64</v>
      </c>
      <c r="B36" s="768" t="s">
        <v>65</v>
      </c>
      <c r="C36" s="469" t="s">
        <v>66</v>
      </c>
      <c r="D36" s="471"/>
      <c r="E36" s="471"/>
      <c r="F36" s="471"/>
      <c r="G36" s="471"/>
      <c r="H36" s="471"/>
      <c r="I36" s="471"/>
      <c r="J36" s="471"/>
      <c r="K36" s="471"/>
      <c r="L36" s="471"/>
      <c r="M36" s="471"/>
      <c r="N36" s="471"/>
      <c r="O36" s="471"/>
      <c r="P36" s="529"/>
      <c r="Q36" s="469" t="s">
        <v>67</v>
      </c>
      <c r="R36" s="471"/>
      <c r="S36" s="471"/>
      <c r="T36" s="471"/>
      <c r="U36" s="471"/>
      <c r="V36" s="471"/>
      <c r="W36" s="471"/>
      <c r="X36" s="471"/>
      <c r="Y36" s="471"/>
      <c r="Z36" s="471"/>
      <c r="AA36" s="471"/>
      <c r="AB36" s="471"/>
      <c r="AC36" s="471"/>
      <c r="AD36" s="550"/>
      <c r="AG36" s="87"/>
      <c r="AH36" s="87"/>
      <c r="AI36" s="87"/>
      <c r="AJ36" s="87"/>
      <c r="AK36" s="87"/>
      <c r="AL36" s="87"/>
      <c r="AM36" s="87"/>
      <c r="AN36" s="87"/>
      <c r="AO36" s="87"/>
    </row>
    <row r="37" spans="1:41" ht="40.5" customHeight="1" thickBot="1" x14ac:dyDescent="0.3">
      <c r="A37" s="767"/>
      <c r="B37" s="769"/>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295" t="s">
        <v>81</v>
      </c>
      <c r="Q37" s="515" t="s">
        <v>82</v>
      </c>
      <c r="R37" s="870"/>
      <c r="S37" s="870"/>
      <c r="T37" s="870"/>
      <c r="U37" s="870"/>
      <c r="V37" s="870"/>
      <c r="W37" s="870"/>
      <c r="X37" s="870"/>
      <c r="Y37" s="870"/>
      <c r="Z37" s="870"/>
      <c r="AA37" s="870"/>
      <c r="AB37" s="870"/>
      <c r="AC37" s="870"/>
      <c r="AD37" s="871"/>
      <c r="AG37" s="94"/>
      <c r="AH37" s="94"/>
      <c r="AI37" s="94"/>
      <c r="AJ37" s="94"/>
      <c r="AK37" s="94"/>
      <c r="AL37" s="94"/>
      <c r="AM37" s="94"/>
      <c r="AN37" s="94"/>
      <c r="AO37" s="94"/>
    </row>
    <row r="38" spans="1:41" ht="76.900000000000006" customHeight="1" x14ac:dyDescent="0.25">
      <c r="A38" s="831" t="s">
        <v>134</v>
      </c>
      <c r="B38" s="835">
        <v>0.03</v>
      </c>
      <c r="C38" s="334" t="s">
        <v>62</v>
      </c>
      <c r="D38" s="319">
        <v>0</v>
      </c>
      <c r="E38" s="319">
        <v>0.02</v>
      </c>
      <c r="F38" s="319">
        <v>0.03</v>
      </c>
      <c r="G38" s="319">
        <v>0.1</v>
      </c>
      <c r="H38" s="319">
        <v>0.1</v>
      </c>
      <c r="I38" s="319">
        <v>0.15</v>
      </c>
      <c r="J38" s="319">
        <v>0.15</v>
      </c>
      <c r="K38" s="319">
        <v>0.15</v>
      </c>
      <c r="L38" s="319">
        <v>0.15</v>
      </c>
      <c r="M38" s="319">
        <v>0.05</v>
      </c>
      <c r="N38" s="319">
        <v>0.05</v>
      </c>
      <c r="O38" s="319">
        <v>0.05</v>
      </c>
      <c r="P38" s="354">
        <f t="shared" ref="P38:P43" si="2">SUM(D38:O38)</f>
        <v>1.0000000000000002</v>
      </c>
      <c r="Q38" s="852" t="s">
        <v>549</v>
      </c>
      <c r="R38" s="853"/>
      <c r="S38" s="853"/>
      <c r="T38" s="853"/>
      <c r="U38" s="853"/>
      <c r="V38" s="853"/>
      <c r="W38" s="853"/>
      <c r="X38" s="853"/>
      <c r="Y38" s="853"/>
      <c r="Z38" s="853"/>
      <c r="AA38" s="853"/>
      <c r="AB38" s="853"/>
      <c r="AC38" s="853"/>
      <c r="AD38" s="854"/>
      <c r="AE38" s="97"/>
      <c r="AG38" s="98"/>
      <c r="AH38" s="98"/>
      <c r="AI38" s="98"/>
      <c r="AJ38" s="98"/>
      <c r="AK38" s="98"/>
      <c r="AL38" s="98"/>
      <c r="AM38" s="98"/>
      <c r="AN38" s="98"/>
      <c r="AO38" s="98"/>
    </row>
    <row r="39" spans="1:41" ht="76.900000000000006" customHeight="1" x14ac:dyDescent="0.25">
      <c r="A39" s="755"/>
      <c r="B39" s="835"/>
      <c r="C39" s="335" t="s">
        <v>63</v>
      </c>
      <c r="D39" s="322">
        <v>0</v>
      </c>
      <c r="E39" s="322">
        <v>0.02</v>
      </c>
      <c r="F39" s="322">
        <v>0.03</v>
      </c>
      <c r="G39" s="322">
        <v>0.1</v>
      </c>
      <c r="H39" s="322">
        <v>0.1</v>
      </c>
      <c r="I39" s="322">
        <v>0.15</v>
      </c>
      <c r="J39" s="322">
        <v>0.15</v>
      </c>
      <c r="K39" s="322">
        <v>0.15</v>
      </c>
      <c r="L39" s="322">
        <v>0.15</v>
      </c>
      <c r="M39" s="322">
        <v>0.05</v>
      </c>
      <c r="N39" s="322">
        <v>0.05</v>
      </c>
      <c r="O39" s="322"/>
      <c r="P39" s="326">
        <f t="shared" si="2"/>
        <v>0.95000000000000018</v>
      </c>
      <c r="Q39" s="845"/>
      <c r="R39" s="846"/>
      <c r="S39" s="846"/>
      <c r="T39" s="846"/>
      <c r="U39" s="846"/>
      <c r="V39" s="846"/>
      <c r="W39" s="846"/>
      <c r="X39" s="846"/>
      <c r="Y39" s="846"/>
      <c r="Z39" s="846"/>
      <c r="AA39" s="846"/>
      <c r="AB39" s="846"/>
      <c r="AC39" s="846"/>
      <c r="AD39" s="847"/>
      <c r="AE39" s="97"/>
    </row>
    <row r="40" spans="1:41" ht="76.900000000000006" customHeight="1" x14ac:dyDescent="0.25">
      <c r="A40" s="410" t="s">
        <v>135</v>
      </c>
      <c r="B40" s="851">
        <v>0.03</v>
      </c>
      <c r="C40" s="337" t="s">
        <v>62</v>
      </c>
      <c r="D40" s="325">
        <v>0</v>
      </c>
      <c r="E40" s="325">
        <v>0.02</v>
      </c>
      <c r="F40" s="325">
        <v>0.03</v>
      </c>
      <c r="G40" s="325">
        <v>0.05</v>
      </c>
      <c r="H40" s="325">
        <v>0.1</v>
      </c>
      <c r="I40" s="325">
        <v>0.1</v>
      </c>
      <c r="J40" s="325">
        <v>0.15</v>
      </c>
      <c r="K40" s="325">
        <v>0.15</v>
      </c>
      <c r="L40" s="325">
        <v>0.15</v>
      </c>
      <c r="M40" s="325">
        <v>0.15</v>
      </c>
      <c r="N40" s="325">
        <v>0.05</v>
      </c>
      <c r="O40" s="325">
        <v>0.05</v>
      </c>
      <c r="P40" s="355">
        <f t="shared" si="2"/>
        <v>1.0000000000000002</v>
      </c>
      <c r="Q40" s="840" t="s">
        <v>595</v>
      </c>
      <c r="R40" s="841"/>
      <c r="S40" s="841"/>
      <c r="T40" s="841"/>
      <c r="U40" s="841"/>
      <c r="V40" s="841"/>
      <c r="W40" s="841"/>
      <c r="X40" s="841"/>
      <c r="Y40" s="841"/>
      <c r="Z40" s="841"/>
      <c r="AA40" s="841"/>
      <c r="AB40" s="841"/>
      <c r="AC40" s="841"/>
      <c r="AD40" s="842"/>
      <c r="AE40" s="97"/>
    </row>
    <row r="41" spans="1:41" ht="76.900000000000006" customHeight="1" x14ac:dyDescent="0.25">
      <c r="A41" s="410"/>
      <c r="B41" s="773"/>
      <c r="C41" s="335" t="s">
        <v>63</v>
      </c>
      <c r="D41" s="322">
        <v>0</v>
      </c>
      <c r="E41" s="322">
        <v>0.02</v>
      </c>
      <c r="F41" s="322">
        <v>0.03</v>
      </c>
      <c r="G41" s="322">
        <v>0.05</v>
      </c>
      <c r="H41" s="322">
        <v>0.1</v>
      </c>
      <c r="I41" s="322">
        <v>0.1</v>
      </c>
      <c r="J41" s="322">
        <v>0.15</v>
      </c>
      <c r="K41" s="322">
        <v>0.15</v>
      </c>
      <c r="L41" s="322">
        <v>0.15</v>
      </c>
      <c r="M41" s="322">
        <v>0.15</v>
      </c>
      <c r="N41" s="322">
        <v>0.05</v>
      </c>
      <c r="O41" s="322"/>
      <c r="P41" s="326">
        <f t="shared" si="2"/>
        <v>0.95000000000000018</v>
      </c>
      <c r="Q41" s="840"/>
      <c r="R41" s="841"/>
      <c r="S41" s="841"/>
      <c r="T41" s="841"/>
      <c r="U41" s="841"/>
      <c r="V41" s="841"/>
      <c r="W41" s="841"/>
      <c r="X41" s="841"/>
      <c r="Y41" s="841"/>
      <c r="Z41" s="841"/>
      <c r="AA41" s="841"/>
      <c r="AB41" s="841"/>
      <c r="AC41" s="841"/>
      <c r="AD41" s="842"/>
      <c r="AE41" s="97"/>
    </row>
    <row r="42" spans="1:41" ht="76.900000000000006" customHeight="1" x14ac:dyDescent="0.25">
      <c r="A42" s="843" t="s">
        <v>136</v>
      </c>
      <c r="B42" s="773">
        <v>0.03</v>
      </c>
      <c r="C42" s="334" t="s">
        <v>62</v>
      </c>
      <c r="D42" s="319">
        <v>0</v>
      </c>
      <c r="E42" s="319">
        <v>0.05</v>
      </c>
      <c r="F42" s="319">
        <v>0.1</v>
      </c>
      <c r="G42" s="319">
        <v>0.1</v>
      </c>
      <c r="H42" s="319">
        <v>0.1</v>
      </c>
      <c r="I42" s="319">
        <v>0.1</v>
      </c>
      <c r="J42" s="319">
        <v>0.1</v>
      </c>
      <c r="K42" s="319">
        <v>0.1</v>
      </c>
      <c r="L42" s="319">
        <v>0.1</v>
      </c>
      <c r="M42" s="319">
        <v>0.1</v>
      </c>
      <c r="N42" s="319">
        <v>0.1</v>
      </c>
      <c r="O42" s="319">
        <v>0.05</v>
      </c>
      <c r="P42" s="354">
        <f t="shared" si="2"/>
        <v>0.99999999999999989</v>
      </c>
      <c r="Q42" s="845" t="s">
        <v>596</v>
      </c>
      <c r="R42" s="846"/>
      <c r="S42" s="846"/>
      <c r="T42" s="846"/>
      <c r="U42" s="846"/>
      <c r="V42" s="846"/>
      <c r="W42" s="846"/>
      <c r="X42" s="846"/>
      <c r="Y42" s="846"/>
      <c r="Z42" s="846"/>
      <c r="AA42" s="846"/>
      <c r="AB42" s="846"/>
      <c r="AC42" s="846"/>
      <c r="AD42" s="847"/>
      <c r="AE42" s="97"/>
    </row>
    <row r="43" spans="1:41" ht="76.900000000000006" customHeight="1" thickBot="1" x14ac:dyDescent="0.3">
      <c r="A43" s="844"/>
      <c r="B43" s="792"/>
      <c r="C43" s="340" t="s">
        <v>63</v>
      </c>
      <c r="D43" s="327">
        <v>0</v>
      </c>
      <c r="E43" s="327">
        <v>0.05</v>
      </c>
      <c r="F43" s="327">
        <v>0.1</v>
      </c>
      <c r="G43" s="327">
        <v>0.1</v>
      </c>
      <c r="H43" s="327">
        <v>0.1</v>
      </c>
      <c r="I43" s="327">
        <v>0.1</v>
      </c>
      <c r="J43" s="327">
        <v>0.1</v>
      </c>
      <c r="K43" s="327">
        <v>0.1</v>
      </c>
      <c r="L43" s="328">
        <v>0.1</v>
      </c>
      <c r="M43" s="328">
        <v>0.1</v>
      </c>
      <c r="N43" s="328">
        <v>0.1</v>
      </c>
      <c r="O43" s="328"/>
      <c r="P43" s="356">
        <f t="shared" si="2"/>
        <v>0.94999999999999984</v>
      </c>
      <c r="Q43" s="848"/>
      <c r="R43" s="849"/>
      <c r="S43" s="849"/>
      <c r="T43" s="849"/>
      <c r="U43" s="849"/>
      <c r="V43" s="849"/>
      <c r="W43" s="849"/>
      <c r="X43" s="849"/>
      <c r="Y43" s="849"/>
      <c r="Z43" s="849"/>
      <c r="AA43" s="849"/>
      <c r="AB43" s="849"/>
      <c r="AC43" s="849"/>
      <c r="AD43" s="850"/>
      <c r="AE43" s="97"/>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x14ac:dyDescent="0.25">
      <c r="A53" s="194"/>
      <c r="Q53" s="194"/>
      <c r="R53" s="194"/>
      <c r="S53" s="194"/>
      <c r="T53" s="194"/>
      <c r="U53" s="194"/>
      <c r="V53" s="194"/>
      <c r="W53" s="194"/>
      <c r="X53" s="194"/>
      <c r="Y53" s="194"/>
      <c r="Z53" s="194"/>
      <c r="AA53" s="194"/>
      <c r="AB53" s="194"/>
      <c r="AC53" s="194"/>
      <c r="AD53" s="194"/>
    </row>
    <row r="54" spans="1:30" x14ac:dyDescent="0.25">
      <c r="A54" s="194"/>
      <c r="Q54" s="194"/>
      <c r="R54" s="194"/>
      <c r="S54" s="194"/>
      <c r="T54" s="194"/>
      <c r="U54" s="194"/>
      <c r="V54" s="194"/>
      <c r="W54" s="194"/>
      <c r="X54" s="194"/>
      <c r="Y54" s="194"/>
      <c r="Z54" s="194"/>
      <c r="AA54" s="194"/>
      <c r="AB54" s="194"/>
      <c r="AC54" s="194"/>
      <c r="AD54" s="194"/>
    </row>
    <row r="55" spans="1:30" x14ac:dyDescent="0.25">
      <c r="A55" s="399" t="s">
        <v>90</v>
      </c>
      <c r="B55" s="401" t="s">
        <v>65</v>
      </c>
      <c r="C55" s="403" t="s">
        <v>66</v>
      </c>
      <c r="D55" s="751"/>
      <c r="E55" s="751"/>
      <c r="F55" s="751"/>
      <c r="G55" s="751"/>
      <c r="H55" s="751"/>
      <c r="I55" s="751"/>
      <c r="J55" s="751"/>
      <c r="K55" s="751"/>
      <c r="L55" s="751"/>
      <c r="M55" s="751"/>
      <c r="N55" s="751"/>
      <c r="O55" s="751"/>
      <c r="P55" s="752"/>
      <c r="Q55" s="195"/>
      <c r="R55" s="195"/>
      <c r="S55" s="194"/>
      <c r="T55" s="194"/>
      <c r="U55" s="194"/>
      <c r="V55" s="194"/>
      <c r="W55" s="194"/>
      <c r="X55" s="194"/>
      <c r="Y55" s="194"/>
      <c r="Z55" s="194"/>
      <c r="AA55" s="194"/>
      <c r="AB55" s="194"/>
      <c r="AC55" s="194"/>
      <c r="AD55" s="194"/>
    </row>
    <row r="56" spans="1:30" ht="21" x14ac:dyDescent="0.25">
      <c r="A56" s="749"/>
      <c r="B56" s="750"/>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25">
      <c r="A57" s="384" t="str">
        <f>A38</f>
        <v>21.  Promover los apoyos de acceso a educación superior a través del acompañamiento, preparación (PRE ICFES) y financiación del Examen Saber 11°  (ICFES).</v>
      </c>
      <c r="B57" s="406">
        <f>B38</f>
        <v>0.03</v>
      </c>
      <c r="C57" s="176" t="s">
        <v>62</v>
      </c>
      <c r="D57" s="175">
        <f>D38*$B$38/$P$38</f>
        <v>0</v>
      </c>
      <c r="E57" s="175">
        <f t="shared" ref="D57:O58" si="3">E38*$B$38/$P$38</f>
        <v>5.9999999999999984E-4</v>
      </c>
      <c r="F57" s="175">
        <f t="shared" si="3"/>
        <v>8.9999999999999976E-4</v>
      </c>
      <c r="G57" s="175">
        <f t="shared" si="3"/>
        <v>2.9999999999999992E-3</v>
      </c>
      <c r="H57" s="175">
        <f t="shared" si="3"/>
        <v>2.9999999999999992E-3</v>
      </c>
      <c r="I57" s="175">
        <f t="shared" si="3"/>
        <v>4.4999999999999988E-3</v>
      </c>
      <c r="J57" s="175">
        <f t="shared" si="3"/>
        <v>4.4999999999999988E-3</v>
      </c>
      <c r="K57" s="175">
        <f t="shared" si="3"/>
        <v>4.4999999999999988E-3</v>
      </c>
      <c r="L57" s="175">
        <f t="shared" si="3"/>
        <v>4.4999999999999988E-3</v>
      </c>
      <c r="M57" s="175">
        <f t="shared" si="3"/>
        <v>1.4999999999999996E-3</v>
      </c>
      <c r="N57" s="175">
        <f t="shared" si="3"/>
        <v>1.4999999999999996E-3</v>
      </c>
      <c r="O57" s="175">
        <f t="shared" si="3"/>
        <v>1.4999999999999996E-3</v>
      </c>
      <c r="P57" s="174">
        <f t="shared" ref="P57:P62" si="4">SUM(D57:O57)</f>
        <v>2.9999999999999992E-2</v>
      </c>
      <c r="Q57" s="197">
        <v>0.05</v>
      </c>
      <c r="R57" s="198">
        <f t="shared" ref="R57:R65" si="5">+P57-Q57</f>
        <v>-2.0000000000000011E-2</v>
      </c>
      <c r="S57" s="194"/>
      <c r="T57" s="194"/>
      <c r="U57" s="194"/>
      <c r="V57" s="194"/>
      <c r="W57" s="194"/>
      <c r="X57" s="194"/>
      <c r="Y57" s="194"/>
      <c r="Z57" s="194"/>
      <c r="AA57" s="194"/>
      <c r="AB57" s="194"/>
      <c r="AC57" s="194"/>
      <c r="AD57" s="194"/>
    </row>
    <row r="58" spans="1:30" x14ac:dyDescent="0.25">
      <c r="A58" s="385"/>
      <c r="B58" s="813"/>
      <c r="C58" s="173" t="s">
        <v>63</v>
      </c>
      <c r="D58" s="172">
        <f t="shared" si="3"/>
        <v>0</v>
      </c>
      <c r="E58" s="172">
        <f t="shared" si="3"/>
        <v>5.9999999999999984E-4</v>
      </c>
      <c r="F58" s="172">
        <f t="shared" si="3"/>
        <v>8.9999999999999976E-4</v>
      </c>
      <c r="G58" s="172">
        <f t="shared" si="3"/>
        <v>2.9999999999999992E-3</v>
      </c>
      <c r="H58" s="172">
        <f t="shared" si="3"/>
        <v>2.9999999999999992E-3</v>
      </c>
      <c r="I58" s="172">
        <f t="shared" si="3"/>
        <v>4.4999999999999988E-3</v>
      </c>
      <c r="J58" s="172">
        <f t="shared" si="3"/>
        <v>4.4999999999999988E-3</v>
      </c>
      <c r="K58" s="172">
        <f t="shared" si="3"/>
        <v>4.4999999999999988E-3</v>
      </c>
      <c r="L58" s="172">
        <f t="shared" si="3"/>
        <v>4.4999999999999988E-3</v>
      </c>
      <c r="M58" s="172">
        <f t="shared" si="3"/>
        <v>1.4999999999999996E-3</v>
      </c>
      <c r="N58" s="172">
        <f t="shared" si="3"/>
        <v>1.4999999999999996E-3</v>
      </c>
      <c r="O58" s="172">
        <f t="shared" si="3"/>
        <v>0</v>
      </c>
      <c r="P58" s="171">
        <f t="shared" si="4"/>
        <v>2.8499999999999991E-2</v>
      </c>
      <c r="Q58" s="199">
        <f>+P58</f>
        <v>2.8499999999999991E-2</v>
      </c>
      <c r="R58" s="198">
        <f t="shared" si="5"/>
        <v>0</v>
      </c>
      <c r="S58" s="194"/>
      <c r="T58" s="194"/>
      <c r="U58" s="194"/>
      <c r="V58" s="194"/>
      <c r="W58" s="194"/>
      <c r="X58" s="194"/>
      <c r="Y58" s="194"/>
      <c r="Z58" s="194"/>
      <c r="AA58" s="194"/>
      <c r="AB58" s="194"/>
      <c r="AC58" s="194"/>
      <c r="AD58" s="194"/>
    </row>
    <row r="59" spans="1:30" x14ac:dyDescent="0.25">
      <c r="A59" s="384"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386">
        <f>B40</f>
        <v>0.03</v>
      </c>
      <c r="C59" s="176" t="s">
        <v>62</v>
      </c>
      <c r="D59" s="175">
        <f t="shared" ref="D59:O60" si="6">D40*$B$40/$P$40</f>
        <v>0</v>
      </c>
      <c r="E59" s="175">
        <f t="shared" si="6"/>
        <v>5.9999999999999984E-4</v>
      </c>
      <c r="F59" s="175">
        <f t="shared" si="6"/>
        <v>8.9999999999999976E-4</v>
      </c>
      <c r="G59" s="175">
        <f t="shared" si="6"/>
        <v>1.4999999999999996E-3</v>
      </c>
      <c r="H59" s="175">
        <f t="shared" si="6"/>
        <v>2.9999999999999992E-3</v>
      </c>
      <c r="I59" s="175">
        <f t="shared" si="6"/>
        <v>2.9999999999999992E-3</v>
      </c>
      <c r="J59" s="175">
        <f t="shared" si="6"/>
        <v>4.4999999999999988E-3</v>
      </c>
      <c r="K59" s="175">
        <f t="shared" si="6"/>
        <v>4.4999999999999988E-3</v>
      </c>
      <c r="L59" s="175">
        <f t="shared" si="6"/>
        <v>4.4999999999999988E-3</v>
      </c>
      <c r="M59" s="175">
        <f t="shared" si="6"/>
        <v>4.4999999999999988E-3</v>
      </c>
      <c r="N59" s="175">
        <f t="shared" si="6"/>
        <v>1.4999999999999996E-3</v>
      </c>
      <c r="O59" s="175">
        <f t="shared" si="6"/>
        <v>1.4999999999999996E-3</v>
      </c>
      <c r="P59" s="174">
        <f t="shared" si="4"/>
        <v>2.9999999999999992E-2</v>
      </c>
      <c r="Q59" s="197">
        <v>2.5000000000000001E-2</v>
      </c>
      <c r="R59" s="198">
        <f t="shared" si="5"/>
        <v>4.9999999999999906E-3</v>
      </c>
      <c r="S59" s="194"/>
      <c r="T59" s="194"/>
      <c r="U59" s="194"/>
      <c r="V59" s="194"/>
      <c r="W59" s="194"/>
      <c r="X59" s="194"/>
      <c r="Y59" s="194"/>
      <c r="Z59" s="194"/>
      <c r="AA59" s="194"/>
      <c r="AB59" s="194"/>
      <c r="AC59" s="194"/>
      <c r="AD59" s="194"/>
    </row>
    <row r="60" spans="1:30" x14ac:dyDescent="0.25">
      <c r="A60" s="839"/>
      <c r="B60" s="803"/>
      <c r="C60" s="173" t="s">
        <v>63</v>
      </c>
      <c r="D60" s="172">
        <f t="shared" si="6"/>
        <v>0</v>
      </c>
      <c r="E60" s="172">
        <f t="shared" si="6"/>
        <v>5.9999999999999984E-4</v>
      </c>
      <c r="F60" s="172">
        <f t="shared" si="6"/>
        <v>8.9999999999999976E-4</v>
      </c>
      <c r="G60" s="172">
        <f t="shared" si="6"/>
        <v>1.4999999999999996E-3</v>
      </c>
      <c r="H60" s="172">
        <f t="shared" si="6"/>
        <v>2.9999999999999992E-3</v>
      </c>
      <c r="I60" s="172">
        <f t="shared" si="6"/>
        <v>2.9999999999999992E-3</v>
      </c>
      <c r="J60" s="172">
        <f t="shared" si="6"/>
        <v>4.4999999999999988E-3</v>
      </c>
      <c r="K60" s="172">
        <f t="shared" si="6"/>
        <v>4.4999999999999988E-3</v>
      </c>
      <c r="L60" s="172">
        <f t="shared" si="6"/>
        <v>4.4999999999999988E-3</v>
      </c>
      <c r="M60" s="172">
        <f t="shared" si="6"/>
        <v>4.4999999999999988E-3</v>
      </c>
      <c r="N60" s="172">
        <f t="shared" si="6"/>
        <v>1.4999999999999996E-3</v>
      </c>
      <c r="O60" s="172">
        <f t="shared" si="6"/>
        <v>0</v>
      </c>
      <c r="P60" s="171">
        <f t="shared" si="4"/>
        <v>2.8499999999999991E-2</v>
      </c>
      <c r="Q60" s="199">
        <f>+P60</f>
        <v>2.8499999999999991E-2</v>
      </c>
      <c r="R60" s="198">
        <f t="shared" si="5"/>
        <v>0</v>
      </c>
      <c r="S60" s="194"/>
      <c r="T60" s="194"/>
      <c r="U60" s="194"/>
      <c r="V60" s="194"/>
      <c r="W60" s="194"/>
      <c r="X60" s="194"/>
      <c r="Y60" s="194"/>
      <c r="Z60" s="194"/>
      <c r="AA60" s="194"/>
      <c r="AB60" s="194"/>
      <c r="AC60" s="194"/>
      <c r="AD60" s="194"/>
    </row>
    <row r="61" spans="1:30" x14ac:dyDescent="0.25">
      <c r="A61" s="384"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386">
        <f>B42</f>
        <v>0.03</v>
      </c>
      <c r="C61" s="176" t="s">
        <v>62</v>
      </c>
      <c r="D61" s="175">
        <f t="shared" ref="D61:O62" si="7">D42*$B$42/$P$42</f>
        <v>0</v>
      </c>
      <c r="E61" s="175">
        <f t="shared" si="7"/>
        <v>1.5000000000000002E-3</v>
      </c>
      <c r="F61" s="175">
        <f t="shared" si="7"/>
        <v>3.0000000000000005E-3</v>
      </c>
      <c r="G61" s="175">
        <f t="shared" si="7"/>
        <v>3.0000000000000005E-3</v>
      </c>
      <c r="H61" s="175">
        <f t="shared" si="7"/>
        <v>3.0000000000000005E-3</v>
      </c>
      <c r="I61" s="175">
        <f t="shared" si="7"/>
        <v>3.0000000000000005E-3</v>
      </c>
      <c r="J61" s="175">
        <f t="shared" si="7"/>
        <v>3.0000000000000005E-3</v>
      </c>
      <c r="K61" s="175">
        <f t="shared" si="7"/>
        <v>3.0000000000000005E-3</v>
      </c>
      <c r="L61" s="175">
        <f t="shared" si="7"/>
        <v>3.0000000000000005E-3</v>
      </c>
      <c r="M61" s="175">
        <f t="shared" si="7"/>
        <v>3.0000000000000005E-3</v>
      </c>
      <c r="N61" s="175">
        <f t="shared" si="7"/>
        <v>3.0000000000000005E-3</v>
      </c>
      <c r="O61" s="175">
        <f t="shared" si="7"/>
        <v>1.5000000000000002E-3</v>
      </c>
      <c r="P61" s="174">
        <f t="shared" si="4"/>
        <v>3.0000000000000002E-2</v>
      </c>
      <c r="Q61" s="197">
        <v>2.5000000000000001E-2</v>
      </c>
      <c r="R61" s="198">
        <f t="shared" si="5"/>
        <v>5.000000000000001E-3</v>
      </c>
      <c r="S61" s="194"/>
      <c r="T61" s="194"/>
      <c r="U61" s="194"/>
      <c r="V61" s="194"/>
      <c r="W61" s="194"/>
      <c r="X61" s="194"/>
      <c r="Y61" s="194"/>
      <c r="Z61" s="194"/>
      <c r="AA61" s="194"/>
      <c r="AB61" s="194"/>
      <c r="AC61" s="194"/>
      <c r="AD61" s="194"/>
    </row>
    <row r="62" spans="1:30" x14ac:dyDescent="0.25">
      <c r="A62" s="839"/>
      <c r="B62" s="803"/>
      <c r="C62" s="173" t="s">
        <v>63</v>
      </c>
      <c r="D62" s="172">
        <f t="shared" si="7"/>
        <v>0</v>
      </c>
      <c r="E62" s="172">
        <f t="shared" si="7"/>
        <v>1.5000000000000002E-3</v>
      </c>
      <c r="F62" s="172">
        <f t="shared" si="7"/>
        <v>3.0000000000000005E-3</v>
      </c>
      <c r="G62" s="172">
        <f t="shared" si="7"/>
        <v>3.0000000000000005E-3</v>
      </c>
      <c r="H62" s="172">
        <f t="shared" si="7"/>
        <v>3.0000000000000005E-3</v>
      </c>
      <c r="I62" s="172">
        <f t="shared" si="7"/>
        <v>3.0000000000000005E-3</v>
      </c>
      <c r="J62" s="172">
        <f t="shared" si="7"/>
        <v>3.0000000000000005E-3</v>
      </c>
      <c r="K62" s="172">
        <f t="shared" si="7"/>
        <v>3.0000000000000005E-3</v>
      </c>
      <c r="L62" s="172">
        <f t="shared" si="7"/>
        <v>3.0000000000000005E-3</v>
      </c>
      <c r="M62" s="172">
        <f t="shared" si="7"/>
        <v>3.0000000000000005E-3</v>
      </c>
      <c r="N62" s="172">
        <f t="shared" si="7"/>
        <v>3.0000000000000005E-3</v>
      </c>
      <c r="O62" s="172">
        <f t="shared" si="7"/>
        <v>0</v>
      </c>
      <c r="P62" s="171">
        <f t="shared" si="4"/>
        <v>2.8500000000000001E-2</v>
      </c>
      <c r="Q62" s="199">
        <f>+P62</f>
        <v>2.8500000000000001E-2</v>
      </c>
      <c r="R62" s="198">
        <f t="shared" si="5"/>
        <v>0</v>
      </c>
      <c r="S62" s="194"/>
      <c r="T62" s="194"/>
      <c r="U62" s="194"/>
      <c r="V62" s="194"/>
      <c r="W62" s="194"/>
      <c r="X62" s="194"/>
      <c r="Y62" s="194"/>
      <c r="Z62" s="194"/>
      <c r="AA62" s="194"/>
      <c r="AB62" s="194"/>
      <c r="AC62" s="194"/>
      <c r="AD62" s="194"/>
    </row>
    <row r="63" spans="1:30"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25">
      <c r="A65" s="195"/>
      <c r="B65" s="169"/>
      <c r="C65" s="170"/>
      <c r="D65" s="165">
        <f>D58+D60+D62</f>
        <v>0</v>
      </c>
      <c r="E65" s="165">
        <f t="shared" ref="E65:O65" si="8">E58+E60+E62</f>
        <v>2.7000000000000001E-3</v>
      </c>
      <c r="F65" s="165">
        <f t="shared" si="8"/>
        <v>4.8000000000000004E-3</v>
      </c>
      <c r="G65" s="165">
        <f t="shared" si="8"/>
        <v>7.4999999999999997E-3</v>
      </c>
      <c r="H65" s="165">
        <f t="shared" si="8"/>
        <v>8.9999999999999993E-3</v>
      </c>
      <c r="I65" s="165">
        <f t="shared" si="8"/>
        <v>1.0499999999999999E-2</v>
      </c>
      <c r="J65" s="165">
        <f t="shared" si="8"/>
        <v>1.1999999999999999E-2</v>
      </c>
      <c r="K65" s="165">
        <f t="shared" si="8"/>
        <v>1.1999999999999999E-2</v>
      </c>
      <c r="L65" s="165">
        <f t="shared" si="8"/>
        <v>1.1999999999999999E-2</v>
      </c>
      <c r="M65" s="165">
        <f t="shared" si="8"/>
        <v>8.9999999999999993E-3</v>
      </c>
      <c r="N65" s="165">
        <f t="shared" si="8"/>
        <v>6.0000000000000001E-3</v>
      </c>
      <c r="O65" s="165">
        <f t="shared" si="8"/>
        <v>0</v>
      </c>
      <c r="P65" s="165">
        <f>P58+P60+P62</f>
        <v>8.5499999999999979E-2</v>
      </c>
      <c r="Q65" s="195"/>
      <c r="R65" s="198">
        <f t="shared" si="5"/>
        <v>8.5499999999999979E-2</v>
      </c>
      <c r="S65" s="194"/>
      <c r="T65" s="194"/>
      <c r="U65" s="194"/>
      <c r="V65" s="194"/>
      <c r="W65" s="194"/>
      <c r="X65" s="194"/>
      <c r="Y65" s="194"/>
      <c r="Z65" s="194"/>
      <c r="AA65" s="194"/>
      <c r="AB65" s="194"/>
      <c r="AC65" s="194"/>
      <c r="AD65" s="194"/>
    </row>
    <row r="66" spans="1:30" x14ac:dyDescent="0.25">
      <c r="A66" s="195"/>
      <c r="B66" s="167"/>
      <c r="C66" s="164" t="s">
        <v>63</v>
      </c>
      <c r="D66" s="163">
        <f>D65*$W$17/$B$34</f>
        <v>0</v>
      </c>
      <c r="E66" s="163">
        <f t="shared" ref="E66:O66" si="9">E65*$W$17/$B$34</f>
        <v>9.0000000000000011E-3</v>
      </c>
      <c r="F66" s="163">
        <f t="shared" si="9"/>
        <v>1.6E-2</v>
      </c>
      <c r="G66" s="163">
        <f t="shared" si="9"/>
        <v>2.4999999999999998E-2</v>
      </c>
      <c r="H66" s="163">
        <f t="shared" si="9"/>
        <v>0.03</v>
      </c>
      <c r="I66" s="163">
        <f t="shared" si="9"/>
        <v>3.4999999999999996E-2</v>
      </c>
      <c r="J66" s="163">
        <f t="shared" si="9"/>
        <v>3.9999999999999994E-2</v>
      </c>
      <c r="K66" s="163">
        <f t="shared" si="9"/>
        <v>3.9999999999999994E-2</v>
      </c>
      <c r="L66" s="163">
        <f t="shared" si="9"/>
        <v>3.9999999999999994E-2</v>
      </c>
      <c r="M66" s="163">
        <f t="shared" si="9"/>
        <v>0.03</v>
      </c>
      <c r="N66" s="163">
        <f t="shared" si="9"/>
        <v>0.02</v>
      </c>
      <c r="O66" s="163">
        <f t="shared" si="9"/>
        <v>0</v>
      </c>
      <c r="P66" s="162">
        <f>SUM(D66:O66)</f>
        <v>0.28499999999999992</v>
      </c>
      <c r="Q66" s="196"/>
      <c r="R66" s="195"/>
      <c r="S66" s="194"/>
      <c r="T66" s="194"/>
      <c r="U66" s="194"/>
      <c r="V66" s="194"/>
      <c r="W66" s="194"/>
      <c r="X66" s="194"/>
      <c r="Y66" s="194"/>
      <c r="Z66" s="194"/>
      <c r="AA66" s="194"/>
      <c r="AB66" s="194"/>
      <c r="AC66" s="194"/>
      <c r="AD66" s="194"/>
    </row>
    <row r="67" spans="1:30"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25">
      <c r="A68" s="197"/>
      <c r="B68" s="108"/>
      <c r="C68" s="108"/>
      <c r="D68" s="165">
        <f t="shared" ref="D68:P68" si="10">+D57+D59+D61</f>
        <v>0</v>
      </c>
      <c r="E68" s="165">
        <f t="shared" si="10"/>
        <v>2.7000000000000001E-3</v>
      </c>
      <c r="F68" s="165">
        <f t="shared" si="10"/>
        <v>4.8000000000000004E-3</v>
      </c>
      <c r="G68" s="165">
        <f t="shared" si="10"/>
        <v>7.4999999999999997E-3</v>
      </c>
      <c r="H68" s="165">
        <f t="shared" si="10"/>
        <v>8.9999999999999993E-3</v>
      </c>
      <c r="I68" s="165">
        <f t="shared" si="10"/>
        <v>1.0499999999999999E-2</v>
      </c>
      <c r="J68" s="165">
        <f t="shared" si="10"/>
        <v>1.1999999999999999E-2</v>
      </c>
      <c r="K68" s="165">
        <f t="shared" si="10"/>
        <v>1.1999999999999999E-2</v>
      </c>
      <c r="L68" s="165">
        <f t="shared" si="10"/>
        <v>1.1999999999999999E-2</v>
      </c>
      <c r="M68" s="165">
        <f t="shared" si="10"/>
        <v>8.9999999999999993E-3</v>
      </c>
      <c r="N68" s="165">
        <f t="shared" si="10"/>
        <v>6.0000000000000001E-3</v>
      </c>
      <c r="O68" s="165">
        <f t="shared" si="10"/>
        <v>4.4999999999999997E-3</v>
      </c>
      <c r="P68" s="165">
        <f t="shared" si="10"/>
        <v>8.9999999999999983E-2</v>
      </c>
      <c r="Q68" s="197"/>
      <c r="R68" s="197"/>
      <c r="S68" s="194"/>
      <c r="T68" s="194"/>
      <c r="U68" s="194"/>
      <c r="V68" s="194"/>
      <c r="W68" s="194"/>
      <c r="X68" s="194"/>
      <c r="Y68" s="194"/>
      <c r="Z68" s="194"/>
      <c r="AA68" s="194"/>
      <c r="AB68" s="194"/>
      <c r="AC68" s="194"/>
      <c r="AD68" s="194"/>
    </row>
    <row r="69" spans="1:30" x14ac:dyDescent="0.25">
      <c r="A69" s="197"/>
      <c r="B69" s="108"/>
      <c r="C69" s="164" t="s">
        <v>62</v>
      </c>
      <c r="D69" s="163">
        <f t="shared" ref="D69:O69" si="11">D68*$W$17/$B$34</f>
        <v>0</v>
      </c>
      <c r="E69" s="163">
        <f t="shared" si="11"/>
        <v>9.0000000000000011E-3</v>
      </c>
      <c r="F69" s="163">
        <f t="shared" si="11"/>
        <v>1.6E-2</v>
      </c>
      <c r="G69" s="163">
        <f t="shared" si="11"/>
        <v>2.4999999999999998E-2</v>
      </c>
      <c r="H69" s="163">
        <f t="shared" si="11"/>
        <v>0.03</v>
      </c>
      <c r="I69" s="163">
        <f t="shared" si="11"/>
        <v>3.4999999999999996E-2</v>
      </c>
      <c r="J69" s="163">
        <f t="shared" si="11"/>
        <v>3.9999999999999994E-2</v>
      </c>
      <c r="K69" s="163">
        <f t="shared" si="11"/>
        <v>3.9999999999999994E-2</v>
      </c>
      <c r="L69" s="163">
        <f t="shared" si="11"/>
        <v>3.9999999999999994E-2</v>
      </c>
      <c r="M69" s="163">
        <f t="shared" si="11"/>
        <v>0.03</v>
      </c>
      <c r="N69" s="163">
        <f t="shared" si="11"/>
        <v>0.02</v>
      </c>
      <c r="O69" s="163">
        <f t="shared" si="11"/>
        <v>1.4999999999999999E-2</v>
      </c>
      <c r="P69" s="162">
        <f>SUM(D69:O69)</f>
        <v>0.29999999999999993</v>
      </c>
      <c r="Q69" s="197"/>
      <c r="R69" s="197"/>
      <c r="S69" s="194"/>
      <c r="T69" s="194"/>
      <c r="U69" s="194"/>
      <c r="V69" s="194"/>
      <c r="W69" s="194"/>
      <c r="X69" s="194"/>
      <c r="Y69" s="194"/>
      <c r="Z69" s="194"/>
      <c r="AA69" s="194"/>
      <c r="AB69" s="194"/>
      <c r="AC69" s="194"/>
      <c r="AD69" s="194"/>
    </row>
    <row r="70" spans="1:30" x14ac:dyDescent="0.25">
      <c r="A70" s="194"/>
      <c r="Q70" s="194"/>
      <c r="R70" s="194"/>
      <c r="S70" s="194"/>
      <c r="T70" s="194"/>
      <c r="U70" s="194"/>
      <c r="V70" s="194"/>
      <c r="W70" s="194"/>
      <c r="X70" s="194"/>
      <c r="Y70" s="194"/>
      <c r="Z70" s="194"/>
      <c r="AA70" s="194"/>
      <c r="AB70" s="194"/>
      <c r="AC70" s="194"/>
      <c r="AD70" s="194"/>
    </row>
    <row r="71" spans="1:30" x14ac:dyDescent="0.25">
      <c r="A71" s="194"/>
      <c r="Q71" s="194"/>
      <c r="R71" s="194"/>
      <c r="S71" s="194"/>
      <c r="T71" s="194"/>
      <c r="U71" s="194"/>
      <c r="V71" s="194"/>
      <c r="W71" s="194"/>
      <c r="X71" s="194"/>
      <c r="Y71" s="194"/>
      <c r="Z71" s="194"/>
      <c r="AA71" s="194"/>
      <c r="AB71" s="194"/>
      <c r="AC71" s="194"/>
      <c r="AD71" s="194"/>
    </row>
    <row r="72" spans="1:30"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8">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phoneticPr fontId="66" type="noConversion"/>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view="pageLayout" topLeftCell="N32" zoomScaleNormal="60" workbookViewId="0">
      <selection activeCell="Q34" sqref="Q34:S35"/>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9.28515625" style="50" customWidth="1"/>
    <col min="17" max="17" width="19.425781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925"/>
      <c r="B1" s="928" t="s">
        <v>0</v>
      </c>
      <c r="C1" s="929"/>
      <c r="D1" s="929"/>
      <c r="E1" s="929"/>
      <c r="F1" s="929"/>
      <c r="G1" s="929"/>
      <c r="H1" s="929"/>
      <c r="I1" s="929"/>
      <c r="J1" s="929"/>
      <c r="K1" s="929"/>
      <c r="L1" s="929"/>
      <c r="M1" s="929"/>
      <c r="N1" s="929"/>
      <c r="O1" s="929"/>
      <c r="P1" s="929"/>
      <c r="Q1" s="929"/>
      <c r="R1" s="929"/>
      <c r="S1" s="929"/>
      <c r="T1" s="929"/>
      <c r="U1" s="929"/>
      <c r="V1" s="929"/>
      <c r="W1" s="929"/>
      <c r="X1" s="929"/>
      <c r="Y1" s="929"/>
      <c r="Z1" s="929"/>
      <c r="AA1" s="930"/>
      <c r="AB1" s="931" t="s">
        <v>1</v>
      </c>
      <c r="AC1" s="932"/>
      <c r="AD1" s="933"/>
    </row>
    <row r="2" spans="1:33" ht="30.75" customHeight="1" thickBot="1" x14ac:dyDescent="0.3">
      <c r="A2" s="926"/>
      <c r="B2" s="928" t="s">
        <v>2</v>
      </c>
      <c r="C2" s="929"/>
      <c r="D2" s="929"/>
      <c r="E2" s="929"/>
      <c r="F2" s="929"/>
      <c r="G2" s="929"/>
      <c r="H2" s="929"/>
      <c r="I2" s="929"/>
      <c r="J2" s="929"/>
      <c r="K2" s="929"/>
      <c r="L2" s="929"/>
      <c r="M2" s="929"/>
      <c r="N2" s="929"/>
      <c r="O2" s="929"/>
      <c r="P2" s="929"/>
      <c r="Q2" s="929"/>
      <c r="R2" s="929"/>
      <c r="S2" s="929"/>
      <c r="T2" s="929"/>
      <c r="U2" s="929"/>
      <c r="V2" s="929"/>
      <c r="W2" s="929"/>
      <c r="X2" s="929"/>
      <c r="Y2" s="929"/>
      <c r="Z2" s="929"/>
      <c r="AA2" s="930"/>
      <c r="AB2" s="922" t="s">
        <v>3</v>
      </c>
      <c r="AC2" s="923"/>
      <c r="AD2" s="924"/>
    </row>
    <row r="3" spans="1:33" ht="24" customHeight="1" x14ac:dyDescent="0.25">
      <c r="A3" s="926"/>
      <c r="B3" s="916" t="s">
        <v>4</v>
      </c>
      <c r="C3" s="917"/>
      <c r="D3" s="917"/>
      <c r="E3" s="917"/>
      <c r="F3" s="917"/>
      <c r="G3" s="917"/>
      <c r="H3" s="917"/>
      <c r="I3" s="917"/>
      <c r="J3" s="917"/>
      <c r="K3" s="917"/>
      <c r="L3" s="917"/>
      <c r="M3" s="917"/>
      <c r="N3" s="917"/>
      <c r="O3" s="917"/>
      <c r="P3" s="917"/>
      <c r="Q3" s="917"/>
      <c r="R3" s="917"/>
      <c r="S3" s="917"/>
      <c r="T3" s="917"/>
      <c r="U3" s="917"/>
      <c r="V3" s="917"/>
      <c r="W3" s="917"/>
      <c r="X3" s="917"/>
      <c r="Y3" s="917"/>
      <c r="Z3" s="917"/>
      <c r="AA3" s="918"/>
      <c r="AB3" s="922" t="s">
        <v>5</v>
      </c>
      <c r="AC3" s="923"/>
      <c r="AD3" s="924"/>
    </row>
    <row r="4" spans="1:33" ht="21.75" customHeight="1" thickBot="1" x14ac:dyDescent="0.3">
      <c r="A4" s="927"/>
      <c r="B4" s="919"/>
      <c r="C4" s="920"/>
      <c r="D4" s="920"/>
      <c r="E4" s="920"/>
      <c r="F4" s="920"/>
      <c r="G4" s="920"/>
      <c r="H4" s="920"/>
      <c r="I4" s="920"/>
      <c r="J4" s="920"/>
      <c r="K4" s="920"/>
      <c r="L4" s="920"/>
      <c r="M4" s="920"/>
      <c r="N4" s="920"/>
      <c r="O4" s="920"/>
      <c r="P4" s="920"/>
      <c r="Q4" s="920"/>
      <c r="R4" s="920"/>
      <c r="S4" s="920"/>
      <c r="T4" s="920"/>
      <c r="U4" s="920"/>
      <c r="V4" s="920"/>
      <c r="W4" s="920"/>
      <c r="X4" s="920"/>
      <c r="Y4" s="920"/>
      <c r="Z4" s="920"/>
      <c r="AA4" s="921"/>
      <c r="AB4" s="913" t="s">
        <v>6</v>
      </c>
      <c r="AC4" s="914"/>
      <c r="AD4" s="91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 customHeight="1" x14ac:dyDescent="0.25">
      <c r="A7" s="436" t="s">
        <v>7</v>
      </c>
      <c r="B7" s="437"/>
      <c r="C7" s="478" t="s">
        <v>39</v>
      </c>
      <c r="D7" s="442" t="s">
        <v>9</v>
      </c>
      <c r="E7" s="443"/>
      <c r="F7" s="443"/>
      <c r="G7" s="443"/>
      <c r="H7" s="444"/>
      <c r="I7" s="451">
        <v>45265</v>
      </c>
      <c r="J7" s="934"/>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 customHeight="1" x14ac:dyDescent="0.25">
      <c r="A8" s="438"/>
      <c r="B8" s="439"/>
      <c r="C8" s="479"/>
      <c r="D8" s="445"/>
      <c r="E8" s="446"/>
      <c r="F8" s="446"/>
      <c r="G8" s="446"/>
      <c r="H8" s="447"/>
      <c r="I8" s="935"/>
      <c r="J8" s="936"/>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5.75" customHeight="1" thickBot="1" x14ac:dyDescent="0.3">
      <c r="A9" s="440"/>
      <c r="B9" s="441"/>
      <c r="C9" s="480"/>
      <c r="D9" s="448"/>
      <c r="E9" s="449"/>
      <c r="F9" s="449"/>
      <c r="G9" s="449"/>
      <c r="H9" s="450"/>
      <c r="I9" s="937"/>
      <c r="J9" s="938"/>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16</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6.9"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533" t="s">
        <v>20</v>
      </c>
      <c r="S15" s="534"/>
      <c r="T15" s="534"/>
      <c r="U15" s="534"/>
      <c r="V15" s="534"/>
      <c r="W15" s="534"/>
      <c r="X15" s="535"/>
      <c r="Y15" s="484" t="s">
        <v>21</v>
      </c>
      <c r="Z15" s="485"/>
      <c r="AA15" s="517" t="s">
        <v>22</v>
      </c>
      <c r="AB15" s="518"/>
      <c r="AC15" s="518"/>
      <c r="AD15" s="519"/>
    </row>
    <row r="16" spans="1:33" ht="9" customHeight="1" thickBot="1" x14ac:dyDescent="0.3">
      <c r="A16" s="247"/>
      <c r="B16" s="242"/>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03"/>
      <c r="AA16" s="903"/>
      <c r="AB16" s="903"/>
      <c r="AC16" s="269"/>
      <c r="AD16" s="270"/>
    </row>
    <row r="17" spans="1:41" s="76" customFormat="1" ht="37.5" customHeight="1" thickBot="1" x14ac:dyDescent="0.3">
      <c r="A17" s="489" t="s">
        <v>23</v>
      </c>
      <c r="B17" s="490"/>
      <c r="C17" s="904" t="s">
        <v>137</v>
      </c>
      <c r="D17" s="905"/>
      <c r="E17" s="905"/>
      <c r="F17" s="905"/>
      <c r="G17" s="905"/>
      <c r="H17" s="905"/>
      <c r="I17" s="905"/>
      <c r="J17" s="905"/>
      <c r="K17" s="905"/>
      <c r="L17" s="905"/>
      <c r="M17" s="905"/>
      <c r="N17" s="905"/>
      <c r="O17" s="905"/>
      <c r="P17" s="905"/>
      <c r="Q17" s="906"/>
      <c r="R17" s="484" t="s">
        <v>25</v>
      </c>
      <c r="S17" s="488"/>
      <c r="T17" s="488"/>
      <c r="U17" s="488"/>
      <c r="V17" s="485"/>
      <c r="W17" s="486">
        <v>0.2</v>
      </c>
      <c r="X17" s="487"/>
      <c r="Y17" s="484" t="s">
        <v>26</v>
      </c>
      <c r="Z17" s="488"/>
      <c r="AA17" s="488"/>
      <c r="AB17" s="485"/>
      <c r="AC17" s="530">
        <v>0.06</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thickBot="1" x14ac:dyDescent="0.3">
      <c r="A22" s="558" t="s">
        <v>43</v>
      </c>
      <c r="B22" s="560"/>
      <c r="C22" s="278"/>
      <c r="D22" s="279"/>
      <c r="E22" s="279"/>
      <c r="F22" s="279"/>
      <c r="G22" s="279"/>
      <c r="H22" s="279"/>
      <c r="I22" s="279"/>
      <c r="J22" s="279"/>
      <c r="K22" s="279"/>
      <c r="L22" s="279"/>
      <c r="M22" s="279"/>
      <c r="N22" s="279"/>
      <c r="O22" s="279">
        <f>SUM(C22:N22)</f>
        <v>0</v>
      </c>
      <c r="P22" s="280"/>
      <c r="Q22" s="281">
        <v>229724920</v>
      </c>
      <c r="R22" s="282">
        <v>8537488</v>
      </c>
      <c r="S22" s="282">
        <v>0</v>
      </c>
      <c r="T22" s="282">
        <v>56668000</v>
      </c>
      <c r="U22" s="282">
        <v>0</v>
      </c>
      <c r="V22" s="282">
        <v>0</v>
      </c>
      <c r="W22" s="282">
        <v>0</v>
      </c>
      <c r="X22" s="330">
        <v>1424508</v>
      </c>
      <c r="Y22" s="330">
        <v>0</v>
      </c>
      <c r="Z22" s="330">
        <v>-16329365</v>
      </c>
      <c r="AA22" s="330">
        <v>0</v>
      </c>
      <c r="AB22" s="330">
        <v>0</v>
      </c>
      <c r="AC22" s="283">
        <f>SUM(Q22:AB22)</f>
        <v>280025551</v>
      </c>
      <c r="AD22" s="284"/>
      <c r="AE22" s="3"/>
      <c r="AF22" s="3"/>
    </row>
    <row r="23" spans="1:41" ht="31.9" customHeight="1" x14ac:dyDescent="0.25">
      <c r="A23" s="880" t="s">
        <v>44</v>
      </c>
      <c r="B23" s="881"/>
      <c r="C23" s="286"/>
      <c r="D23" s="287"/>
      <c r="E23" s="287"/>
      <c r="F23" s="287"/>
      <c r="G23" s="287"/>
      <c r="H23" s="287"/>
      <c r="I23" s="287"/>
      <c r="J23" s="287"/>
      <c r="K23" s="287"/>
      <c r="L23" s="287"/>
      <c r="M23" s="287"/>
      <c r="N23" s="287"/>
      <c r="O23" s="287">
        <f>SUM(C23:N23)</f>
        <v>0</v>
      </c>
      <c r="P23" s="288" t="str">
        <f>IFERROR(O23/(SUMIF(C23:N23,"&gt;0",C22:N22))," ")</f>
        <v xml:space="preserve"> </v>
      </c>
      <c r="Q23" s="289">
        <f>181785424</f>
        <v>181785424</v>
      </c>
      <c r="R23" s="290">
        <f>227875864-Q23</f>
        <v>46090440</v>
      </c>
      <c r="S23" s="290">
        <f>226252867-Q23-R23</f>
        <v>-1622997</v>
      </c>
      <c r="T23" s="290">
        <f>224621347-Q23-R23-S23</f>
        <v>-1631520</v>
      </c>
      <c r="U23" s="290">
        <f>239686916-Q23-R23-S23-T23</f>
        <v>15065569</v>
      </c>
      <c r="V23" s="290">
        <f>239686916-Q23-R23-S23-T23-U23</f>
        <v>0</v>
      </c>
      <c r="W23" s="290">
        <f>239686916-Q23-R23-S23-T23-U23-V23</f>
        <v>0</v>
      </c>
      <c r="X23" s="331">
        <f>239686916-Q23-R23-S23-T23-U23-V23-W23</f>
        <v>0</v>
      </c>
      <c r="Y23" s="331">
        <f>247787425-Q23-R23-S23-T23-U23-V23-W23-X23</f>
        <v>8100509</v>
      </c>
      <c r="Z23" s="331">
        <f>247787425-Q23-R23-S23-T23-U23-V23-W23-X23-Y23</f>
        <v>0</v>
      </c>
      <c r="AA23" s="331">
        <f>247787425-Q23-R23-U23-V23-W23-X23-Y23-Z23-S23-T23</f>
        <v>0</v>
      </c>
      <c r="AB23" s="331"/>
      <c r="AC23" s="283">
        <f>SUM(Q23:AB23)</f>
        <v>247787425</v>
      </c>
      <c r="AD23" s="291">
        <f>AC23/AC22</f>
        <v>0.88487434134180132</v>
      </c>
      <c r="AE23" s="3"/>
      <c r="AF23" s="3"/>
    </row>
    <row r="24" spans="1:41" ht="31.9" customHeight="1" x14ac:dyDescent="0.25">
      <c r="A24" s="880" t="s">
        <v>45</v>
      </c>
      <c r="B24" s="881"/>
      <c r="C24" s="286"/>
      <c r="D24" s="287">
        <v>1214133</v>
      </c>
      <c r="E24" s="287"/>
      <c r="F24" s="287"/>
      <c r="G24" s="287"/>
      <c r="H24" s="287"/>
      <c r="I24" s="287"/>
      <c r="J24" s="287"/>
      <c r="K24" s="287"/>
      <c r="L24" s="287"/>
      <c r="M24" s="287"/>
      <c r="N24" s="287"/>
      <c r="O24" s="290">
        <f>SUM(C24:N24)</f>
        <v>1214133</v>
      </c>
      <c r="P24" s="292"/>
      <c r="Q24" s="289"/>
      <c r="R24" s="346">
        <v>11116766.16</v>
      </c>
      <c r="S24" s="345">
        <v>20815535.493333299</v>
      </c>
      <c r="T24" s="345">
        <v>20815535.493333299</v>
      </c>
      <c r="U24" s="345">
        <v>20815535.493333299</v>
      </c>
      <c r="V24" s="345">
        <v>20815535.493333299</v>
      </c>
      <c r="W24" s="346">
        <v>20815535.493333299</v>
      </c>
      <c r="X24" s="347">
        <f>32548327+284902</f>
        <v>32833229</v>
      </c>
      <c r="Y24" s="347">
        <f>32548327+284902</f>
        <v>32833229</v>
      </c>
      <c r="Z24" s="347">
        <f>32548327+284902-5443122</f>
        <v>27390107</v>
      </c>
      <c r="AA24" s="347">
        <f>32548327+284902-5443122</f>
        <v>27390107</v>
      </c>
      <c r="AB24" s="347">
        <f>49542656.6733333+284900-5443121</f>
        <v>44384435.673333302</v>
      </c>
      <c r="AC24" s="287">
        <f>SUM(Q24:AB24)</f>
        <v>280025551.29999977</v>
      </c>
      <c r="AD24" s="291"/>
      <c r="AE24" s="3"/>
      <c r="AF24" s="3"/>
    </row>
    <row r="25" spans="1:41" ht="31.9" customHeight="1" thickBot="1" x14ac:dyDescent="0.3">
      <c r="A25" s="561" t="s">
        <v>46</v>
      </c>
      <c r="B25" s="563"/>
      <c r="C25" s="296"/>
      <c r="D25" s="297">
        <v>1214133</v>
      </c>
      <c r="E25" s="297"/>
      <c r="F25" s="297"/>
      <c r="G25" s="297"/>
      <c r="H25" s="297"/>
      <c r="I25" s="297"/>
      <c r="J25" s="297"/>
      <c r="K25" s="297"/>
      <c r="L25" s="297"/>
      <c r="M25" s="297"/>
      <c r="N25" s="297"/>
      <c r="O25" s="297">
        <f>SUM(C25:N25)</f>
        <v>1214133</v>
      </c>
      <c r="P25" s="299">
        <f>IFERROR(O25/(SUMIF(C25:N25,"&gt;0",C24:N24))," ")</f>
        <v>1</v>
      </c>
      <c r="Q25" s="348"/>
      <c r="R25" s="298">
        <f>5710347</f>
        <v>5710347</v>
      </c>
      <c r="S25" s="298">
        <f>25278547-R25</f>
        <v>19568200</v>
      </c>
      <c r="T25" s="298">
        <f>45254627-R25-S25</f>
        <v>19976080</v>
      </c>
      <c r="U25" s="298">
        <f>65230707-R25-T25-S25</f>
        <v>19976080</v>
      </c>
      <c r="V25" s="298">
        <f>85206787-R25-S25-T25-U25</f>
        <v>19976080</v>
      </c>
      <c r="W25" s="298">
        <f>117869136-R25-S25-T25-U25-V25</f>
        <v>32662349</v>
      </c>
      <c r="X25" s="298">
        <f>140224516-R25-S25-T25-U25-V25-W25</f>
        <v>22355380</v>
      </c>
      <c r="Y25" s="298">
        <f>160200596-R25-S25-T25-U25-V25-W25-X25</f>
        <v>19976080</v>
      </c>
      <c r="Z25" s="298">
        <f>180176676-Q25-R25-S25-T25-U25-V25-W25-X25-Y25</f>
        <v>19976080</v>
      </c>
      <c r="AA25" s="298">
        <f>208253265-Q25-R25-S25-T25-U25-V25-W25-X25-Y25-Z25</f>
        <v>28076589</v>
      </c>
      <c r="AB25" s="298"/>
      <c r="AC25" s="297">
        <f>SUM(Q25:AB25)</f>
        <v>208253265</v>
      </c>
      <c r="AD25" s="302">
        <f>AC25/AC24</f>
        <v>0.74369379520261003</v>
      </c>
      <c r="AE25" s="3"/>
      <c r="AF25" s="3"/>
    </row>
    <row r="26" spans="1:41" ht="31.9" customHeight="1" thickBot="1" x14ac:dyDescent="0.3">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25">
      <c r="A27" s="877" t="s">
        <v>47</v>
      </c>
      <c r="B27" s="878"/>
      <c r="C27" s="878"/>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9"/>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69.75" customHeight="1" thickBot="1" x14ac:dyDescent="0.3">
      <c r="A30" s="332" t="str">
        <f>C17</f>
        <v>Implementar 1 estrategia de fortalecimiento de capacidades  para el ejercicio del derecho a la participación de las mujeres</v>
      </c>
      <c r="B30" s="774"/>
      <c r="C30" s="775"/>
      <c r="D30" s="308"/>
      <c r="E30" s="308"/>
      <c r="F30" s="308"/>
      <c r="G30" s="308"/>
      <c r="H30" s="308"/>
      <c r="I30" s="308"/>
      <c r="J30" s="308"/>
      <c r="K30" s="308"/>
      <c r="L30" s="308"/>
      <c r="M30" s="308"/>
      <c r="N30" s="308"/>
      <c r="O30" s="308"/>
      <c r="P30" s="309">
        <f>SUM(D30:O30)</f>
        <v>0</v>
      </c>
      <c r="Q30" s="911" t="s">
        <v>104</v>
      </c>
      <c r="R30" s="911"/>
      <c r="S30" s="911"/>
      <c r="T30" s="911"/>
      <c r="U30" s="911"/>
      <c r="V30" s="911"/>
      <c r="W30" s="911"/>
      <c r="X30" s="911"/>
      <c r="Y30" s="911"/>
      <c r="Z30" s="911"/>
      <c r="AA30" s="911"/>
      <c r="AB30" s="911"/>
      <c r="AC30" s="911"/>
      <c r="AD30" s="912"/>
    </row>
    <row r="31" spans="1:41" ht="45" customHeight="1" thickBot="1" x14ac:dyDescent="0.3">
      <c r="A31" s="465" t="s">
        <v>53</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872"/>
    </row>
    <row r="32" spans="1:41" ht="22.9" customHeight="1" x14ac:dyDescent="0.25">
      <c r="A32" s="469" t="s">
        <v>54</v>
      </c>
      <c r="B32" s="471" t="s">
        <v>55</v>
      </c>
      <c r="C32" s="529" t="s">
        <v>49</v>
      </c>
      <c r="D32" s="469" t="s">
        <v>56</v>
      </c>
      <c r="E32" s="471"/>
      <c r="F32" s="471"/>
      <c r="G32" s="471"/>
      <c r="H32" s="471"/>
      <c r="I32" s="471"/>
      <c r="J32" s="471"/>
      <c r="K32" s="471"/>
      <c r="L32" s="471"/>
      <c r="M32" s="471"/>
      <c r="N32" s="471"/>
      <c r="O32" s="471"/>
      <c r="P32" s="550"/>
      <c r="Q32" s="910" t="s">
        <v>57</v>
      </c>
      <c r="R32" s="471"/>
      <c r="S32" s="471"/>
      <c r="T32" s="471"/>
      <c r="U32" s="471"/>
      <c r="V32" s="471"/>
      <c r="W32" s="471"/>
      <c r="X32" s="471"/>
      <c r="Y32" s="471"/>
      <c r="Z32" s="471"/>
      <c r="AA32" s="471"/>
      <c r="AB32" s="471"/>
      <c r="AC32" s="471"/>
      <c r="AD32" s="550"/>
      <c r="AG32" s="87"/>
      <c r="AH32" s="87"/>
      <c r="AI32" s="87"/>
      <c r="AJ32" s="87"/>
      <c r="AK32" s="87"/>
      <c r="AL32" s="87"/>
      <c r="AM32" s="87"/>
      <c r="AN32" s="87"/>
      <c r="AO32" s="87"/>
    </row>
    <row r="33" spans="1:41" ht="27" customHeight="1" x14ac:dyDescent="0.25">
      <c r="A33" s="470"/>
      <c r="B33" s="472"/>
      <c r="C33" s="876"/>
      <c r="D33" s="28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527" t="s">
        <v>58</v>
      </c>
      <c r="R33" s="472"/>
      <c r="S33" s="472"/>
      <c r="T33" s="472" t="s">
        <v>59</v>
      </c>
      <c r="U33" s="472"/>
      <c r="V33" s="472"/>
      <c r="W33" s="524" t="s">
        <v>60</v>
      </c>
      <c r="X33" s="551"/>
      <c r="Y33" s="551"/>
      <c r="Z33" s="525"/>
      <c r="AA33" s="524" t="s">
        <v>61</v>
      </c>
      <c r="AB33" s="551"/>
      <c r="AC33" s="551"/>
      <c r="AD33" s="552"/>
      <c r="AG33" s="87"/>
      <c r="AH33" s="87"/>
      <c r="AI33" s="87"/>
      <c r="AJ33" s="87"/>
      <c r="AK33" s="87"/>
      <c r="AL33" s="87"/>
      <c r="AM33" s="87"/>
      <c r="AN33" s="87"/>
      <c r="AO33" s="87"/>
    </row>
    <row r="34" spans="1:41" ht="83.25" customHeight="1" x14ac:dyDescent="0.25">
      <c r="A34" s="909" t="str">
        <f>C17</f>
        <v>Implementar 1 estrategia de fortalecimiento de capacidades  para el ejercicio del derecho a la participación de las mujeres</v>
      </c>
      <c r="B34" s="538">
        <v>0.06</v>
      </c>
      <c r="C34" s="357" t="s">
        <v>62</v>
      </c>
      <c r="D34" s="358">
        <f>D69</f>
        <v>0</v>
      </c>
      <c r="E34" s="312">
        <f t="shared" ref="E34:O34" si="0">E69</f>
        <v>2.0000000000000011E-2</v>
      </c>
      <c r="F34" s="312">
        <f t="shared" si="0"/>
        <v>1.8000000000000002E-2</v>
      </c>
      <c r="G34" s="312">
        <f t="shared" si="0"/>
        <v>1.8000000000000002E-2</v>
      </c>
      <c r="H34" s="312">
        <f t="shared" si="0"/>
        <v>1.8000000000000002E-2</v>
      </c>
      <c r="I34" s="312">
        <f t="shared" si="0"/>
        <v>1.8000000000000002E-2</v>
      </c>
      <c r="J34" s="312">
        <f t="shared" si="0"/>
        <v>1.8000000000000002E-2</v>
      </c>
      <c r="K34" s="312">
        <f t="shared" si="0"/>
        <v>1.8000000000000002E-2</v>
      </c>
      <c r="L34" s="312">
        <f t="shared" si="0"/>
        <v>1.8000000000000002E-2</v>
      </c>
      <c r="M34" s="312">
        <f t="shared" si="0"/>
        <v>1.8000000000000002E-2</v>
      </c>
      <c r="N34" s="312">
        <f t="shared" si="0"/>
        <v>1.8000000000000002E-2</v>
      </c>
      <c r="O34" s="312">
        <f t="shared" si="0"/>
        <v>1.8000000000000002E-2</v>
      </c>
      <c r="P34" s="313">
        <f>SUM(D34:O34)</f>
        <v>0.20000000000000007</v>
      </c>
      <c r="Q34" s="892" t="s">
        <v>598</v>
      </c>
      <c r="R34" s="892"/>
      <c r="S34" s="893"/>
      <c r="T34" s="886" t="s">
        <v>599</v>
      </c>
      <c r="U34" s="887"/>
      <c r="V34" s="887"/>
      <c r="W34" s="886" t="s">
        <v>530</v>
      </c>
      <c r="X34" s="887"/>
      <c r="Y34" s="887"/>
      <c r="Z34" s="888"/>
      <c r="AA34" s="886" t="s">
        <v>138</v>
      </c>
      <c r="AB34" s="887"/>
      <c r="AC34" s="887"/>
      <c r="AD34" s="888"/>
      <c r="AG34" s="87"/>
      <c r="AH34" s="87"/>
      <c r="AI34" s="87"/>
      <c r="AJ34" s="87"/>
      <c r="AK34" s="87"/>
      <c r="AL34" s="87"/>
      <c r="AM34" s="87"/>
      <c r="AN34" s="87"/>
      <c r="AO34" s="87"/>
    </row>
    <row r="35" spans="1:41" ht="83.25" customHeight="1" thickBot="1" x14ac:dyDescent="0.3">
      <c r="A35" s="858"/>
      <c r="B35" s="539"/>
      <c r="C35" s="359" t="s">
        <v>63</v>
      </c>
      <c r="D35" s="360">
        <f>D66</f>
        <v>0</v>
      </c>
      <c r="E35" s="315">
        <f t="shared" ref="E35:O35" si="1">E66</f>
        <v>2.0000000000000011E-2</v>
      </c>
      <c r="F35" s="315">
        <f t="shared" si="1"/>
        <v>1.8000000000000002E-2</v>
      </c>
      <c r="G35" s="315">
        <f t="shared" si="1"/>
        <v>1.8000000000000002E-2</v>
      </c>
      <c r="H35" s="315">
        <f t="shared" si="1"/>
        <v>1.8000000000000002E-2</v>
      </c>
      <c r="I35" s="315">
        <f t="shared" si="1"/>
        <v>1.8000000000000002E-2</v>
      </c>
      <c r="J35" s="315">
        <f t="shared" si="1"/>
        <v>1.8000000000000002E-2</v>
      </c>
      <c r="K35" s="315">
        <f t="shared" si="1"/>
        <v>1.8000000000000002E-2</v>
      </c>
      <c r="L35" s="315">
        <f t="shared" si="1"/>
        <v>1.8000000000000002E-2</v>
      </c>
      <c r="M35" s="315">
        <f t="shared" si="1"/>
        <v>1.8000000000000002E-2</v>
      </c>
      <c r="N35" s="315">
        <f t="shared" si="1"/>
        <v>1.8000000000000002E-2</v>
      </c>
      <c r="O35" s="315">
        <f t="shared" si="1"/>
        <v>0</v>
      </c>
      <c r="P35" s="316">
        <f>SUM(D35:O35)</f>
        <v>0.18200000000000005</v>
      </c>
      <c r="Q35" s="894"/>
      <c r="R35" s="894"/>
      <c r="S35" s="895"/>
      <c r="T35" s="889"/>
      <c r="U35" s="890"/>
      <c r="V35" s="890"/>
      <c r="W35" s="889"/>
      <c r="X35" s="890"/>
      <c r="Y35" s="890"/>
      <c r="Z35" s="891"/>
      <c r="AA35" s="889"/>
      <c r="AB35" s="890"/>
      <c r="AC35" s="890"/>
      <c r="AD35" s="891"/>
      <c r="AE35" s="49"/>
      <c r="AG35" s="87"/>
      <c r="AH35" s="87"/>
      <c r="AI35" s="87"/>
      <c r="AJ35" s="87"/>
      <c r="AK35" s="87"/>
      <c r="AL35" s="87"/>
      <c r="AM35" s="87"/>
      <c r="AN35" s="87"/>
      <c r="AO35" s="87"/>
    </row>
    <row r="36" spans="1:41" ht="25.9" customHeight="1" x14ac:dyDescent="0.25">
      <c r="A36" s="898" t="s">
        <v>64</v>
      </c>
      <c r="B36" s="900" t="s">
        <v>65</v>
      </c>
      <c r="C36" s="469" t="s">
        <v>66</v>
      </c>
      <c r="D36" s="471"/>
      <c r="E36" s="471"/>
      <c r="F36" s="471"/>
      <c r="G36" s="471"/>
      <c r="H36" s="471"/>
      <c r="I36" s="471"/>
      <c r="J36" s="471"/>
      <c r="K36" s="471"/>
      <c r="L36" s="471"/>
      <c r="M36" s="471"/>
      <c r="N36" s="471"/>
      <c r="O36" s="471"/>
      <c r="P36" s="550"/>
      <c r="Q36" s="559" t="s">
        <v>67</v>
      </c>
      <c r="R36" s="559"/>
      <c r="S36" s="559"/>
      <c r="T36" s="559"/>
      <c r="U36" s="559"/>
      <c r="V36" s="559"/>
      <c r="W36" s="559"/>
      <c r="X36" s="559"/>
      <c r="Y36" s="559"/>
      <c r="Z36" s="559"/>
      <c r="AA36" s="559"/>
      <c r="AB36" s="559"/>
      <c r="AC36" s="559"/>
      <c r="AD36" s="560"/>
      <c r="AG36" s="87"/>
      <c r="AH36" s="87"/>
      <c r="AI36" s="87"/>
      <c r="AJ36" s="87"/>
      <c r="AK36" s="87"/>
      <c r="AL36" s="87"/>
      <c r="AM36" s="87"/>
      <c r="AN36" s="87"/>
      <c r="AO36" s="87"/>
    </row>
    <row r="37" spans="1:41" ht="29.25" customHeight="1" thickBot="1" x14ac:dyDescent="0.3">
      <c r="A37" s="899"/>
      <c r="B37" s="508"/>
      <c r="C37" s="285" t="s">
        <v>68</v>
      </c>
      <c r="D37" s="305" t="s">
        <v>69</v>
      </c>
      <c r="E37" s="305" t="s">
        <v>70</v>
      </c>
      <c r="F37" s="305" t="s">
        <v>71</v>
      </c>
      <c r="G37" s="305" t="s">
        <v>72</v>
      </c>
      <c r="H37" s="305" t="s">
        <v>73</v>
      </c>
      <c r="I37" s="305" t="s">
        <v>74</v>
      </c>
      <c r="J37" s="305" t="s">
        <v>75</v>
      </c>
      <c r="K37" s="305" t="s">
        <v>76</v>
      </c>
      <c r="L37" s="305" t="s">
        <v>77</v>
      </c>
      <c r="M37" s="305" t="s">
        <v>78</v>
      </c>
      <c r="N37" s="305" t="s">
        <v>79</v>
      </c>
      <c r="O37" s="305" t="s">
        <v>80</v>
      </c>
      <c r="P37" s="306" t="s">
        <v>81</v>
      </c>
      <c r="Q37" s="896" t="s">
        <v>82</v>
      </c>
      <c r="R37" s="896"/>
      <c r="S37" s="896"/>
      <c r="T37" s="896"/>
      <c r="U37" s="896"/>
      <c r="V37" s="896"/>
      <c r="W37" s="896"/>
      <c r="X37" s="896"/>
      <c r="Y37" s="896"/>
      <c r="Z37" s="896"/>
      <c r="AA37" s="896"/>
      <c r="AB37" s="896"/>
      <c r="AC37" s="896"/>
      <c r="AD37" s="897"/>
      <c r="AG37" s="94"/>
      <c r="AH37" s="94"/>
      <c r="AI37" s="94"/>
      <c r="AJ37" s="94"/>
      <c r="AK37" s="94"/>
      <c r="AL37" s="94"/>
      <c r="AM37" s="94"/>
      <c r="AN37" s="94"/>
      <c r="AO37" s="94"/>
    </row>
    <row r="38" spans="1:41" ht="244.15" customHeight="1" x14ac:dyDescent="0.25">
      <c r="A38" s="409" t="s">
        <v>139</v>
      </c>
      <c r="B38" s="901">
        <v>0.06</v>
      </c>
      <c r="C38" s="337" t="s">
        <v>62</v>
      </c>
      <c r="D38" s="325">
        <v>0</v>
      </c>
      <c r="E38" s="325">
        <v>0.1</v>
      </c>
      <c r="F38" s="325">
        <v>0.09</v>
      </c>
      <c r="G38" s="325">
        <v>0.09</v>
      </c>
      <c r="H38" s="325">
        <v>0.09</v>
      </c>
      <c r="I38" s="325">
        <v>0.09</v>
      </c>
      <c r="J38" s="325">
        <v>0.09</v>
      </c>
      <c r="K38" s="325">
        <v>0.09</v>
      </c>
      <c r="L38" s="325">
        <v>0.09</v>
      </c>
      <c r="M38" s="325">
        <v>0.09</v>
      </c>
      <c r="N38" s="325">
        <v>0.09</v>
      </c>
      <c r="O38" s="325">
        <v>0.09</v>
      </c>
      <c r="P38" s="320">
        <f>SUM(D38:O38)</f>
        <v>0.99999999999999978</v>
      </c>
      <c r="Q38" s="882" t="s">
        <v>537</v>
      </c>
      <c r="R38" s="567"/>
      <c r="S38" s="567"/>
      <c r="T38" s="567"/>
      <c r="U38" s="567"/>
      <c r="V38" s="567"/>
      <c r="W38" s="567"/>
      <c r="X38" s="567"/>
      <c r="Y38" s="567"/>
      <c r="Z38" s="567"/>
      <c r="AA38" s="567"/>
      <c r="AB38" s="567"/>
      <c r="AC38" s="567"/>
      <c r="AD38" s="568"/>
      <c r="AE38" s="97"/>
      <c r="AG38" s="98"/>
      <c r="AH38" s="98"/>
      <c r="AI38" s="98"/>
      <c r="AJ38" s="98"/>
      <c r="AK38" s="98"/>
      <c r="AL38" s="98"/>
      <c r="AM38" s="98"/>
      <c r="AN38" s="98"/>
      <c r="AO38" s="98"/>
    </row>
    <row r="39" spans="1:41" ht="377.25" customHeight="1" thickBot="1" x14ac:dyDescent="0.3">
      <c r="A39" s="785"/>
      <c r="B39" s="902"/>
      <c r="C39" s="340" t="s">
        <v>63</v>
      </c>
      <c r="D39" s="327">
        <v>0</v>
      </c>
      <c r="E39" s="327">
        <v>0.1</v>
      </c>
      <c r="F39" s="327">
        <v>0.09</v>
      </c>
      <c r="G39" s="327">
        <v>0.09</v>
      </c>
      <c r="H39" s="327">
        <v>0.09</v>
      </c>
      <c r="I39" s="327">
        <v>0.09</v>
      </c>
      <c r="J39" s="327">
        <v>0.09</v>
      </c>
      <c r="K39" s="327">
        <v>0.09</v>
      </c>
      <c r="L39" s="328">
        <v>0.09</v>
      </c>
      <c r="M39" s="328">
        <v>0.09</v>
      </c>
      <c r="N39" s="328">
        <v>0.09</v>
      </c>
      <c r="O39" s="328"/>
      <c r="P39" s="329">
        <f>SUM(D39:O39)</f>
        <v>0.90999999999999981</v>
      </c>
      <c r="Q39" s="883"/>
      <c r="R39" s="884"/>
      <c r="S39" s="884"/>
      <c r="T39" s="884"/>
      <c r="U39" s="884"/>
      <c r="V39" s="884"/>
      <c r="W39" s="884"/>
      <c r="X39" s="884"/>
      <c r="Y39" s="884"/>
      <c r="Z39" s="884"/>
      <c r="AA39" s="884"/>
      <c r="AB39" s="884"/>
      <c r="AC39" s="884"/>
      <c r="AD39" s="885"/>
      <c r="AE39" s="97"/>
    </row>
    <row r="40" spans="1:41" x14ac:dyDescent="0.25">
      <c r="A40" s="194" t="s">
        <v>89</v>
      </c>
      <c r="Q40" s="194"/>
      <c r="R40" s="194"/>
      <c r="S40" s="194"/>
      <c r="T40" s="194"/>
      <c r="U40" s="194"/>
      <c r="V40" s="194"/>
      <c r="W40" s="194"/>
      <c r="X40" s="194"/>
      <c r="Y40" s="194"/>
      <c r="Z40" s="194"/>
      <c r="AA40" s="194"/>
      <c r="AB40" s="194"/>
      <c r="AC40" s="194"/>
      <c r="AD40" s="194"/>
    </row>
    <row r="41" spans="1:41" x14ac:dyDescent="0.25">
      <c r="A41" s="194"/>
      <c r="Q41" s="194"/>
      <c r="R41" s="194"/>
      <c r="S41" s="194"/>
      <c r="T41" s="194"/>
      <c r="U41" s="194"/>
      <c r="V41" s="194"/>
      <c r="W41" s="194"/>
      <c r="X41" s="194"/>
      <c r="Y41" s="194"/>
      <c r="Z41" s="194"/>
      <c r="AA41" s="194"/>
      <c r="AB41" s="194"/>
      <c r="AC41" s="194"/>
      <c r="AD41" s="194"/>
    </row>
    <row r="42" spans="1:41" x14ac:dyDescent="0.25">
      <c r="A42" s="194"/>
      <c r="Q42" s="194"/>
      <c r="R42" s="194"/>
      <c r="S42" s="194"/>
      <c r="T42" s="194"/>
      <c r="U42" s="194"/>
      <c r="V42" s="194"/>
      <c r="W42" s="194"/>
      <c r="X42" s="194"/>
      <c r="Y42" s="194"/>
      <c r="Z42" s="194"/>
      <c r="AA42" s="194"/>
      <c r="AB42" s="194"/>
      <c r="AC42" s="194"/>
      <c r="AD42" s="194"/>
    </row>
    <row r="43" spans="1:41" x14ac:dyDescent="0.25">
      <c r="A43" s="194"/>
      <c r="Q43" s="194"/>
      <c r="R43" s="194"/>
      <c r="S43" s="194"/>
      <c r="T43" s="194"/>
      <c r="U43" s="194"/>
      <c r="V43" s="194"/>
      <c r="W43" s="194"/>
      <c r="X43" s="194"/>
      <c r="Y43" s="194"/>
      <c r="Z43" s="194"/>
      <c r="AA43" s="194"/>
      <c r="AB43" s="194"/>
      <c r="AC43" s="194"/>
      <c r="AD43" s="194"/>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hidden="1" x14ac:dyDescent="0.25">
      <c r="A50" s="194"/>
      <c r="Q50" s="194"/>
      <c r="R50" s="194"/>
      <c r="S50" s="194"/>
      <c r="T50" s="194"/>
      <c r="U50" s="194"/>
      <c r="V50" s="194"/>
      <c r="W50" s="194"/>
      <c r="X50" s="194"/>
      <c r="Y50" s="194"/>
      <c r="Z50" s="194"/>
      <c r="AA50" s="194"/>
      <c r="AB50" s="194"/>
      <c r="AC50" s="194"/>
      <c r="AD50" s="194"/>
    </row>
    <row r="51" spans="1:30" hidden="1" x14ac:dyDescent="0.25">
      <c r="A51" s="194"/>
      <c r="Q51" s="194"/>
      <c r="R51" s="194"/>
      <c r="S51" s="194"/>
      <c r="T51" s="194"/>
      <c r="U51" s="194"/>
      <c r="V51" s="194"/>
      <c r="W51" s="194"/>
      <c r="X51" s="194"/>
      <c r="Y51" s="194"/>
      <c r="Z51" s="194"/>
      <c r="AA51" s="194"/>
      <c r="AB51" s="194"/>
      <c r="AC51" s="194"/>
      <c r="AD51" s="194"/>
    </row>
    <row r="52" spans="1:30" hidden="1" x14ac:dyDescent="0.25">
      <c r="A52" s="194"/>
      <c r="Q52" s="194"/>
      <c r="R52" s="194"/>
      <c r="S52" s="194"/>
      <c r="T52" s="194"/>
      <c r="U52" s="194"/>
      <c r="V52" s="194"/>
      <c r="W52" s="194"/>
      <c r="X52" s="194"/>
      <c r="Y52" s="194"/>
      <c r="Z52" s="194"/>
      <c r="AA52" s="194"/>
      <c r="AB52" s="194"/>
      <c r="AC52" s="194"/>
      <c r="AD52" s="194"/>
    </row>
    <row r="53" spans="1:30" hidden="1" x14ac:dyDescent="0.25">
      <c r="A53" s="194"/>
      <c r="Q53" s="194"/>
      <c r="R53" s="194"/>
      <c r="S53" s="194"/>
      <c r="T53" s="194"/>
      <c r="U53" s="194"/>
      <c r="V53" s="194"/>
      <c r="W53" s="194"/>
      <c r="X53" s="194"/>
      <c r="Y53" s="194"/>
      <c r="Z53" s="194"/>
      <c r="AA53" s="194"/>
      <c r="AB53" s="194"/>
      <c r="AC53" s="194"/>
      <c r="AD53" s="194"/>
    </row>
    <row r="54" spans="1:30" hidden="1" x14ac:dyDescent="0.25">
      <c r="A54" s="194"/>
      <c r="Q54" s="194"/>
      <c r="R54" s="194"/>
      <c r="S54" s="194"/>
      <c r="T54" s="194"/>
      <c r="U54" s="194"/>
      <c r="V54" s="194"/>
      <c r="W54" s="194"/>
      <c r="X54" s="194"/>
      <c r="Y54" s="194"/>
      <c r="Z54" s="194"/>
      <c r="AA54" s="194"/>
      <c r="AB54" s="194"/>
      <c r="AC54" s="194"/>
      <c r="AD54" s="194"/>
    </row>
    <row r="55" spans="1:30" ht="15" hidden="1" customHeight="1" x14ac:dyDescent="0.25">
      <c r="A55" s="399" t="s">
        <v>90</v>
      </c>
      <c r="B55" s="401" t="s">
        <v>65</v>
      </c>
      <c r="C55" s="403" t="s">
        <v>66</v>
      </c>
      <c r="D55" s="404"/>
      <c r="E55" s="404"/>
      <c r="F55" s="404"/>
      <c r="G55" s="404"/>
      <c r="H55" s="404"/>
      <c r="I55" s="404"/>
      <c r="J55" s="404"/>
      <c r="K55" s="404"/>
      <c r="L55" s="404"/>
      <c r="M55" s="404"/>
      <c r="N55" s="404"/>
      <c r="O55" s="404"/>
      <c r="P55" s="405"/>
      <c r="Q55" s="195"/>
      <c r="R55" s="195"/>
      <c r="S55" s="194"/>
      <c r="T55" s="194"/>
      <c r="U55" s="194"/>
      <c r="V55" s="194"/>
      <c r="W55" s="194"/>
      <c r="X55" s="194"/>
      <c r="Y55" s="194"/>
      <c r="Z55" s="194"/>
      <c r="AA55" s="194"/>
      <c r="AB55" s="194"/>
      <c r="AC55" s="194"/>
      <c r="AD55" s="194"/>
    </row>
    <row r="56" spans="1:30" ht="21" hidden="1" x14ac:dyDescent="0.25">
      <c r="A56" s="400"/>
      <c r="B56" s="402"/>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ht="15" hidden="1" customHeight="1" x14ac:dyDescent="0.25">
      <c r="A57" s="384" t="str">
        <f>A38</f>
        <v>24. Realizar la implementación de la estrategia de fortalecimiento de capacidades para el ejercicio del derecho a la participación de las mujeres en el Distrito.</v>
      </c>
      <c r="B57" s="406">
        <f>B38</f>
        <v>0.06</v>
      </c>
      <c r="C57" s="176" t="s">
        <v>62</v>
      </c>
      <c r="D57" s="175">
        <f>D38*$B$38/$P$38</f>
        <v>0</v>
      </c>
      <c r="E57" s="175">
        <f t="shared" ref="D57:O58" si="2">E38*$B$38/$P$38</f>
        <v>6.0000000000000019E-3</v>
      </c>
      <c r="F57" s="175">
        <f t="shared" si="2"/>
        <v>5.4000000000000003E-3</v>
      </c>
      <c r="G57" s="175">
        <f t="shared" si="2"/>
        <v>5.4000000000000003E-3</v>
      </c>
      <c r="H57" s="175">
        <f t="shared" si="2"/>
        <v>5.4000000000000003E-3</v>
      </c>
      <c r="I57" s="175">
        <f t="shared" si="2"/>
        <v>5.4000000000000003E-3</v>
      </c>
      <c r="J57" s="175">
        <f t="shared" si="2"/>
        <v>5.4000000000000003E-3</v>
      </c>
      <c r="K57" s="175">
        <f t="shared" si="2"/>
        <v>5.4000000000000003E-3</v>
      </c>
      <c r="L57" s="175">
        <f t="shared" si="2"/>
        <v>5.4000000000000003E-3</v>
      </c>
      <c r="M57" s="175">
        <f t="shared" si="2"/>
        <v>5.4000000000000003E-3</v>
      </c>
      <c r="N57" s="175">
        <f t="shared" si="2"/>
        <v>5.4000000000000003E-3</v>
      </c>
      <c r="O57" s="175">
        <f t="shared" si="2"/>
        <v>5.4000000000000003E-3</v>
      </c>
      <c r="P57" s="174">
        <f>SUM(D57:O57)</f>
        <v>6.0000000000000019E-2</v>
      </c>
      <c r="Q57" s="197">
        <v>0.05</v>
      </c>
      <c r="R57" s="198">
        <f>+P57-Q57</f>
        <v>1.0000000000000016E-2</v>
      </c>
      <c r="S57" s="194"/>
      <c r="T57" s="194"/>
      <c r="U57" s="194"/>
      <c r="V57" s="194"/>
      <c r="W57" s="194"/>
      <c r="X57" s="194"/>
      <c r="Y57" s="194"/>
      <c r="Z57" s="194"/>
      <c r="AA57" s="194"/>
      <c r="AB57" s="194"/>
      <c r="AC57" s="194"/>
      <c r="AD57" s="194"/>
    </row>
    <row r="58" spans="1:30" hidden="1" x14ac:dyDescent="0.25">
      <c r="A58" s="385"/>
      <c r="B58" s="407"/>
      <c r="C58" s="181" t="s">
        <v>63</v>
      </c>
      <c r="D58" s="172">
        <f t="shared" si="2"/>
        <v>0</v>
      </c>
      <c r="E58" s="172">
        <f t="shared" si="2"/>
        <v>6.0000000000000019E-3</v>
      </c>
      <c r="F58" s="172">
        <f t="shared" si="2"/>
        <v>5.4000000000000003E-3</v>
      </c>
      <c r="G58" s="172">
        <f t="shared" si="2"/>
        <v>5.4000000000000003E-3</v>
      </c>
      <c r="H58" s="172">
        <f t="shared" si="2"/>
        <v>5.4000000000000003E-3</v>
      </c>
      <c r="I58" s="172">
        <f t="shared" si="2"/>
        <v>5.4000000000000003E-3</v>
      </c>
      <c r="J58" s="172">
        <f t="shared" si="2"/>
        <v>5.4000000000000003E-3</v>
      </c>
      <c r="K58" s="172">
        <f t="shared" si="2"/>
        <v>5.4000000000000003E-3</v>
      </c>
      <c r="L58" s="172">
        <f t="shared" si="2"/>
        <v>5.4000000000000003E-3</v>
      </c>
      <c r="M58" s="172">
        <f t="shared" si="2"/>
        <v>5.4000000000000003E-3</v>
      </c>
      <c r="N58" s="172">
        <f t="shared" si="2"/>
        <v>5.4000000000000003E-3</v>
      </c>
      <c r="O58" s="172">
        <f t="shared" si="2"/>
        <v>0</v>
      </c>
      <c r="P58" s="171">
        <f>SUM(D58:O58)</f>
        <v>5.4600000000000017E-2</v>
      </c>
      <c r="Q58" s="199">
        <f>+P58</f>
        <v>5.4600000000000017E-2</v>
      </c>
      <c r="R58" s="198">
        <f>+P58-Q58</f>
        <v>0</v>
      </c>
      <c r="S58" s="194"/>
      <c r="T58" s="194"/>
      <c r="U58" s="194"/>
      <c r="V58" s="194"/>
      <c r="W58" s="194"/>
      <c r="X58" s="194"/>
      <c r="Y58" s="194"/>
      <c r="Z58" s="194"/>
      <c r="AA58" s="194"/>
      <c r="AB58" s="194"/>
      <c r="AC58" s="194"/>
      <c r="AD58" s="194"/>
    </row>
    <row r="59" spans="1:30" hidden="1" x14ac:dyDescent="0.25">
      <c r="A59" s="907"/>
      <c r="B59" s="908"/>
      <c r="C59" s="184"/>
      <c r="D59" s="175"/>
      <c r="E59" s="175"/>
      <c r="F59" s="175"/>
      <c r="G59" s="175"/>
      <c r="H59" s="175"/>
      <c r="I59" s="175"/>
      <c r="J59" s="175"/>
      <c r="K59" s="175"/>
      <c r="L59" s="175"/>
      <c r="M59" s="175"/>
      <c r="N59" s="175"/>
      <c r="O59" s="175"/>
      <c r="P59" s="185"/>
      <c r="Q59" s="197"/>
      <c r="R59" s="198"/>
      <c r="S59" s="194"/>
      <c r="T59" s="194"/>
      <c r="U59" s="194"/>
      <c r="V59" s="194"/>
      <c r="W59" s="194"/>
      <c r="X59" s="194"/>
      <c r="Y59" s="194"/>
      <c r="Z59" s="194"/>
      <c r="AA59" s="194"/>
      <c r="AB59" s="194"/>
      <c r="AC59" s="194"/>
      <c r="AD59" s="194"/>
    </row>
    <row r="60" spans="1:30" hidden="1" x14ac:dyDescent="0.25">
      <c r="A60" s="388"/>
      <c r="B60" s="389"/>
      <c r="C60" s="184"/>
      <c r="D60" s="168"/>
      <c r="E60" s="168"/>
      <c r="F60" s="168"/>
      <c r="G60" s="168"/>
      <c r="H60" s="168"/>
      <c r="I60" s="168"/>
      <c r="J60" s="168"/>
      <c r="K60" s="168"/>
      <c r="L60" s="168"/>
      <c r="M60" s="168"/>
      <c r="N60" s="168"/>
      <c r="O60" s="168"/>
      <c r="P60" s="185"/>
      <c r="Q60" s="199"/>
      <c r="R60" s="198"/>
      <c r="S60" s="194"/>
      <c r="T60" s="194"/>
      <c r="U60" s="194"/>
      <c r="V60" s="194"/>
      <c r="W60" s="194"/>
      <c r="X60" s="194"/>
      <c r="Y60" s="194"/>
      <c r="Z60" s="194"/>
      <c r="AA60" s="194"/>
      <c r="AB60" s="194"/>
      <c r="AC60" s="194"/>
      <c r="AD60" s="194"/>
    </row>
    <row r="61" spans="1:30" hidden="1" x14ac:dyDescent="0.25">
      <c r="A61" s="388"/>
      <c r="B61" s="389"/>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hidden="1" x14ac:dyDescent="0.25">
      <c r="A62" s="388"/>
      <c r="B62" s="389"/>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hidden="1"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hidden="1"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hidden="1" x14ac:dyDescent="0.25">
      <c r="A65" s="195"/>
      <c r="B65" s="169"/>
      <c r="C65" s="170"/>
      <c r="D65" s="165">
        <f>D58</f>
        <v>0</v>
      </c>
      <c r="E65" s="165">
        <f t="shared" ref="E65:O65" si="3">E58</f>
        <v>6.0000000000000019E-3</v>
      </c>
      <c r="F65" s="165">
        <f t="shared" si="3"/>
        <v>5.4000000000000003E-3</v>
      </c>
      <c r="G65" s="165">
        <f t="shared" si="3"/>
        <v>5.4000000000000003E-3</v>
      </c>
      <c r="H65" s="165">
        <f t="shared" si="3"/>
        <v>5.4000000000000003E-3</v>
      </c>
      <c r="I65" s="165">
        <f t="shared" si="3"/>
        <v>5.4000000000000003E-3</v>
      </c>
      <c r="J65" s="165">
        <f t="shared" si="3"/>
        <v>5.4000000000000003E-3</v>
      </c>
      <c r="K65" s="165">
        <f t="shared" si="3"/>
        <v>5.4000000000000003E-3</v>
      </c>
      <c r="L65" s="165">
        <f t="shared" si="3"/>
        <v>5.4000000000000003E-3</v>
      </c>
      <c r="M65" s="165">
        <f t="shared" si="3"/>
        <v>5.4000000000000003E-3</v>
      </c>
      <c r="N65" s="165">
        <f t="shared" si="3"/>
        <v>5.4000000000000003E-3</v>
      </c>
      <c r="O65" s="165">
        <f t="shared" si="3"/>
        <v>0</v>
      </c>
      <c r="P65" s="165">
        <f>P58+P60+P62</f>
        <v>5.4600000000000017E-2</v>
      </c>
      <c r="Q65" s="195"/>
      <c r="R65" s="198">
        <f>+P65-Q65</f>
        <v>5.4600000000000017E-2</v>
      </c>
      <c r="S65" s="194"/>
      <c r="T65" s="194"/>
      <c r="U65" s="194"/>
      <c r="V65" s="194"/>
      <c r="W65" s="194"/>
      <c r="X65" s="194"/>
      <c r="Y65" s="194"/>
      <c r="Z65" s="194"/>
      <c r="AA65" s="194"/>
      <c r="AB65" s="194"/>
      <c r="AC65" s="194"/>
      <c r="AD65" s="194"/>
    </row>
    <row r="66" spans="1:30" hidden="1" x14ac:dyDescent="0.25">
      <c r="A66" s="195"/>
      <c r="B66" s="167"/>
      <c r="C66" s="164" t="s">
        <v>63</v>
      </c>
      <c r="D66" s="163">
        <f>D65*$W$17/$B$34</f>
        <v>0</v>
      </c>
      <c r="E66" s="163">
        <f t="shared" ref="E66:O66" si="4">E65*$W$17/$B$34</f>
        <v>2.0000000000000011E-2</v>
      </c>
      <c r="F66" s="163">
        <f t="shared" si="4"/>
        <v>1.8000000000000002E-2</v>
      </c>
      <c r="G66" s="163">
        <f t="shared" si="4"/>
        <v>1.8000000000000002E-2</v>
      </c>
      <c r="H66" s="163">
        <f t="shared" si="4"/>
        <v>1.8000000000000002E-2</v>
      </c>
      <c r="I66" s="163">
        <f t="shared" si="4"/>
        <v>1.8000000000000002E-2</v>
      </c>
      <c r="J66" s="163">
        <f t="shared" si="4"/>
        <v>1.8000000000000002E-2</v>
      </c>
      <c r="K66" s="163">
        <f t="shared" si="4"/>
        <v>1.8000000000000002E-2</v>
      </c>
      <c r="L66" s="163">
        <f t="shared" si="4"/>
        <v>1.8000000000000002E-2</v>
      </c>
      <c r="M66" s="163">
        <f t="shared" si="4"/>
        <v>1.8000000000000002E-2</v>
      </c>
      <c r="N66" s="163">
        <f t="shared" si="4"/>
        <v>1.8000000000000002E-2</v>
      </c>
      <c r="O66" s="163">
        <f t="shared" si="4"/>
        <v>0</v>
      </c>
      <c r="P66" s="162">
        <f>SUM(D66:O66)</f>
        <v>0.18200000000000005</v>
      </c>
      <c r="Q66" s="196"/>
      <c r="R66" s="195"/>
      <c r="S66" s="194"/>
      <c r="T66" s="194"/>
      <c r="U66" s="194"/>
      <c r="V66" s="194"/>
      <c r="W66" s="194"/>
      <c r="X66" s="194"/>
      <c r="Y66" s="194"/>
      <c r="Z66" s="194"/>
      <c r="AA66" s="194"/>
      <c r="AB66" s="194"/>
      <c r="AC66" s="194"/>
      <c r="AD66" s="194"/>
    </row>
    <row r="67" spans="1:30" hidden="1"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hidden="1" x14ac:dyDescent="0.25">
      <c r="A68" s="197"/>
      <c r="B68" s="108"/>
      <c r="C68" s="108"/>
      <c r="D68" s="165">
        <f>+D57</f>
        <v>0</v>
      </c>
      <c r="E68" s="165">
        <f t="shared" ref="E68:O68" si="5">+E57</f>
        <v>6.0000000000000019E-3</v>
      </c>
      <c r="F68" s="165">
        <f t="shared" si="5"/>
        <v>5.4000000000000003E-3</v>
      </c>
      <c r="G68" s="165">
        <f t="shared" si="5"/>
        <v>5.4000000000000003E-3</v>
      </c>
      <c r="H68" s="165">
        <f t="shared" si="5"/>
        <v>5.4000000000000003E-3</v>
      </c>
      <c r="I68" s="165">
        <f t="shared" si="5"/>
        <v>5.4000000000000003E-3</v>
      </c>
      <c r="J68" s="165">
        <f t="shared" si="5"/>
        <v>5.4000000000000003E-3</v>
      </c>
      <c r="K68" s="165">
        <f t="shared" si="5"/>
        <v>5.4000000000000003E-3</v>
      </c>
      <c r="L68" s="165">
        <f t="shared" si="5"/>
        <v>5.4000000000000003E-3</v>
      </c>
      <c r="M68" s="165">
        <f t="shared" si="5"/>
        <v>5.4000000000000003E-3</v>
      </c>
      <c r="N68" s="165">
        <f t="shared" si="5"/>
        <v>5.4000000000000003E-3</v>
      </c>
      <c r="O68" s="165">
        <f t="shared" si="5"/>
        <v>5.4000000000000003E-3</v>
      </c>
      <c r="P68" s="165">
        <f>+P57+P59+P61</f>
        <v>6.0000000000000019E-2</v>
      </c>
      <c r="Q68" s="197"/>
      <c r="R68" s="197"/>
      <c r="S68" s="194"/>
      <c r="T68" s="194"/>
      <c r="U68" s="194"/>
      <c r="V68" s="194"/>
      <c r="W68" s="194"/>
      <c r="X68" s="194"/>
      <c r="Y68" s="194"/>
      <c r="Z68" s="194"/>
      <c r="AA68" s="194"/>
      <c r="AB68" s="194"/>
      <c r="AC68" s="194"/>
      <c r="AD68" s="194"/>
    </row>
    <row r="69" spans="1:30" hidden="1" x14ac:dyDescent="0.25">
      <c r="A69" s="197"/>
      <c r="B69" s="108"/>
      <c r="C69" s="164" t="s">
        <v>62</v>
      </c>
      <c r="D69" s="163">
        <f t="shared" ref="D69:O69" si="6">D68*$W$17/$B$34</f>
        <v>0</v>
      </c>
      <c r="E69" s="163">
        <f t="shared" si="6"/>
        <v>2.0000000000000011E-2</v>
      </c>
      <c r="F69" s="163">
        <f t="shared" si="6"/>
        <v>1.8000000000000002E-2</v>
      </c>
      <c r="G69" s="163">
        <f t="shared" si="6"/>
        <v>1.8000000000000002E-2</v>
      </c>
      <c r="H69" s="163">
        <f t="shared" si="6"/>
        <v>1.8000000000000002E-2</v>
      </c>
      <c r="I69" s="163">
        <f t="shared" si="6"/>
        <v>1.8000000000000002E-2</v>
      </c>
      <c r="J69" s="163">
        <f t="shared" si="6"/>
        <v>1.8000000000000002E-2</v>
      </c>
      <c r="K69" s="163">
        <f t="shared" si="6"/>
        <v>1.8000000000000002E-2</v>
      </c>
      <c r="L69" s="163">
        <f t="shared" si="6"/>
        <v>1.8000000000000002E-2</v>
      </c>
      <c r="M69" s="163">
        <f t="shared" si="6"/>
        <v>1.8000000000000002E-2</v>
      </c>
      <c r="N69" s="163">
        <f t="shared" si="6"/>
        <v>1.8000000000000002E-2</v>
      </c>
      <c r="O69" s="163">
        <f t="shared" si="6"/>
        <v>1.8000000000000002E-2</v>
      </c>
      <c r="P69" s="162">
        <f>SUM(D69:O69)</f>
        <v>0.20000000000000007</v>
      </c>
      <c r="Q69" s="197"/>
      <c r="R69" s="197"/>
      <c r="S69" s="194"/>
      <c r="T69" s="194"/>
      <c r="U69" s="194"/>
      <c r="V69" s="194"/>
      <c r="W69" s="194"/>
      <c r="X69" s="194"/>
      <c r="Y69" s="194"/>
      <c r="Z69" s="194"/>
      <c r="AA69" s="194"/>
      <c r="AB69" s="194"/>
      <c r="AC69" s="194"/>
      <c r="AD69" s="194"/>
    </row>
    <row r="70" spans="1:30" hidden="1" x14ac:dyDescent="0.25">
      <c r="A70" s="194"/>
      <c r="Q70" s="194"/>
      <c r="R70" s="194"/>
      <c r="S70" s="194"/>
      <c r="T70" s="194"/>
      <c r="U70" s="194"/>
      <c r="V70" s="194"/>
      <c r="W70" s="194"/>
      <c r="X70" s="194"/>
      <c r="Y70" s="194"/>
      <c r="Z70" s="194"/>
      <c r="AA70" s="194"/>
      <c r="AB70" s="194"/>
      <c r="AC70" s="194"/>
      <c r="AD70" s="194"/>
    </row>
    <row r="71" spans="1:30" hidden="1" x14ac:dyDescent="0.25">
      <c r="A71" s="194"/>
      <c r="Q71" s="194"/>
      <c r="R71" s="194"/>
      <c r="S71" s="194"/>
      <c r="T71" s="194"/>
      <c r="U71" s="194"/>
      <c r="V71" s="194"/>
      <c r="W71" s="194"/>
      <c r="X71" s="194"/>
      <c r="Y71" s="194"/>
      <c r="Z71" s="194"/>
      <c r="AA71" s="194"/>
      <c r="AB71" s="194"/>
      <c r="AC71" s="194"/>
      <c r="AD71" s="194"/>
    </row>
    <row r="72" spans="1:30" hidden="1"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2">
    <mergeCell ref="C11:AD13"/>
    <mergeCell ref="A7:B9"/>
    <mergeCell ref="C7:C9"/>
    <mergeCell ref="D7:H9"/>
    <mergeCell ref="I7:J9"/>
    <mergeCell ref="O7:P7"/>
    <mergeCell ref="M8:N8"/>
    <mergeCell ref="O8:P8"/>
    <mergeCell ref="M9:N9"/>
    <mergeCell ref="O9:P9"/>
    <mergeCell ref="A11:B13"/>
    <mergeCell ref="AB4:AD4"/>
    <mergeCell ref="B3:AA4"/>
    <mergeCell ref="AB3:AD3"/>
    <mergeCell ref="A1:A4"/>
    <mergeCell ref="B1:AA1"/>
    <mergeCell ref="AB1:AD1"/>
    <mergeCell ref="B2:AA2"/>
    <mergeCell ref="AB2:AD2"/>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61:A62"/>
    <mergeCell ref="B61:B62"/>
    <mergeCell ref="A55:A56"/>
    <mergeCell ref="B55:B56"/>
    <mergeCell ref="C55:P55"/>
    <mergeCell ref="A57:A58"/>
    <mergeCell ref="B57:B58"/>
    <mergeCell ref="A59:A60"/>
    <mergeCell ref="B59:B60"/>
    <mergeCell ref="A15:B15"/>
    <mergeCell ref="C16:AB16"/>
    <mergeCell ref="Q28:AD29"/>
    <mergeCell ref="R15:X15"/>
    <mergeCell ref="Y15:Z15"/>
    <mergeCell ref="Q20:AD20"/>
    <mergeCell ref="C15:K15"/>
    <mergeCell ref="A17:B17"/>
    <mergeCell ref="C17:Q17"/>
    <mergeCell ref="A36:A37"/>
    <mergeCell ref="B36:B37"/>
    <mergeCell ref="C36:P36"/>
    <mergeCell ref="A38:A39"/>
    <mergeCell ref="B38:B39"/>
    <mergeCell ref="Q38:AD39"/>
    <mergeCell ref="W33:Z33"/>
    <mergeCell ref="AA34:AD35"/>
    <mergeCell ref="Q34:S35"/>
    <mergeCell ref="T34:V35"/>
    <mergeCell ref="W34:Z35"/>
    <mergeCell ref="Q36:AD36"/>
    <mergeCell ref="Q37:AD37"/>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s>
  <phoneticPr fontId="66" type="noConversion"/>
  <dataValidations count="4">
    <dataValidation type="textLength" operator="lessThanOrEqual" allowBlank="1" showInputMessage="1" showErrorMessage="1" errorTitle="Máximo 2.000 caracteres" error="Máximo 2.000 caracteres" sqref="Q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00000000-0002-0000-0500-000003000000}">
      <formula1>20000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303"/>
  <sheetViews>
    <sheetView showGridLines="0" view="pageBreakPreview" topLeftCell="M46" zoomScale="60" zoomScaleNormal="60" workbookViewId="0">
      <selection activeCell="W34" sqref="W34:Z35"/>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776" t="s">
        <v>4</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21" t="s">
        <v>5</v>
      </c>
      <c r="AC3" s="422"/>
      <c r="AD3" s="423"/>
    </row>
    <row r="4" spans="1:33" ht="21.75" customHeight="1" thickBot="1" x14ac:dyDescent="0.3">
      <c r="A4" s="414"/>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16</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3.15"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22</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904" t="s">
        <v>140</v>
      </c>
      <c r="D17" s="905"/>
      <c r="E17" s="905"/>
      <c r="F17" s="905"/>
      <c r="G17" s="905"/>
      <c r="H17" s="905"/>
      <c r="I17" s="905"/>
      <c r="J17" s="905"/>
      <c r="K17" s="905"/>
      <c r="L17" s="905"/>
      <c r="M17" s="905"/>
      <c r="N17" s="905"/>
      <c r="O17" s="905"/>
      <c r="P17" s="905"/>
      <c r="Q17" s="906"/>
      <c r="R17" s="484" t="s">
        <v>25</v>
      </c>
      <c r="S17" s="488"/>
      <c r="T17" s="488"/>
      <c r="U17" s="488"/>
      <c r="V17" s="485"/>
      <c r="W17" s="941">
        <v>4</v>
      </c>
      <c r="X17" s="942"/>
      <c r="Y17" s="488" t="s">
        <v>26</v>
      </c>
      <c r="Z17" s="488"/>
      <c r="AA17" s="488"/>
      <c r="AB17" s="485"/>
      <c r="AC17" s="530">
        <v>0.05</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361">
        <v>251556520</v>
      </c>
      <c r="R22" s="362">
        <v>0</v>
      </c>
      <c r="S22" s="362">
        <v>0</v>
      </c>
      <c r="T22" s="362">
        <v>0</v>
      </c>
      <c r="U22" s="362">
        <v>0</v>
      </c>
      <c r="V22" s="362">
        <v>0</v>
      </c>
      <c r="W22" s="362">
        <v>0</v>
      </c>
      <c r="X22" s="362">
        <v>0</v>
      </c>
      <c r="Y22" s="362">
        <v>0</v>
      </c>
      <c r="Z22" s="362">
        <v>-5023811</v>
      </c>
      <c r="AA22" s="362">
        <v>0</v>
      </c>
      <c r="AB22" s="362">
        <v>0</v>
      </c>
      <c r="AC22" s="279">
        <f>SUM(Q22:AB22)</f>
        <v>246532709</v>
      </c>
      <c r="AD22" s="363"/>
      <c r="AE22" s="3"/>
      <c r="AF22" s="3"/>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289">
        <f>203617024</f>
        <v>203617024</v>
      </c>
      <c r="R23" s="290">
        <f>249707464-Q23</f>
        <v>46090440</v>
      </c>
      <c r="S23" s="290">
        <f>247957907-Q23-R23</f>
        <v>-1749557</v>
      </c>
      <c r="T23" s="290">
        <f>246326387-Q23-R23-S23</f>
        <v>-1631520</v>
      </c>
      <c r="U23" s="290">
        <f>246326387-Q23-R23-S23-T23</f>
        <v>0</v>
      </c>
      <c r="V23" s="290">
        <f>246326387-Q23-R23-S23-T23</f>
        <v>0</v>
      </c>
      <c r="W23" s="290">
        <f>246326387-Q23-R23-S23-U23-T23-V23</f>
        <v>0</v>
      </c>
      <c r="X23" s="290">
        <f>246326387-Q23-R23-S23-T23-U23-V23-W23</f>
        <v>0</v>
      </c>
      <c r="Y23" s="290">
        <f>246326387-Q23-R23-S23-T23-U23-V23-W23-X23</f>
        <v>0</v>
      </c>
      <c r="Z23" s="290">
        <f>246326387-Q23-R23-S23-T23-U23-V23-W23-X23-Y23</f>
        <v>0</v>
      </c>
      <c r="AA23" s="290">
        <f>246326387-Q23-R23-S23-T23-U23-V23-W23-X23-Y23-Z23</f>
        <v>0</v>
      </c>
      <c r="AB23" s="290"/>
      <c r="AC23" s="287">
        <f>SUM(Q23:AB23)</f>
        <v>246326387</v>
      </c>
      <c r="AD23" s="291">
        <f>AC23/AC22</f>
        <v>0.99916310496551597</v>
      </c>
      <c r="AE23" s="3"/>
      <c r="AF23" s="3"/>
    </row>
    <row r="24" spans="1:41" ht="31.9" customHeight="1" x14ac:dyDescent="0.25">
      <c r="A24" s="470" t="s">
        <v>45</v>
      </c>
      <c r="B24" s="504"/>
      <c r="C24" s="286"/>
      <c r="D24" s="287">
        <v>1214133</v>
      </c>
      <c r="E24" s="287"/>
      <c r="F24" s="287"/>
      <c r="G24" s="287"/>
      <c r="H24" s="287"/>
      <c r="I24" s="287"/>
      <c r="J24" s="287"/>
      <c r="K24" s="287"/>
      <c r="L24" s="287"/>
      <c r="M24" s="287"/>
      <c r="N24" s="287"/>
      <c r="O24" s="290">
        <f>SUM(C24:N24)</f>
        <v>1214133</v>
      </c>
      <c r="P24" s="292"/>
      <c r="Q24" s="289"/>
      <c r="R24" s="346">
        <v>11708059</v>
      </c>
      <c r="S24" s="345">
        <v>22229470</v>
      </c>
      <c r="T24" s="345">
        <v>22229470</v>
      </c>
      <c r="U24" s="345">
        <v>22229470</v>
      </c>
      <c r="V24" s="345">
        <v>22229470</v>
      </c>
      <c r="W24" s="346">
        <v>22229470</v>
      </c>
      <c r="X24" s="346">
        <v>22229470</v>
      </c>
      <c r="Y24" s="346">
        <v>22229470</v>
      </c>
      <c r="Z24" s="346">
        <v>22229470</v>
      </c>
      <c r="AA24" s="346">
        <v>22229470</v>
      </c>
      <c r="AB24" s="346">
        <f>39783231-5023811</f>
        <v>34759420</v>
      </c>
      <c r="AC24" s="287">
        <f>SUM(Q24:AB24)</f>
        <v>246532709</v>
      </c>
      <c r="AD24" s="291"/>
      <c r="AE24" s="3"/>
      <c r="AF24" s="3"/>
    </row>
    <row r="25" spans="1:41" ht="31.9" customHeight="1" thickBot="1" x14ac:dyDescent="0.3">
      <c r="A25" s="515" t="s">
        <v>46</v>
      </c>
      <c r="B25" s="516"/>
      <c r="C25" s="296"/>
      <c r="D25" s="297">
        <v>1214133</v>
      </c>
      <c r="E25" s="297"/>
      <c r="F25" s="297"/>
      <c r="G25" s="297"/>
      <c r="H25" s="297"/>
      <c r="I25" s="297"/>
      <c r="J25" s="297"/>
      <c r="K25" s="297"/>
      <c r="L25" s="297"/>
      <c r="M25" s="297"/>
      <c r="N25" s="297"/>
      <c r="O25" s="297">
        <f>SUM(C25:N25)</f>
        <v>1214133</v>
      </c>
      <c r="P25" s="299">
        <f>IFERROR(O25/(SUMIF(C25:N25,"&gt;0",C24:N24))," ")</f>
        <v>1</v>
      </c>
      <c r="Q25" s="348"/>
      <c r="R25" s="298">
        <f>6532988</f>
        <v>6532988</v>
      </c>
      <c r="S25" s="298">
        <f>27999588-R25</f>
        <v>21466600</v>
      </c>
      <c r="T25" s="298">
        <f>49874067-R25-S25</f>
        <v>21874479</v>
      </c>
      <c r="U25" s="298">
        <f>71748548-R25-S25-T25</f>
        <v>21874481</v>
      </c>
      <c r="V25" s="298">
        <f>93623027-R25-S25-T25-U25</f>
        <v>21874479</v>
      </c>
      <c r="W25" s="298">
        <f>113118207-R25-S25-T25-U25-V25</f>
        <v>19495180</v>
      </c>
      <c r="X25" s="298">
        <f>137371987-R25-S25-T25-U25-V25-W25</f>
        <v>24253780</v>
      </c>
      <c r="Y25" s="298">
        <f>159246467-R25-S25-T25-U25-V25-W25-X25</f>
        <v>21874480</v>
      </c>
      <c r="Z25" s="298">
        <f>181120947-Q25-R25-S25-T25-U25-V25-X25-W25-Y25</f>
        <v>21874480</v>
      </c>
      <c r="AA25" s="298">
        <f>202995427-Q25-R25-S25-T25-U25-V25-W25-X25-Y25-Z25</f>
        <v>21874480</v>
      </c>
      <c r="AB25" s="298"/>
      <c r="AC25" s="297">
        <f>SUM(Q25:AB25)</f>
        <v>202995427</v>
      </c>
      <c r="AD25" s="302">
        <f>AC25/AC24</f>
        <v>0.82340159982584704</v>
      </c>
      <c r="AE25" s="3"/>
      <c r="AF25" s="3"/>
    </row>
    <row r="26" spans="1:41" ht="31.9" customHeight="1" thickBot="1" x14ac:dyDescent="0.3">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79.5" customHeight="1" thickBot="1" x14ac:dyDescent="0.3">
      <c r="A30" s="332" t="str">
        <f>C17</f>
        <v xml:space="preserve">Acompañar técnicamente 4 instancias de participación y representación de las mujeres  para fortalecer sus capacidades de liderazgo	</v>
      </c>
      <c r="B30" s="774"/>
      <c r="C30" s="775"/>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thickBot="1" x14ac:dyDescent="0.3">
      <c r="A31" s="465" t="s">
        <v>53</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872"/>
    </row>
    <row r="32" spans="1:41" ht="22.9" customHeight="1" x14ac:dyDescent="0.25">
      <c r="A32" s="469" t="s">
        <v>54</v>
      </c>
      <c r="B32" s="471" t="s">
        <v>55</v>
      </c>
      <c r="C32" s="943" t="s">
        <v>49</v>
      </c>
      <c r="D32" s="558" t="s">
        <v>56</v>
      </c>
      <c r="E32" s="559"/>
      <c r="F32" s="559"/>
      <c r="G32" s="559"/>
      <c r="H32" s="559"/>
      <c r="I32" s="559"/>
      <c r="J32" s="559"/>
      <c r="K32" s="559"/>
      <c r="L32" s="559"/>
      <c r="M32" s="559"/>
      <c r="N32" s="559"/>
      <c r="O32" s="559"/>
      <c r="P32" s="560"/>
      <c r="Q32" s="910" t="s">
        <v>57</v>
      </c>
      <c r="R32" s="471"/>
      <c r="S32" s="471"/>
      <c r="T32" s="471"/>
      <c r="U32" s="471"/>
      <c r="V32" s="471"/>
      <c r="W32" s="471"/>
      <c r="X32" s="471"/>
      <c r="Y32" s="471"/>
      <c r="Z32" s="471"/>
      <c r="AA32" s="471"/>
      <c r="AB32" s="471"/>
      <c r="AC32" s="471"/>
      <c r="AD32" s="550"/>
      <c r="AG32" s="87"/>
      <c r="AH32" s="87"/>
      <c r="AI32" s="87"/>
      <c r="AJ32" s="87"/>
      <c r="AK32" s="87"/>
      <c r="AL32" s="87"/>
      <c r="AM32" s="87"/>
      <c r="AN32" s="87"/>
      <c r="AO32" s="87"/>
    </row>
    <row r="33" spans="1:41" ht="27" customHeight="1" x14ac:dyDescent="0.25">
      <c r="A33" s="470"/>
      <c r="B33" s="472"/>
      <c r="C33" s="944"/>
      <c r="D33" s="28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527" t="s">
        <v>58</v>
      </c>
      <c r="R33" s="472"/>
      <c r="S33" s="472"/>
      <c r="T33" s="472" t="s">
        <v>59</v>
      </c>
      <c r="U33" s="472"/>
      <c r="V33" s="472"/>
      <c r="W33" s="524" t="s">
        <v>60</v>
      </c>
      <c r="X33" s="551"/>
      <c r="Y33" s="551"/>
      <c r="Z33" s="525"/>
      <c r="AA33" s="524" t="s">
        <v>61</v>
      </c>
      <c r="AB33" s="551"/>
      <c r="AC33" s="551"/>
      <c r="AD33" s="552"/>
      <c r="AG33" s="87"/>
      <c r="AH33" s="87"/>
      <c r="AI33" s="87"/>
      <c r="AJ33" s="87"/>
      <c r="AK33" s="87"/>
      <c r="AL33" s="87"/>
      <c r="AM33" s="87"/>
      <c r="AN33" s="87"/>
      <c r="AO33" s="87"/>
    </row>
    <row r="34" spans="1:41" ht="111.75" customHeight="1" x14ac:dyDescent="0.25">
      <c r="A34" s="909" t="s">
        <v>140</v>
      </c>
      <c r="B34" s="538">
        <v>0.05</v>
      </c>
      <c r="C34" s="357" t="s">
        <v>62</v>
      </c>
      <c r="D34" s="358">
        <f>D75</f>
        <v>4.0000000000000008E-2</v>
      </c>
      <c r="E34" s="312">
        <f t="shared" ref="E34:O34" si="0">E75</f>
        <v>0.27600000000000002</v>
      </c>
      <c r="F34" s="312">
        <f t="shared" si="0"/>
        <v>0.37600000000000006</v>
      </c>
      <c r="G34" s="312">
        <f t="shared" si="0"/>
        <v>0.34800000000000009</v>
      </c>
      <c r="H34" s="312">
        <f t="shared" si="0"/>
        <v>0.37600000000000006</v>
      </c>
      <c r="I34" s="312">
        <f t="shared" si="0"/>
        <v>0.33600000000000008</v>
      </c>
      <c r="J34" s="312">
        <f t="shared" si="0"/>
        <v>0.38800000000000007</v>
      </c>
      <c r="K34" s="312">
        <f t="shared" si="0"/>
        <v>0.38800000000000007</v>
      </c>
      <c r="L34" s="312">
        <f t="shared" si="0"/>
        <v>0.37200000000000011</v>
      </c>
      <c r="M34" s="312">
        <f t="shared" si="0"/>
        <v>0.38800000000000007</v>
      </c>
      <c r="N34" s="312">
        <f t="shared" si="0"/>
        <v>0.40800000000000008</v>
      </c>
      <c r="O34" s="312">
        <f t="shared" si="0"/>
        <v>0.30399999999999999</v>
      </c>
      <c r="P34" s="313">
        <f>SUM(D34:O34)</f>
        <v>4</v>
      </c>
      <c r="Q34" s="951" t="s">
        <v>600</v>
      </c>
      <c r="R34" s="951"/>
      <c r="S34" s="952"/>
      <c r="T34" s="951" t="s">
        <v>601</v>
      </c>
      <c r="U34" s="951"/>
      <c r="V34" s="952"/>
      <c r="W34" s="945" t="s">
        <v>531</v>
      </c>
      <c r="X34" s="946"/>
      <c r="Y34" s="946"/>
      <c r="Z34" s="947"/>
      <c r="AA34" s="945" t="s">
        <v>141</v>
      </c>
      <c r="AB34" s="946"/>
      <c r="AC34" s="946"/>
      <c r="AD34" s="947"/>
      <c r="AG34" s="87"/>
      <c r="AH34" s="87"/>
      <c r="AI34" s="87"/>
      <c r="AJ34" s="87"/>
      <c r="AK34" s="87"/>
      <c r="AL34" s="87"/>
      <c r="AM34" s="87"/>
      <c r="AN34" s="87"/>
      <c r="AO34" s="87"/>
    </row>
    <row r="35" spans="1:41" ht="111.75" customHeight="1" thickBot="1" x14ac:dyDescent="0.3">
      <c r="A35" s="858"/>
      <c r="B35" s="539"/>
      <c r="C35" s="359" t="s">
        <v>63</v>
      </c>
      <c r="D35" s="360">
        <f>D72</f>
        <v>4.0000000000000008E-2</v>
      </c>
      <c r="E35" s="315">
        <f t="shared" ref="E35:O35" si="1">E72</f>
        <v>0.27600000000000002</v>
      </c>
      <c r="F35" s="315">
        <f t="shared" si="1"/>
        <v>0.37600000000000006</v>
      </c>
      <c r="G35" s="315">
        <f t="shared" si="1"/>
        <v>0.34800000000000009</v>
      </c>
      <c r="H35" s="315">
        <f t="shared" si="1"/>
        <v>0.37600000000000006</v>
      </c>
      <c r="I35" s="315">
        <f t="shared" si="1"/>
        <v>0.33600000000000008</v>
      </c>
      <c r="J35" s="315">
        <f t="shared" si="1"/>
        <v>0.38800000000000007</v>
      </c>
      <c r="K35" s="315">
        <f t="shared" si="1"/>
        <v>0.38800000000000007</v>
      </c>
      <c r="L35" s="315">
        <f t="shared" si="1"/>
        <v>0.37200000000000011</v>
      </c>
      <c r="M35" s="315">
        <f t="shared" si="1"/>
        <v>0.38800000000000007</v>
      </c>
      <c r="N35" s="315">
        <f t="shared" si="1"/>
        <v>0.40800000000000008</v>
      </c>
      <c r="O35" s="315">
        <f t="shared" si="1"/>
        <v>0</v>
      </c>
      <c r="P35" s="316">
        <f>SUM(D35:O35)</f>
        <v>3.6960000000000002</v>
      </c>
      <c r="Q35" s="953"/>
      <c r="R35" s="953"/>
      <c r="S35" s="954"/>
      <c r="T35" s="953"/>
      <c r="U35" s="953"/>
      <c r="V35" s="954"/>
      <c r="W35" s="948"/>
      <c r="X35" s="949"/>
      <c r="Y35" s="949"/>
      <c r="Z35" s="950"/>
      <c r="AA35" s="948"/>
      <c r="AB35" s="949"/>
      <c r="AC35" s="949"/>
      <c r="AD35" s="950"/>
      <c r="AE35" s="49"/>
      <c r="AG35" s="87"/>
      <c r="AH35" s="87"/>
      <c r="AI35" s="87"/>
      <c r="AJ35" s="87"/>
      <c r="AK35" s="87"/>
      <c r="AL35" s="87"/>
      <c r="AM35" s="87"/>
      <c r="AN35" s="87"/>
      <c r="AO35" s="87"/>
    </row>
    <row r="36" spans="1:41" ht="25.9" customHeight="1" x14ac:dyDescent="0.25">
      <c r="A36" s="550" t="s">
        <v>64</v>
      </c>
      <c r="B36" s="550" t="s">
        <v>65</v>
      </c>
      <c r="C36" s="469" t="s">
        <v>66</v>
      </c>
      <c r="D36" s="471"/>
      <c r="E36" s="471"/>
      <c r="F36" s="471"/>
      <c r="G36" s="471"/>
      <c r="H36" s="471"/>
      <c r="I36" s="471"/>
      <c r="J36" s="471"/>
      <c r="K36" s="471"/>
      <c r="L36" s="471"/>
      <c r="M36" s="471"/>
      <c r="N36" s="471"/>
      <c r="O36" s="471"/>
      <c r="P36" s="550"/>
      <c r="Q36" s="558" t="s">
        <v>67</v>
      </c>
      <c r="R36" s="559"/>
      <c r="S36" s="559"/>
      <c r="T36" s="559"/>
      <c r="U36" s="559"/>
      <c r="V36" s="559"/>
      <c r="W36" s="559"/>
      <c r="X36" s="559"/>
      <c r="Y36" s="559"/>
      <c r="Z36" s="559"/>
      <c r="AA36" s="559"/>
      <c r="AB36" s="559"/>
      <c r="AC36" s="559"/>
      <c r="AD36" s="560"/>
      <c r="AG36" s="87"/>
      <c r="AH36" s="87"/>
      <c r="AI36" s="87"/>
      <c r="AJ36" s="87"/>
      <c r="AK36" s="87"/>
      <c r="AL36" s="87"/>
      <c r="AM36" s="87"/>
      <c r="AN36" s="87"/>
      <c r="AO36" s="87"/>
    </row>
    <row r="37" spans="1:41" ht="25.9" customHeight="1" x14ac:dyDescent="0.25">
      <c r="A37" s="528"/>
      <c r="B37" s="528"/>
      <c r="C37" s="285" t="s">
        <v>68</v>
      </c>
      <c r="D37" s="305" t="s">
        <v>69</v>
      </c>
      <c r="E37" s="305" t="s">
        <v>70</v>
      </c>
      <c r="F37" s="305" t="s">
        <v>71</v>
      </c>
      <c r="G37" s="305" t="s">
        <v>72</v>
      </c>
      <c r="H37" s="305" t="s">
        <v>73</v>
      </c>
      <c r="I37" s="305" t="s">
        <v>74</v>
      </c>
      <c r="J37" s="305" t="s">
        <v>75</v>
      </c>
      <c r="K37" s="305" t="s">
        <v>76</v>
      </c>
      <c r="L37" s="305" t="s">
        <v>77</v>
      </c>
      <c r="M37" s="305" t="s">
        <v>78</v>
      </c>
      <c r="N37" s="305" t="s">
        <v>79</v>
      </c>
      <c r="O37" s="305" t="s">
        <v>80</v>
      </c>
      <c r="P37" s="306" t="s">
        <v>81</v>
      </c>
      <c r="Q37" s="880" t="s">
        <v>82</v>
      </c>
      <c r="R37" s="526"/>
      <c r="S37" s="526"/>
      <c r="T37" s="526"/>
      <c r="U37" s="526"/>
      <c r="V37" s="526"/>
      <c r="W37" s="526"/>
      <c r="X37" s="526"/>
      <c r="Y37" s="526"/>
      <c r="Z37" s="526"/>
      <c r="AA37" s="526"/>
      <c r="AB37" s="526"/>
      <c r="AC37" s="526"/>
      <c r="AD37" s="881"/>
      <c r="AG37" s="94"/>
      <c r="AH37" s="94"/>
      <c r="AI37" s="94"/>
      <c r="AJ37" s="94"/>
      <c r="AK37" s="94"/>
      <c r="AL37" s="94"/>
      <c r="AM37" s="94"/>
      <c r="AN37" s="94"/>
      <c r="AO37" s="94"/>
    </row>
    <row r="38" spans="1:41" ht="185.65" customHeight="1" x14ac:dyDescent="0.25">
      <c r="A38" s="409" t="s">
        <v>142</v>
      </c>
      <c r="B38" s="939">
        <v>0.01</v>
      </c>
      <c r="C38" s="337" t="s">
        <v>62</v>
      </c>
      <c r="D38" s="325">
        <v>0.05</v>
      </c>
      <c r="E38" s="325">
        <v>0.09</v>
      </c>
      <c r="F38" s="325">
        <v>0.09</v>
      </c>
      <c r="G38" s="325">
        <v>0.09</v>
      </c>
      <c r="H38" s="325">
        <v>0.09</v>
      </c>
      <c r="I38" s="325">
        <v>0.09</v>
      </c>
      <c r="J38" s="325">
        <v>0.09</v>
      </c>
      <c r="K38" s="325">
        <v>0.09</v>
      </c>
      <c r="L38" s="325">
        <v>0.09</v>
      </c>
      <c r="M38" s="325">
        <v>0.09</v>
      </c>
      <c r="N38" s="325">
        <v>0.09</v>
      </c>
      <c r="O38" s="325">
        <v>0.05</v>
      </c>
      <c r="P38" s="320">
        <f t="shared" ref="P38:P51" si="2">SUM(D38:O38)</f>
        <v>0.99999999999999989</v>
      </c>
      <c r="Q38" s="955" t="s">
        <v>538</v>
      </c>
      <c r="R38" s="956"/>
      <c r="S38" s="956"/>
      <c r="T38" s="956"/>
      <c r="U38" s="956"/>
      <c r="V38" s="956"/>
      <c r="W38" s="956"/>
      <c r="X38" s="956"/>
      <c r="Y38" s="956"/>
      <c r="Z38" s="956"/>
      <c r="AA38" s="956"/>
      <c r="AB38" s="956"/>
      <c r="AC38" s="956"/>
      <c r="AD38" s="957"/>
      <c r="AE38" s="97"/>
      <c r="AG38" s="98"/>
      <c r="AH38" s="98"/>
      <c r="AI38" s="98"/>
      <c r="AJ38" s="98"/>
      <c r="AK38" s="98"/>
      <c r="AL38" s="98"/>
      <c r="AM38" s="98"/>
      <c r="AN38" s="98"/>
      <c r="AO38" s="98"/>
    </row>
    <row r="39" spans="1:41" ht="318.75" customHeight="1" x14ac:dyDescent="0.25">
      <c r="A39" s="409"/>
      <c r="B39" s="939"/>
      <c r="C39" s="335" t="s">
        <v>63</v>
      </c>
      <c r="D39" s="322">
        <v>0.05</v>
      </c>
      <c r="E39" s="322">
        <v>0.09</v>
      </c>
      <c r="F39" s="322">
        <v>0.09</v>
      </c>
      <c r="G39" s="322">
        <v>0.09</v>
      </c>
      <c r="H39" s="322">
        <v>0.09</v>
      </c>
      <c r="I39" s="322">
        <v>0.09</v>
      </c>
      <c r="J39" s="322">
        <v>0.09</v>
      </c>
      <c r="K39" s="322">
        <v>0.09</v>
      </c>
      <c r="L39" s="322">
        <v>0.09</v>
      </c>
      <c r="M39" s="322">
        <v>0.09</v>
      </c>
      <c r="N39" s="322">
        <v>0.09</v>
      </c>
      <c r="O39" s="322"/>
      <c r="P39" s="323">
        <f t="shared" si="2"/>
        <v>0.94999999999999984</v>
      </c>
      <c r="Q39" s="958"/>
      <c r="R39" s="959"/>
      <c r="S39" s="959"/>
      <c r="T39" s="959"/>
      <c r="U39" s="959"/>
      <c r="V39" s="959"/>
      <c r="W39" s="959"/>
      <c r="X39" s="959"/>
      <c r="Y39" s="959"/>
      <c r="Z39" s="959"/>
      <c r="AA39" s="959"/>
      <c r="AB39" s="959"/>
      <c r="AC39" s="959"/>
      <c r="AD39" s="960"/>
      <c r="AE39" s="97"/>
    </row>
    <row r="40" spans="1:41" ht="166.9" customHeight="1" x14ac:dyDescent="0.25">
      <c r="A40" s="409" t="s">
        <v>143</v>
      </c>
      <c r="B40" s="939">
        <v>5.0000000000000001E-3</v>
      </c>
      <c r="C40" s="337" t="s">
        <v>62</v>
      </c>
      <c r="D40" s="325">
        <v>0</v>
      </c>
      <c r="E40" s="325">
        <v>0.09</v>
      </c>
      <c r="F40" s="325">
        <v>0.09</v>
      </c>
      <c r="G40" s="325">
        <v>0.09</v>
      </c>
      <c r="H40" s="325">
        <v>0.09</v>
      </c>
      <c r="I40" s="325">
        <v>0.09</v>
      </c>
      <c r="J40" s="325">
        <v>0.09</v>
      </c>
      <c r="K40" s="325">
        <v>0.09</v>
      </c>
      <c r="L40" s="325">
        <v>0.09</v>
      </c>
      <c r="M40" s="325">
        <v>0.09</v>
      </c>
      <c r="N40" s="325">
        <v>0.09</v>
      </c>
      <c r="O40" s="325">
        <v>0.1</v>
      </c>
      <c r="P40" s="323">
        <f t="shared" si="2"/>
        <v>0.99999999999999978</v>
      </c>
      <c r="Q40" s="955" t="s">
        <v>539</v>
      </c>
      <c r="R40" s="956"/>
      <c r="S40" s="956"/>
      <c r="T40" s="956"/>
      <c r="U40" s="956"/>
      <c r="V40" s="956"/>
      <c r="W40" s="956"/>
      <c r="X40" s="956"/>
      <c r="Y40" s="956"/>
      <c r="Z40" s="956"/>
      <c r="AA40" s="956"/>
      <c r="AB40" s="956"/>
      <c r="AC40" s="956"/>
      <c r="AD40" s="957"/>
      <c r="AE40" s="97"/>
    </row>
    <row r="41" spans="1:41" ht="273" customHeight="1" x14ac:dyDescent="0.25">
      <c r="A41" s="409"/>
      <c r="B41" s="939"/>
      <c r="C41" s="335" t="s">
        <v>63</v>
      </c>
      <c r="D41" s="322">
        <v>0</v>
      </c>
      <c r="E41" s="322">
        <v>0.09</v>
      </c>
      <c r="F41" s="322">
        <v>0.09</v>
      </c>
      <c r="G41" s="322">
        <v>0.09</v>
      </c>
      <c r="H41" s="322">
        <v>0.09</v>
      </c>
      <c r="I41" s="322">
        <v>0.09</v>
      </c>
      <c r="J41" s="322">
        <v>0.09</v>
      </c>
      <c r="K41" s="322">
        <v>0.09</v>
      </c>
      <c r="L41" s="322">
        <v>0.09</v>
      </c>
      <c r="M41" s="322">
        <v>0.09</v>
      </c>
      <c r="N41" s="322">
        <v>0.09</v>
      </c>
      <c r="O41" s="322"/>
      <c r="P41" s="323">
        <f t="shared" si="2"/>
        <v>0.8999999999999998</v>
      </c>
      <c r="Q41" s="958"/>
      <c r="R41" s="959"/>
      <c r="S41" s="959"/>
      <c r="T41" s="959"/>
      <c r="U41" s="959"/>
      <c r="V41" s="959"/>
      <c r="W41" s="959"/>
      <c r="X41" s="959"/>
      <c r="Y41" s="959"/>
      <c r="Z41" s="959"/>
      <c r="AA41" s="959"/>
      <c r="AB41" s="959"/>
      <c r="AC41" s="959"/>
      <c r="AD41" s="960"/>
      <c r="AE41" s="97"/>
    </row>
    <row r="42" spans="1:41" ht="100.15" customHeight="1" x14ac:dyDescent="0.25">
      <c r="A42" s="409" t="s">
        <v>144</v>
      </c>
      <c r="B42" s="939">
        <v>0.01</v>
      </c>
      <c r="C42" s="337" t="s">
        <v>62</v>
      </c>
      <c r="D42" s="325">
        <v>0</v>
      </c>
      <c r="E42" s="325">
        <v>0.05</v>
      </c>
      <c r="F42" s="325">
        <v>0.1</v>
      </c>
      <c r="G42" s="325">
        <v>0.1</v>
      </c>
      <c r="H42" s="325">
        <v>0.1</v>
      </c>
      <c r="I42" s="325">
        <v>0.1</v>
      </c>
      <c r="J42" s="325">
        <v>0.1</v>
      </c>
      <c r="K42" s="325">
        <v>0.1</v>
      </c>
      <c r="L42" s="325">
        <v>0.1</v>
      </c>
      <c r="M42" s="325">
        <v>0.1</v>
      </c>
      <c r="N42" s="325">
        <v>0.1</v>
      </c>
      <c r="O42" s="325">
        <v>0.05</v>
      </c>
      <c r="P42" s="323">
        <f t="shared" si="2"/>
        <v>0.99999999999999989</v>
      </c>
      <c r="Q42" s="955" t="s">
        <v>540</v>
      </c>
      <c r="R42" s="956"/>
      <c r="S42" s="956"/>
      <c r="T42" s="956"/>
      <c r="U42" s="956"/>
      <c r="V42" s="956"/>
      <c r="W42" s="956"/>
      <c r="X42" s="956"/>
      <c r="Y42" s="956"/>
      <c r="Z42" s="956"/>
      <c r="AA42" s="956"/>
      <c r="AB42" s="956"/>
      <c r="AC42" s="956"/>
      <c r="AD42" s="957"/>
      <c r="AE42" s="97"/>
    </row>
    <row r="43" spans="1:41" ht="172.5" customHeight="1" x14ac:dyDescent="0.25">
      <c r="A43" s="409"/>
      <c r="B43" s="939"/>
      <c r="C43" s="335" t="s">
        <v>63</v>
      </c>
      <c r="D43" s="322">
        <v>0</v>
      </c>
      <c r="E43" s="322">
        <v>0.05</v>
      </c>
      <c r="F43" s="322">
        <v>0.1</v>
      </c>
      <c r="G43" s="322">
        <v>0.1</v>
      </c>
      <c r="H43" s="322">
        <v>0.1</v>
      </c>
      <c r="I43" s="322">
        <v>0.1</v>
      </c>
      <c r="J43" s="322">
        <v>0.1</v>
      </c>
      <c r="K43" s="322">
        <v>0.1</v>
      </c>
      <c r="L43" s="322">
        <v>0.1</v>
      </c>
      <c r="M43" s="322">
        <v>0.1</v>
      </c>
      <c r="N43" s="322">
        <v>0.1</v>
      </c>
      <c r="O43" s="322"/>
      <c r="P43" s="323">
        <f t="shared" si="2"/>
        <v>0.94999999999999984</v>
      </c>
      <c r="Q43" s="958"/>
      <c r="R43" s="959"/>
      <c r="S43" s="959"/>
      <c r="T43" s="959"/>
      <c r="U43" s="959"/>
      <c r="V43" s="959"/>
      <c r="W43" s="959"/>
      <c r="X43" s="959"/>
      <c r="Y43" s="959"/>
      <c r="Z43" s="959"/>
      <c r="AA43" s="959"/>
      <c r="AB43" s="959"/>
      <c r="AC43" s="959"/>
      <c r="AD43" s="960"/>
      <c r="AE43" s="97"/>
    </row>
    <row r="44" spans="1:41" ht="183" customHeight="1" x14ac:dyDescent="0.25">
      <c r="A44" s="409" t="s">
        <v>145</v>
      </c>
      <c r="B44" s="939">
        <v>0.01</v>
      </c>
      <c r="C44" s="337" t="s">
        <v>62</v>
      </c>
      <c r="D44" s="325">
        <v>0</v>
      </c>
      <c r="E44" s="325">
        <v>0.08</v>
      </c>
      <c r="F44" s="325">
        <v>0.08</v>
      </c>
      <c r="G44" s="325">
        <v>0.08</v>
      </c>
      <c r="H44" s="325">
        <v>0.08</v>
      </c>
      <c r="I44" s="325">
        <v>0.08</v>
      </c>
      <c r="J44" s="325">
        <v>0.1</v>
      </c>
      <c r="K44" s="325">
        <v>0.1</v>
      </c>
      <c r="L44" s="325">
        <v>0.1</v>
      </c>
      <c r="M44" s="325">
        <v>0.1</v>
      </c>
      <c r="N44" s="325">
        <v>0.1</v>
      </c>
      <c r="O44" s="325">
        <v>0.1</v>
      </c>
      <c r="P44" s="323">
        <f t="shared" si="2"/>
        <v>0.99999999999999989</v>
      </c>
      <c r="Q44" s="390" t="s">
        <v>536</v>
      </c>
      <c r="R44" s="391"/>
      <c r="S44" s="391"/>
      <c r="T44" s="391"/>
      <c r="U44" s="391"/>
      <c r="V44" s="391"/>
      <c r="W44" s="391"/>
      <c r="X44" s="391"/>
      <c r="Y44" s="391"/>
      <c r="Z44" s="391"/>
      <c r="AA44" s="391"/>
      <c r="AB44" s="391"/>
      <c r="AC44" s="391"/>
      <c r="AD44" s="392"/>
      <c r="AE44" s="97"/>
    </row>
    <row r="45" spans="1:41" ht="285" customHeight="1" thickBot="1" x14ac:dyDescent="0.3">
      <c r="A45" s="409"/>
      <c r="B45" s="939"/>
      <c r="C45" s="335" t="s">
        <v>63</v>
      </c>
      <c r="D45" s="322">
        <v>0</v>
      </c>
      <c r="E45" s="322">
        <v>0.08</v>
      </c>
      <c r="F45" s="322">
        <v>0.08</v>
      </c>
      <c r="G45" s="322">
        <v>0.08</v>
      </c>
      <c r="H45" s="322">
        <v>0.08</v>
      </c>
      <c r="I45" s="322">
        <v>0.08</v>
      </c>
      <c r="J45" s="322">
        <v>0.1</v>
      </c>
      <c r="K45" s="322">
        <v>0.1</v>
      </c>
      <c r="L45" s="322">
        <v>0.1</v>
      </c>
      <c r="M45" s="322">
        <v>0.1</v>
      </c>
      <c r="N45" s="322">
        <v>0.1</v>
      </c>
      <c r="O45" s="322"/>
      <c r="P45" s="323">
        <f t="shared" si="2"/>
        <v>0.89999999999999991</v>
      </c>
      <c r="Q45" s="883"/>
      <c r="R45" s="884"/>
      <c r="S45" s="884"/>
      <c r="T45" s="884"/>
      <c r="U45" s="884"/>
      <c r="V45" s="884"/>
      <c r="W45" s="884"/>
      <c r="X45" s="884"/>
      <c r="Y45" s="884"/>
      <c r="Z45" s="884"/>
      <c r="AA45" s="884"/>
      <c r="AB45" s="884"/>
      <c r="AC45" s="884"/>
      <c r="AD45" s="885"/>
      <c r="AE45" s="97"/>
    </row>
    <row r="46" spans="1:41" ht="204.4" customHeight="1" x14ac:dyDescent="0.25">
      <c r="A46" s="409" t="s">
        <v>146</v>
      </c>
      <c r="B46" s="939">
        <v>5.0000000000000001E-3</v>
      </c>
      <c r="C46" s="337" t="s">
        <v>62</v>
      </c>
      <c r="D46" s="325">
        <v>0</v>
      </c>
      <c r="E46" s="325">
        <v>0.08</v>
      </c>
      <c r="F46" s="325">
        <v>0.08</v>
      </c>
      <c r="G46" s="325">
        <v>0.08</v>
      </c>
      <c r="H46" s="325">
        <v>0.08</v>
      </c>
      <c r="I46" s="325">
        <v>0.08</v>
      </c>
      <c r="J46" s="325">
        <v>0.1</v>
      </c>
      <c r="K46" s="325">
        <v>0.1</v>
      </c>
      <c r="L46" s="325">
        <v>0.1</v>
      </c>
      <c r="M46" s="325">
        <v>0.1</v>
      </c>
      <c r="N46" s="325">
        <v>0.1</v>
      </c>
      <c r="O46" s="325">
        <v>0.1</v>
      </c>
      <c r="P46" s="323">
        <f t="shared" si="2"/>
        <v>0.99999999999999989</v>
      </c>
      <c r="Q46" s="390" t="s">
        <v>541</v>
      </c>
      <c r="R46" s="391"/>
      <c r="S46" s="391"/>
      <c r="T46" s="391"/>
      <c r="U46" s="391"/>
      <c r="V46" s="391"/>
      <c r="W46" s="391"/>
      <c r="X46" s="391"/>
      <c r="Y46" s="391"/>
      <c r="Z46" s="391"/>
      <c r="AA46" s="391"/>
      <c r="AB46" s="391"/>
      <c r="AC46" s="391"/>
      <c r="AD46" s="392"/>
      <c r="AE46" s="97"/>
    </row>
    <row r="47" spans="1:41" ht="204.4" customHeight="1" thickBot="1" x14ac:dyDescent="0.3">
      <c r="A47" s="409"/>
      <c r="B47" s="939"/>
      <c r="C47" s="335" t="s">
        <v>63</v>
      </c>
      <c r="D47" s="322">
        <v>0</v>
      </c>
      <c r="E47" s="322">
        <v>0.08</v>
      </c>
      <c r="F47" s="322">
        <v>0.08</v>
      </c>
      <c r="G47" s="322">
        <v>0.08</v>
      </c>
      <c r="H47" s="322">
        <v>0.08</v>
      </c>
      <c r="I47" s="322">
        <v>0.08</v>
      </c>
      <c r="J47" s="322">
        <v>0.1</v>
      </c>
      <c r="K47" s="322">
        <v>0.1</v>
      </c>
      <c r="L47" s="322">
        <v>0.1</v>
      </c>
      <c r="M47" s="322">
        <v>0.1</v>
      </c>
      <c r="N47" s="322">
        <v>0.1</v>
      </c>
      <c r="O47" s="322"/>
      <c r="P47" s="323">
        <f t="shared" si="2"/>
        <v>0.89999999999999991</v>
      </c>
      <c r="Q47" s="883"/>
      <c r="R47" s="884"/>
      <c r="S47" s="884"/>
      <c r="T47" s="884"/>
      <c r="U47" s="884"/>
      <c r="V47" s="884"/>
      <c r="W47" s="884"/>
      <c r="X47" s="884"/>
      <c r="Y47" s="884"/>
      <c r="Z47" s="884"/>
      <c r="AA47" s="884"/>
      <c r="AB47" s="884"/>
      <c r="AC47" s="884"/>
      <c r="AD47" s="885"/>
      <c r="AE47" s="97"/>
    </row>
    <row r="48" spans="1:41" ht="115.9" customHeight="1" x14ac:dyDescent="0.25">
      <c r="A48" s="409" t="s">
        <v>147</v>
      </c>
      <c r="B48" s="939">
        <v>5.0000000000000001E-3</v>
      </c>
      <c r="C48" s="337" t="s">
        <v>62</v>
      </c>
      <c r="D48" s="325">
        <v>0</v>
      </c>
      <c r="E48" s="325">
        <v>0</v>
      </c>
      <c r="F48" s="325">
        <v>0.15</v>
      </c>
      <c r="G48" s="325">
        <v>0.08</v>
      </c>
      <c r="H48" s="325">
        <v>0.15</v>
      </c>
      <c r="I48" s="325">
        <v>0.05</v>
      </c>
      <c r="J48" s="325">
        <v>0.1</v>
      </c>
      <c r="K48" s="325">
        <v>0.1</v>
      </c>
      <c r="L48" s="325">
        <v>0.06</v>
      </c>
      <c r="M48" s="325">
        <v>0.1</v>
      </c>
      <c r="N48" s="325">
        <v>0.15</v>
      </c>
      <c r="O48" s="325">
        <v>0.06</v>
      </c>
      <c r="P48" s="323">
        <f t="shared" si="2"/>
        <v>1</v>
      </c>
      <c r="Q48" s="390" t="s">
        <v>542</v>
      </c>
      <c r="R48" s="391"/>
      <c r="S48" s="391"/>
      <c r="T48" s="391"/>
      <c r="U48" s="391"/>
      <c r="V48" s="391"/>
      <c r="W48" s="391"/>
      <c r="X48" s="391"/>
      <c r="Y48" s="391"/>
      <c r="Z48" s="391"/>
      <c r="AA48" s="391"/>
      <c r="AB48" s="391"/>
      <c r="AC48" s="391"/>
      <c r="AD48" s="392"/>
      <c r="AE48" s="97"/>
    </row>
    <row r="49" spans="1:31" ht="160.5" customHeight="1" thickBot="1" x14ac:dyDescent="0.3">
      <c r="A49" s="409"/>
      <c r="B49" s="939"/>
      <c r="C49" s="335" t="s">
        <v>63</v>
      </c>
      <c r="D49" s="322">
        <v>0</v>
      </c>
      <c r="E49" s="322">
        <v>0</v>
      </c>
      <c r="F49" s="322">
        <v>0.15</v>
      </c>
      <c r="G49" s="322">
        <v>0.08</v>
      </c>
      <c r="H49" s="322">
        <v>0.15</v>
      </c>
      <c r="I49" s="322">
        <v>0.05</v>
      </c>
      <c r="J49" s="322">
        <v>0.1</v>
      </c>
      <c r="K49" s="322">
        <v>0.1</v>
      </c>
      <c r="L49" s="322">
        <v>0.06</v>
      </c>
      <c r="M49" s="322">
        <v>0.1</v>
      </c>
      <c r="N49" s="322">
        <v>0.15</v>
      </c>
      <c r="O49" s="322"/>
      <c r="P49" s="323">
        <f t="shared" si="2"/>
        <v>0.94</v>
      </c>
      <c r="Q49" s="883"/>
      <c r="R49" s="884"/>
      <c r="S49" s="884"/>
      <c r="T49" s="884"/>
      <c r="U49" s="884"/>
      <c r="V49" s="884"/>
      <c r="W49" s="884"/>
      <c r="X49" s="884"/>
      <c r="Y49" s="884"/>
      <c r="Z49" s="884"/>
      <c r="AA49" s="884"/>
      <c r="AB49" s="884"/>
      <c r="AC49" s="884"/>
      <c r="AD49" s="885"/>
      <c r="AE49" s="97"/>
    </row>
    <row r="50" spans="1:31" ht="267.75" customHeight="1" x14ac:dyDescent="0.25">
      <c r="A50" s="409" t="s">
        <v>148</v>
      </c>
      <c r="B50" s="939">
        <v>5.0000000000000001E-3</v>
      </c>
      <c r="C50" s="337" t="s">
        <v>62</v>
      </c>
      <c r="D50" s="325">
        <v>0</v>
      </c>
      <c r="E50" s="325">
        <v>0.08</v>
      </c>
      <c r="F50" s="325">
        <v>0.08</v>
      </c>
      <c r="G50" s="325">
        <v>0.08</v>
      </c>
      <c r="H50" s="325">
        <v>0.08</v>
      </c>
      <c r="I50" s="325">
        <v>0.08</v>
      </c>
      <c r="J50" s="325">
        <v>0.1</v>
      </c>
      <c r="K50" s="325">
        <v>0.1</v>
      </c>
      <c r="L50" s="325">
        <v>0.1</v>
      </c>
      <c r="M50" s="325">
        <v>0.1</v>
      </c>
      <c r="N50" s="325">
        <v>0.1</v>
      </c>
      <c r="O50" s="325">
        <v>0.1</v>
      </c>
      <c r="P50" s="323">
        <f t="shared" si="2"/>
        <v>0.99999999999999989</v>
      </c>
      <c r="Q50" s="390" t="s">
        <v>543</v>
      </c>
      <c r="R50" s="391"/>
      <c r="S50" s="391"/>
      <c r="T50" s="391"/>
      <c r="U50" s="391"/>
      <c r="V50" s="391"/>
      <c r="W50" s="391"/>
      <c r="X50" s="391"/>
      <c r="Y50" s="391"/>
      <c r="Z50" s="391"/>
      <c r="AA50" s="391"/>
      <c r="AB50" s="391"/>
      <c r="AC50" s="391"/>
      <c r="AD50" s="392"/>
      <c r="AE50" s="97"/>
    </row>
    <row r="51" spans="1:31" ht="196.5" customHeight="1" thickBot="1" x14ac:dyDescent="0.3">
      <c r="A51" s="785"/>
      <c r="B51" s="940"/>
      <c r="C51" s="340" t="s">
        <v>63</v>
      </c>
      <c r="D51" s="327">
        <v>0</v>
      </c>
      <c r="E51" s="327">
        <v>0.08</v>
      </c>
      <c r="F51" s="327">
        <v>0.08</v>
      </c>
      <c r="G51" s="327">
        <v>0.08</v>
      </c>
      <c r="H51" s="327">
        <v>0.08</v>
      </c>
      <c r="I51" s="327">
        <v>0.08</v>
      </c>
      <c r="J51" s="327">
        <v>0.1</v>
      </c>
      <c r="K51" s="327">
        <v>0.1</v>
      </c>
      <c r="L51" s="327">
        <v>0.1</v>
      </c>
      <c r="M51" s="327">
        <v>0.1</v>
      </c>
      <c r="N51" s="327">
        <v>0.1</v>
      </c>
      <c r="O51" s="327"/>
      <c r="P51" s="329">
        <f t="shared" si="2"/>
        <v>0.89999999999999991</v>
      </c>
      <c r="Q51" s="883"/>
      <c r="R51" s="884"/>
      <c r="S51" s="884"/>
      <c r="T51" s="884"/>
      <c r="U51" s="884"/>
      <c r="V51" s="884"/>
      <c r="W51" s="884"/>
      <c r="X51" s="884"/>
      <c r="Y51" s="884"/>
      <c r="Z51" s="884"/>
      <c r="AA51" s="884"/>
      <c r="AB51" s="884"/>
      <c r="AC51" s="884"/>
      <c r="AD51" s="885"/>
      <c r="AE51" s="97"/>
    </row>
    <row r="52" spans="1:31" x14ac:dyDescent="0.25">
      <c r="A52" s="194" t="s">
        <v>89</v>
      </c>
      <c r="Q52" s="194"/>
      <c r="R52" s="194"/>
      <c r="S52" s="194"/>
      <c r="T52" s="194"/>
      <c r="U52" s="194"/>
      <c r="V52" s="194"/>
      <c r="W52" s="194"/>
      <c r="X52" s="194"/>
      <c r="Y52" s="194"/>
      <c r="Z52" s="194"/>
      <c r="AA52" s="194"/>
      <c r="AB52" s="194"/>
      <c r="AC52" s="194"/>
      <c r="AD52" s="194"/>
    </row>
    <row r="53" spans="1:31" x14ac:dyDescent="0.25">
      <c r="A53" s="194"/>
      <c r="Q53" s="194"/>
      <c r="R53" s="194"/>
      <c r="S53" s="194"/>
      <c r="T53" s="194"/>
      <c r="U53" s="194"/>
      <c r="V53" s="194"/>
      <c r="W53" s="194"/>
      <c r="X53" s="194"/>
      <c r="Y53" s="194"/>
      <c r="Z53" s="194"/>
      <c r="AA53" s="194"/>
      <c r="AB53" s="194"/>
      <c r="AC53" s="194"/>
      <c r="AD53" s="194"/>
    </row>
    <row r="54" spans="1:31" x14ac:dyDescent="0.25">
      <c r="A54" s="194"/>
      <c r="Q54" s="194"/>
      <c r="R54" s="194"/>
      <c r="S54" s="194"/>
      <c r="T54" s="194"/>
      <c r="U54" s="194"/>
      <c r="V54" s="194"/>
      <c r="W54" s="194"/>
      <c r="X54" s="194"/>
      <c r="Y54" s="194"/>
      <c r="Z54" s="194"/>
      <c r="AA54" s="194"/>
      <c r="AB54" s="194"/>
      <c r="AC54" s="194"/>
      <c r="AD54" s="194"/>
    </row>
    <row r="55" spans="1:31" hidden="1" x14ac:dyDescent="0.25">
      <c r="A55" s="399" t="s">
        <v>90</v>
      </c>
      <c r="B55" s="401" t="s">
        <v>65</v>
      </c>
      <c r="C55" s="403" t="s">
        <v>66</v>
      </c>
      <c r="D55" s="751"/>
      <c r="E55" s="751"/>
      <c r="F55" s="751"/>
      <c r="G55" s="751"/>
      <c r="H55" s="751"/>
      <c r="I55" s="751"/>
      <c r="J55" s="751"/>
      <c r="K55" s="751"/>
      <c r="L55" s="751"/>
      <c r="M55" s="751"/>
      <c r="N55" s="751"/>
      <c r="O55" s="751"/>
      <c r="P55" s="752"/>
      <c r="Q55" s="195"/>
      <c r="R55" s="195"/>
      <c r="S55" s="194"/>
      <c r="T55" s="194"/>
      <c r="U55" s="194"/>
      <c r="V55" s="194"/>
      <c r="W55" s="194"/>
      <c r="X55" s="194"/>
      <c r="Y55" s="194"/>
      <c r="Z55" s="194"/>
      <c r="AA55" s="194"/>
      <c r="AB55" s="194"/>
      <c r="AC55" s="194"/>
      <c r="AD55" s="194"/>
    </row>
    <row r="56" spans="1:31" ht="21" hidden="1" x14ac:dyDescent="0.25">
      <c r="A56" s="749"/>
      <c r="B56" s="750"/>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idden="1" x14ac:dyDescent="0.25">
      <c r="A57" s="384" t="str">
        <f>A38</f>
        <v>25. Acompañar técnica y operativamente el desarrollo de la Mesa coordinadora y el Espacio Ampliado y cuando se solicite por parte del CCM la plenaria del espacio autónomo.</v>
      </c>
      <c r="B57" s="406">
        <f>B38</f>
        <v>0.01</v>
      </c>
      <c r="C57" s="176" t="s">
        <v>62</v>
      </c>
      <c r="D57" s="175">
        <f t="shared" ref="D57:O58" si="3">D38*$B$38/$P$38</f>
        <v>5.0000000000000012E-4</v>
      </c>
      <c r="E57" s="175">
        <f t="shared" si="3"/>
        <v>9.0000000000000008E-4</v>
      </c>
      <c r="F57" s="175">
        <f t="shared" si="3"/>
        <v>9.0000000000000008E-4</v>
      </c>
      <c r="G57" s="175">
        <f t="shared" si="3"/>
        <v>9.0000000000000008E-4</v>
      </c>
      <c r="H57" s="175">
        <f t="shared" si="3"/>
        <v>9.0000000000000008E-4</v>
      </c>
      <c r="I57" s="175">
        <f t="shared" si="3"/>
        <v>9.0000000000000008E-4</v>
      </c>
      <c r="J57" s="175">
        <f t="shared" si="3"/>
        <v>9.0000000000000008E-4</v>
      </c>
      <c r="K57" s="175">
        <f t="shared" si="3"/>
        <v>9.0000000000000008E-4</v>
      </c>
      <c r="L57" s="175">
        <f t="shared" si="3"/>
        <v>9.0000000000000008E-4</v>
      </c>
      <c r="M57" s="175">
        <f t="shared" si="3"/>
        <v>9.0000000000000008E-4</v>
      </c>
      <c r="N57" s="175">
        <f t="shared" si="3"/>
        <v>9.0000000000000008E-4</v>
      </c>
      <c r="O57" s="175">
        <f t="shared" si="3"/>
        <v>5.0000000000000012E-4</v>
      </c>
      <c r="P57" s="174">
        <f t="shared" ref="P57:P70" si="4">SUM(D57:O57)</f>
        <v>0.01</v>
      </c>
      <c r="Q57" s="197">
        <v>0.05</v>
      </c>
      <c r="R57" s="198">
        <f t="shared" ref="R57:R71" si="5">+P57-Q57</f>
        <v>-0.04</v>
      </c>
      <c r="S57" s="194"/>
      <c r="T57" s="194"/>
      <c r="U57" s="194"/>
      <c r="V57" s="194"/>
      <c r="W57" s="194"/>
      <c r="X57" s="194"/>
      <c r="Y57" s="194"/>
      <c r="Z57" s="194"/>
      <c r="AA57" s="194"/>
      <c r="AB57" s="194"/>
      <c r="AC57" s="194"/>
      <c r="AD57" s="194"/>
    </row>
    <row r="58" spans="1:31" hidden="1" x14ac:dyDescent="0.25">
      <c r="A58" s="385"/>
      <c r="B58" s="813"/>
      <c r="C58" s="173" t="s">
        <v>63</v>
      </c>
      <c r="D58" s="172">
        <f t="shared" si="3"/>
        <v>5.0000000000000012E-4</v>
      </c>
      <c r="E58" s="172">
        <f t="shared" si="3"/>
        <v>9.0000000000000008E-4</v>
      </c>
      <c r="F58" s="172">
        <f t="shared" si="3"/>
        <v>9.0000000000000008E-4</v>
      </c>
      <c r="G58" s="172">
        <f t="shared" si="3"/>
        <v>9.0000000000000008E-4</v>
      </c>
      <c r="H58" s="172">
        <f t="shared" si="3"/>
        <v>9.0000000000000008E-4</v>
      </c>
      <c r="I58" s="172">
        <f t="shared" si="3"/>
        <v>9.0000000000000008E-4</v>
      </c>
      <c r="J58" s="172">
        <f t="shared" si="3"/>
        <v>9.0000000000000008E-4</v>
      </c>
      <c r="K58" s="172">
        <f t="shared" si="3"/>
        <v>9.0000000000000008E-4</v>
      </c>
      <c r="L58" s="172">
        <f t="shared" si="3"/>
        <v>9.0000000000000008E-4</v>
      </c>
      <c r="M58" s="172">
        <f t="shared" si="3"/>
        <v>9.0000000000000008E-4</v>
      </c>
      <c r="N58" s="172">
        <f t="shared" si="3"/>
        <v>9.0000000000000008E-4</v>
      </c>
      <c r="O58" s="172">
        <f t="shared" si="3"/>
        <v>0</v>
      </c>
      <c r="P58" s="171">
        <f t="shared" si="4"/>
        <v>9.4999999999999998E-3</v>
      </c>
      <c r="Q58" s="199">
        <f>+P58</f>
        <v>9.4999999999999998E-3</v>
      </c>
      <c r="R58" s="198">
        <f t="shared" si="5"/>
        <v>0</v>
      </c>
      <c r="S58" s="194"/>
      <c r="T58" s="194"/>
      <c r="U58" s="194"/>
      <c r="V58" s="194"/>
      <c r="W58" s="194"/>
      <c r="X58" s="194"/>
      <c r="Y58" s="194"/>
      <c r="Z58" s="194"/>
      <c r="AA58" s="194"/>
      <c r="AB58" s="194"/>
      <c r="AC58" s="194"/>
      <c r="AD58" s="194"/>
    </row>
    <row r="59" spans="1:31" hidden="1" x14ac:dyDescent="0.25">
      <c r="A59" s="384"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386">
        <f>B40</f>
        <v>5.0000000000000001E-3</v>
      </c>
      <c r="C59" s="176" t="s">
        <v>62</v>
      </c>
      <c r="D59" s="175">
        <f t="shared" ref="D59:O60" si="6">D40*$B$40/$P$40</f>
        <v>0</v>
      </c>
      <c r="E59" s="175">
        <f t="shared" si="6"/>
        <v>4.500000000000001E-4</v>
      </c>
      <c r="F59" s="175">
        <f t="shared" si="6"/>
        <v>4.500000000000001E-4</v>
      </c>
      <c r="G59" s="175">
        <f t="shared" si="6"/>
        <v>4.500000000000001E-4</v>
      </c>
      <c r="H59" s="175">
        <f t="shared" si="6"/>
        <v>4.500000000000001E-4</v>
      </c>
      <c r="I59" s="175">
        <f t="shared" si="6"/>
        <v>4.500000000000001E-4</v>
      </c>
      <c r="J59" s="175">
        <f t="shared" si="6"/>
        <v>4.500000000000001E-4</v>
      </c>
      <c r="K59" s="175">
        <f t="shared" si="6"/>
        <v>4.500000000000001E-4</v>
      </c>
      <c r="L59" s="175">
        <f t="shared" si="6"/>
        <v>4.500000000000001E-4</v>
      </c>
      <c r="M59" s="175">
        <f t="shared" si="6"/>
        <v>4.500000000000001E-4</v>
      </c>
      <c r="N59" s="175">
        <f t="shared" si="6"/>
        <v>4.500000000000001E-4</v>
      </c>
      <c r="O59" s="175">
        <f t="shared" si="6"/>
        <v>5.0000000000000012E-4</v>
      </c>
      <c r="P59" s="174">
        <f t="shared" si="4"/>
        <v>5.0000000000000001E-3</v>
      </c>
      <c r="Q59" s="197">
        <v>2.5000000000000001E-2</v>
      </c>
      <c r="R59" s="198">
        <f t="shared" si="5"/>
        <v>-0.02</v>
      </c>
      <c r="S59" s="194"/>
      <c r="T59" s="194"/>
      <c r="U59" s="194"/>
      <c r="V59" s="194"/>
      <c r="W59" s="194"/>
      <c r="X59" s="194"/>
      <c r="Y59" s="194"/>
      <c r="Z59" s="194"/>
      <c r="AA59" s="194"/>
      <c r="AB59" s="194"/>
      <c r="AC59" s="194"/>
      <c r="AD59" s="194"/>
    </row>
    <row r="60" spans="1:31" hidden="1" x14ac:dyDescent="0.25">
      <c r="A60" s="839"/>
      <c r="B60" s="803"/>
      <c r="C60" s="173" t="s">
        <v>63</v>
      </c>
      <c r="D60" s="172">
        <f t="shared" si="6"/>
        <v>0</v>
      </c>
      <c r="E60" s="172">
        <f t="shared" si="6"/>
        <v>4.500000000000001E-4</v>
      </c>
      <c r="F60" s="172">
        <f t="shared" si="6"/>
        <v>4.500000000000001E-4</v>
      </c>
      <c r="G60" s="172">
        <f t="shared" si="6"/>
        <v>4.500000000000001E-4</v>
      </c>
      <c r="H60" s="172">
        <f t="shared" si="6"/>
        <v>4.500000000000001E-4</v>
      </c>
      <c r="I60" s="172">
        <f t="shared" si="6"/>
        <v>4.500000000000001E-4</v>
      </c>
      <c r="J60" s="172">
        <f t="shared" si="6"/>
        <v>4.500000000000001E-4</v>
      </c>
      <c r="K60" s="172">
        <f t="shared" si="6"/>
        <v>4.500000000000001E-4</v>
      </c>
      <c r="L60" s="172">
        <f t="shared" si="6"/>
        <v>4.500000000000001E-4</v>
      </c>
      <c r="M60" s="172">
        <f t="shared" si="6"/>
        <v>4.500000000000001E-4</v>
      </c>
      <c r="N60" s="172">
        <f t="shared" si="6"/>
        <v>4.500000000000001E-4</v>
      </c>
      <c r="O60" s="172">
        <f t="shared" si="6"/>
        <v>0</v>
      </c>
      <c r="P60" s="171">
        <f t="shared" si="4"/>
        <v>4.4999999999999997E-3</v>
      </c>
      <c r="Q60" s="199">
        <f>+P60</f>
        <v>4.4999999999999997E-3</v>
      </c>
      <c r="R60" s="198">
        <f t="shared" si="5"/>
        <v>0</v>
      </c>
      <c r="S60" s="194"/>
      <c r="T60" s="194"/>
      <c r="U60" s="194"/>
      <c r="V60" s="194"/>
      <c r="W60" s="194"/>
      <c r="X60" s="194"/>
      <c r="Y60" s="194"/>
      <c r="Z60" s="194"/>
      <c r="AA60" s="194"/>
      <c r="AB60" s="194"/>
      <c r="AC60" s="194"/>
      <c r="AD60" s="194"/>
    </row>
    <row r="61" spans="1:31" hidden="1" x14ac:dyDescent="0.25">
      <c r="A61" s="384" t="str">
        <f>A42</f>
        <v>27. Acompañar técnicamente el desarrollo de comisiones de trabajo del Espacio Autónomo del Consejo Consultivo de Mujeres.</v>
      </c>
      <c r="B61" s="386">
        <f>B42</f>
        <v>0.01</v>
      </c>
      <c r="C61" s="176" t="s">
        <v>62</v>
      </c>
      <c r="D61" s="175">
        <f t="shared" ref="D61:O62" si="7">D42*$B$42/$P$42</f>
        <v>0</v>
      </c>
      <c r="E61" s="175">
        <f t="shared" si="7"/>
        <v>5.0000000000000012E-4</v>
      </c>
      <c r="F61" s="175">
        <f t="shared" si="7"/>
        <v>1.0000000000000002E-3</v>
      </c>
      <c r="G61" s="175">
        <f t="shared" si="7"/>
        <v>1.0000000000000002E-3</v>
      </c>
      <c r="H61" s="175">
        <f t="shared" si="7"/>
        <v>1.0000000000000002E-3</v>
      </c>
      <c r="I61" s="175">
        <f t="shared" si="7"/>
        <v>1.0000000000000002E-3</v>
      </c>
      <c r="J61" s="175">
        <f t="shared" si="7"/>
        <v>1.0000000000000002E-3</v>
      </c>
      <c r="K61" s="175">
        <f t="shared" si="7"/>
        <v>1.0000000000000002E-3</v>
      </c>
      <c r="L61" s="175">
        <f t="shared" si="7"/>
        <v>1.0000000000000002E-3</v>
      </c>
      <c r="M61" s="175">
        <f t="shared" si="7"/>
        <v>1.0000000000000002E-3</v>
      </c>
      <c r="N61" s="175">
        <f t="shared" si="7"/>
        <v>1.0000000000000002E-3</v>
      </c>
      <c r="O61" s="175">
        <f t="shared" si="7"/>
        <v>5.0000000000000012E-4</v>
      </c>
      <c r="P61" s="174">
        <f t="shared" si="4"/>
        <v>1.0000000000000002E-2</v>
      </c>
      <c r="Q61" s="197">
        <v>2.5000000000000001E-2</v>
      </c>
      <c r="R61" s="198">
        <f t="shared" si="5"/>
        <v>-1.4999999999999999E-2</v>
      </c>
      <c r="S61" s="194"/>
      <c r="T61" s="194"/>
      <c r="U61" s="194"/>
      <c r="V61" s="194"/>
      <c r="W61" s="194"/>
      <c r="X61" s="194"/>
      <c r="Y61" s="194"/>
      <c r="Z61" s="194"/>
      <c r="AA61" s="194"/>
      <c r="AB61" s="194"/>
      <c r="AC61" s="194"/>
      <c r="AD61" s="194"/>
    </row>
    <row r="62" spans="1:31" hidden="1" x14ac:dyDescent="0.25">
      <c r="A62" s="839"/>
      <c r="B62" s="803"/>
      <c r="C62" s="173" t="s">
        <v>63</v>
      </c>
      <c r="D62" s="172">
        <f t="shared" si="7"/>
        <v>0</v>
      </c>
      <c r="E62" s="172">
        <f t="shared" si="7"/>
        <v>5.0000000000000012E-4</v>
      </c>
      <c r="F62" s="172">
        <f t="shared" si="7"/>
        <v>1.0000000000000002E-3</v>
      </c>
      <c r="G62" s="172">
        <f t="shared" si="7"/>
        <v>1.0000000000000002E-3</v>
      </c>
      <c r="H62" s="172">
        <f t="shared" si="7"/>
        <v>1.0000000000000002E-3</v>
      </c>
      <c r="I62" s="172">
        <f t="shared" si="7"/>
        <v>1.0000000000000002E-3</v>
      </c>
      <c r="J62" s="172">
        <f t="shared" si="7"/>
        <v>1.0000000000000002E-3</v>
      </c>
      <c r="K62" s="172">
        <f t="shared" si="7"/>
        <v>1.0000000000000002E-3</v>
      </c>
      <c r="L62" s="172">
        <f t="shared" si="7"/>
        <v>1.0000000000000002E-3</v>
      </c>
      <c r="M62" s="172">
        <f t="shared" si="7"/>
        <v>1.0000000000000002E-3</v>
      </c>
      <c r="N62" s="172">
        <f t="shared" si="7"/>
        <v>1.0000000000000002E-3</v>
      </c>
      <c r="O62" s="172">
        <f t="shared" si="7"/>
        <v>0</v>
      </c>
      <c r="P62" s="171">
        <f t="shared" si="4"/>
        <v>9.5000000000000015E-3</v>
      </c>
      <c r="Q62" s="199">
        <f>+P62</f>
        <v>9.5000000000000015E-3</v>
      </c>
      <c r="R62" s="198">
        <f t="shared" si="5"/>
        <v>0</v>
      </c>
      <c r="S62" s="194"/>
      <c r="T62" s="194"/>
      <c r="U62" s="194"/>
      <c r="V62" s="194"/>
      <c r="W62" s="194"/>
      <c r="X62" s="194"/>
      <c r="Y62" s="194"/>
      <c r="Z62" s="194"/>
      <c r="AA62" s="194"/>
      <c r="AB62" s="194"/>
      <c r="AC62" s="194"/>
      <c r="AD62" s="194"/>
    </row>
    <row r="63" spans="1:31" hidden="1" x14ac:dyDescent="0.25">
      <c r="A63" s="384" t="str">
        <f>A44</f>
        <v>28. Acompañar técnicamente la transversalización del enfoque de género en el Concejo de Bogotá, con énfasis en las bancadas de mujeres de este órgano</v>
      </c>
      <c r="B63" s="386">
        <f>B44</f>
        <v>0.01</v>
      </c>
      <c r="C63" s="176" t="s">
        <v>62</v>
      </c>
      <c r="D63" s="175">
        <f t="shared" ref="D63:O64" si="8">D44*$B$44/$P$44</f>
        <v>0</v>
      </c>
      <c r="E63" s="175">
        <f t="shared" si="8"/>
        <v>8.0000000000000015E-4</v>
      </c>
      <c r="F63" s="175">
        <f t="shared" si="8"/>
        <v>8.0000000000000015E-4</v>
      </c>
      <c r="G63" s="175">
        <f t="shared" si="8"/>
        <v>8.0000000000000015E-4</v>
      </c>
      <c r="H63" s="175">
        <f t="shared" si="8"/>
        <v>8.0000000000000015E-4</v>
      </c>
      <c r="I63" s="175">
        <f t="shared" si="8"/>
        <v>8.0000000000000015E-4</v>
      </c>
      <c r="J63" s="175">
        <f t="shared" si="8"/>
        <v>1.0000000000000002E-3</v>
      </c>
      <c r="K63" s="175">
        <f t="shared" si="8"/>
        <v>1.0000000000000002E-3</v>
      </c>
      <c r="L63" s="175">
        <f t="shared" si="8"/>
        <v>1.0000000000000002E-3</v>
      </c>
      <c r="M63" s="175">
        <f t="shared" si="8"/>
        <v>1.0000000000000002E-3</v>
      </c>
      <c r="N63" s="175">
        <f t="shared" si="8"/>
        <v>1.0000000000000002E-3</v>
      </c>
      <c r="O63" s="175">
        <f t="shared" si="8"/>
        <v>1.0000000000000002E-3</v>
      </c>
      <c r="P63" s="174">
        <f t="shared" si="4"/>
        <v>1.0000000000000004E-2</v>
      </c>
      <c r="Q63" s="197">
        <v>0.02</v>
      </c>
      <c r="R63" s="198">
        <f t="shared" si="5"/>
        <v>-9.9999999999999967E-3</v>
      </c>
      <c r="S63" s="194"/>
      <c r="T63" s="194"/>
      <c r="U63" s="194"/>
      <c r="V63" s="194"/>
      <c r="W63" s="194"/>
      <c r="X63" s="194"/>
      <c r="Y63" s="194"/>
      <c r="Z63" s="194"/>
      <c r="AA63" s="194"/>
      <c r="AB63" s="194"/>
      <c r="AC63" s="194"/>
      <c r="AD63" s="194"/>
    </row>
    <row r="64" spans="1:31" hidden="1" x14ac:dyDescent="0.25">
      <c r="A64" s="839"/>
      <c r="B64" s="803"/>
      <c r="C64" s="173" t="s">
        <v>63</v>
      </c>
      <c r="D64" s="172">
        <f t="shared" si="8"/>
        <v>0</v>
      </c>
      <c r="E64" s="172">
        <f t="shared" si="8"/>
        <v>8.0000000000000015E-4</v>
      </c>
      <c r="F64" s="172">
        <f t="shared" si="8"/>
        <v>8.0000000000000015E-4</v>
      </c>
      <c r="G64" s="172">
        <f t="shared" si="8"/>
        <v>8.0000000000000015E-4</v>
      </c>
      <c r="H64" s="172">
        <f t="shared" si="8"/>
        <v>8.0000000000000015E-4</v>
      </c>
      <c r="I64" s="172">
        <f t="shared" si="8"/>
        <v>8.0000000000000015E-4</v>
      </c>
      <c r="J64" s="172">
        <f t="shared" si="8"/>
        <v>1.0000000000000002E-3</v>
      </c>
      <c r="K64" s="172">
        <f t="shared" si="8"/>
        <v>1.0000000000000002E-3</v>
      </c>
      <c r="L64" s="172">
        <f t="shared" si="8"/>
        <v>1.0000000000000002E-3</v>
      </c>
      <c r="M64" s="172">
        <f t="shared" si="8"/>
        <v>1.0000000000000002E-3</v>
      </c>
      <c r="N64" s="172">
        <f t="shared" si="8"/>
        <v>1.0000000000000002E-3</v>
      </c>
      <c r="O64" s="172">
        <f t="shared" si="8"/>
        <v>0</v>
      </c>
      <c r="P64" s="171">
        <f t="shared" si="4"/>
        <v>9.0000000000000028E-3</v>
      </c>
      <c r="Q64" s="199">
        <f>+P64</f>
        <v>9.0000000000000028E-3</v>
      </c>
      <c r="R64" s="198">
        <f t="shared" si="5"/>
        <v>0</v>
      </c>
      <c r="S64" s="194"/>
      <c r="T64" s="194"/>
      <c r="U64" s="194"/>
      <c r="V64" s="194"/>
      <c r="W64" s="194"/>
      <c r="X64" s="194"/>
      <c r="Y64" s="194"/>
      <c r="Z64" s="194"/>
      <c r="AA64" s="194"/>
      <c r="AB64" s="194"/>
      <c r="AC64" s="194"/>
      <c r="AD64" s="194"/>
    </row>
    <row r="65" spans="1:30" hidden="1" x14ac:dyDescent="0.25">
      <c r="A65" s="384" t="str">
        <f>A46</f>
        <v>29. Acompañar técnicamente, gestionar y coordinar las reuniones con la Submesa para la garantía y seguimiento de los derechos de las mujeres, diversidades, disidencias sexuales y de Género.</v>
      </c>
      <c r="B65" s="386">
        <f>B46</f>
        <v>5.0000000000000001E-3</v>
      </c>
      <c r="C65" s="176" t="s">
        <v>62</v>
      </c>
      <c r="D65" s="175">
        <f t="shared" ref="D65:O66" si="9">D46*$B$46/$P$46</f>
        <v>0</v>
      </c>
      <c r="E65" s="175">
        <f t="shared" si="9"/>
        <v>4.0000000000000007E-4</v>
      </c>
      <c r="F65" s="175">
        <f t="shared" si="9"/>
        <v>4.0000000000000007E-4</v>
      </c>
      <c r="G65" s="175">
        <f t="shared" si="9"/>
        <v>4.0000000000000007E-4</v>
      </c>
      <c r="H65" s="175">
        <f t="shared" si="9"/>
        <v>4.0000000000000007E-4</v>
      </c>
      <c r="I65" s="175">
        <f t="shared" si="9"/>
        <v>4.0000000000000007E-4</v>
      </c>
      <c r="J65" s="175">
        <f t="shared" si="9"/>
        <v>5.0000000000000012E-4</v>
      </c>
      <c r="K65" s="175">
        <f t="shared" si="9"/>
        <v>5.0000000000000012E-4</v>
      </c>
      <c r="L65" s="175">
        <f t="shared" si="9"/>
        <v>5.0000000000000012E-4</v>
      </c>
      <c r="M65" s="175">
        <f t="shared" si="9"/>
        <v>5.0000000000000012E-4</v>
      </c>
      <c r="N65" s="175">
        <f t="shared" si="9"/>
        <v>5.0000000000000012E-4</v>
      </c>
      <c r="O65" s="175">
        <f t="shared" si="9"/>
        <v>5.0000000000000012E-4</v>
      </c>
      <c r="P65" s="174">
        <f t="shared" si="4"/>
        <v>5.0000000000000018E-3</v>
      </c>
      <c r="Q65" s="197">
        <v>0.02</v>
      </c>
      <c r="R65" s="198">
        <f t="shared" si="5"/>
        <v>-1.4999999999999999E-2</v>
      </c>
      <c r="S65" s="194"/>
      <c r="T65" s="194"/>
      <c r="U65" s="194"/>
      <c r="V65" s="194"/>
      <c r="W65" s="194"/>
      <c r="X65" s="194"/>
      <c r="Y65" s="194"/>
      <c r="Z65" s="194"/>
      <c r="AA65" s="194"/>
      <c r="AB65" s="194"/>
      <c r="AC65" s="194"/>
      <c r="AD65" s="194"/>
    </row>
    <row r="66" spans="1:30" hidden="1" x14ac:dyDescent="0.25">
      <c r="A66" s="839"/>
      <c r="B66" s="803"/>
      <c r="C66" s="173" t="s">
        <v>63</v>
      </c>
      <c r="D66" s="172">
        <f t="shared" si="9"/>
        <v>0</v>
      </c>
      <c r="E66" s="172">
        <f t="shared" si="9"/>
        <v>4.0000000000000007E-4</v>
      </c>
      <c r="F66" s="172">
        <f t="shared" si="9"/>
        <v>4.0000000000000007E-4</v>
      </c>
      <c r="G66" s="172">
        <f t="shared" si="9"/>
        <v>4.0000000000000007E-4</v>
      </c>
      <c r="H66" s="172">
        <f t="shared" si="9"/>
        <v>4.0000000000000007E-4</v>
      </c>
      <c r="I66" s="172">
        <f t="shared" si="9"/>
        <v>4.0000000000000007E-4</v>
      </c>
      <c r="J66" s="172">
        <f t="shared" si="9"/>
        <v>5.0000000000000012E-4</v>
      </c>
      <c r="K66" s="172">
        <f t="shared" si="9"/>
        <v>5.0000000000000012E-4</v>
      </c>
      <c r="L66" s="172">
        <f t="shared" si="9"/>
        <v>5.0000000000000012E-4</v>
      </c>
      <c r="M66" s="172">
        <f t="shared" si="9"/>
        <v>5.0000000000000012E-4</v>
      </c>
      <c r="N66" s="172">
        <f t="shared" si="9"/>
        <v>5.0000000000000012E-4</v>
      </c>
      <c r="O66" s="172">
        <f t="shared" si="9"/>
        <v>0</v>
      </c>
      <c r="P66" s="171">
        <f t="shared" si="4"/>
        <v>4.5000000000000014E-3</v>
      </c>
      <c r="Q66" s="199">
        <f>+P66</f>
        <v>4.5000000000000014E-3</v>
      </c>
      <c r="R66" s="198">
        <f t="shared" si="5"/>
        <v>0</v>
      </c>
      <c r="S66" s="194"/>
      <c r="T66" s="194"/>
      <c r="U66" s="194"/>
      <c r="V66" s="194"/>
      <c r="W66" s="194"/>
      <c r="X66" s="194"/>
      <c r="Y66" s="194"/>
      <c r="Z66" s="194"/>
      <c r="AA66" s="194"/>
      <c r="AB66" s="194"/>
      <c r="AC66" s="194"/>
      <c r="AD66" s="194"/>
    </row>
    <row r="67" spans="1:30" hidden="1" x14ac:dyDescent="0.25">
      <c r="A67" s="384" t="str">
        <f>A48</f>
        <v>30. Realizar Acompañamiento técnico al Puesto de mando Unificado (PMU) durante las movilizaciones y protesta social que se realicen y a las cuales se convoque a la SDMujer.</v>
      </c>
      <c r="B67" s="386">
        <f>B48</f>
        <v>5.0000000000000001E-3</v>
      </c>
      <c r="C67" s="176" t="s">
        <v>62</v>
      </c>
      <c r="D67" s="175">
        <f t="shared" ref="D67:O68" si="10">D48*$B$48/$P$48</f>
        <v>0</v>
      </c>
      <c r="E67" s="175">
        <f t="shared" si="10"/>
        <v>0</v>
      </c>
      <c r="F67" s="175">
        <f t="shared" si="10"/>
        <v>7.5000000000000002E-4</v>
      </c>
      <c r="G67" s="175">
        <f t="shared" si="10"/>
        <v>4.0000000000000002E-4</v>
      </c>
      <c r="H67" s="175">
        <f t="shared" si="10"/>
        <v>7.5000000000000002E-4</v>
      </c>
      <c r="I67" s="175">
        <f t="shared" si="10"/>
        <v>2.5000000000000001E-4</v>
      </c>
      <c r="J67" s="175">
        <f t="shared" si="10"/>
        <v>5.0000000000000001E-4</v>
      </c>
      <c r="K67" s="175">
        <f t="shared" si="10"/>
        <v>5.0000000000000001E-4</v>
      </c>
      <c r="L67" s="175">
        <f t="shared" si="10"/>
        <v>2.9999999999999997E-4</v>
      </c>
      <c r="M67" s="175">
        <f t="shared" si="10"/>
        <v>5.0000000000000001E-4</v>
      </c>
      <c r="N67" s="175">
        <f t="shared" si="10"/>
        <v>7.5000000000000002E-4</v>
      </c>
      <c r="O67" s="175">
        <f t="shared" si="10"/>
        <v>2.9999999999999997E-4</v>
      </c>
      <c r="P67" s="174">
        <f t="shared" si="4"/>
        <v>5.0000000000000001E-3</v>
      </c>
      <c r="Q67" s="197">
        <v>0.02</v>
      </c>
      <c r="R67" s="198">
        <f t="shared" si="5"/>
        <v>-1.4999999999999999E-2</v>
      </c>
      <c r="S67" s="194"/>
      <c r="T67" s="194"/>
      <c r="U67" s="194"/>
      <c r="V67" s="194"/>
      <c r="W67" s="194"/>
      <c r="X67" s="194"/>
      <c r="Y67" s="194"/>
      <c r="Z67" s="194"/>
      <c r="AA67" s="194"/>
      <c r="AB67" s="194"/>
      <c r="AC67" s="194"/>
      <c r="AD67" s="194"/>
    </row>
    <row r="68" spans="1:30" hidden="1" x14ac:dyDescent="0.25">
      <c r="A68" s="839"/>
      <c r="B68" s="803"/>
      <c r="C68" s="173" t="s">
        <v>63</v>
      </c>
      <c r="D68" s="172">
        <f t="shared" si="10"/>
        <v>0</v>
      </c>
      <c r="E68" s="172">
        <f t="shared" si="10"/>
        <v>0</v>
      </c>
      <c r="F68" s="172">
        <f t="shared" si="10"/>
        <v>7.5000000000000002E-4</v>
      </c>
      <c r="G68" s="172">
        <f t="shared" si="10"/>
        <v>4.0000000000000002E-4</v>
      </c>
      <c r="H68" s="172">
        <f t="shared" si="10"/>
        <v>7.5000000000000002E-4</v>
      </c>
      <c r="I68" s="172">
        <f t="shared" si="10"/>
        <v>2.5000000000000001E-4</v>
      </c>
      <c r="J68" s="172">
        <f t="shared" si="10"/>
        <v>5.0000000000000001E-4</v>
      </c>
      <c r="K68" s="172">
        <f t="shared" si="10"/>
        <v>5.0000000000000001E-4</v>
      </c>
      <c r="L68" s="172">
        <f t="shared" si="10"/>
        <v>2.9999999999999997E-4</v>
      </c>
      <c r="M68" s="172">
        <f t="shared" si="10"/>
        <v>5.0000000000000001E-4</v>
      </c>
      <c r="N68" s="172">
        <f t="shared" si="10"/>
        <v>7.5000000000000002E-4</v>
      </c>
      <c r="O68" s="172">
        <f t="shared" si="10"/>
        <v>0</v>
      </c>
      <c r="P68" s="171">
        <f t="shared" si="4"/>
        <v>4.7000000000000002E-3</v>
      </c>
      <c r="Q68" s="199">
        <f>+P68</f>
        <v>4.7000000000000002E-3</v>
      </c>
      <c r="R68" s="198">
        <f t="shared" si="5"/>
        <v>0</v>
      </c>
      <c r="S68" s="194"/>
      <c r="T68" s="194"/>
      <c r="U68" s="194"/>
      <c r="V68" s="194"/>
      <c r="W68" s="194"/>
      <c r="X68" s="194"/>
      <c r="Y68" s="194"/>
      <c r="Z68" s="194"/>
      <c r="AA68" s="194"/>
      <c r="AB68" s="194"/>
      <c r="AC68" s="194"/>
      <c r="AD68" s="194"/>
    </row>
    <row r="69" spans="1:30" hidden="1" x14ac:dyDescent="0.25">
      <c r="A69" s="384" t="str">
        <f>A50</f>
        <v>31. Acompañar técnicamente a las consejeras del sector mujeres del Consejo Distrital de jóvenes</v>
      </c>
      <c r="B69" s="386">
        <f>B50</f>
        <v>5.0000000000000001E-3</v>
      </c>
      <c r="C69" s="176" t="s">
        <v>62</v>
      </c>
      <c r="D69" s="175">
        <f t="shared" ref="D69:O70" si="11">D50*$B$50/$P$50</f>
        <v>0</v>
      </c>
      <c r="E69" s="175">
        <f t="shared" si="11"/>
        <v>4.0000000000000007E-4</v>
      </c>
      <c r="F69" s="175">
        <f t="shared" si="11"/>
        <v>4.0000000000000007E-4</v>
      </c>
      <c r="G69" s="175">
        <f t="shared" si="11"/>
        <v>4.0000000000000007E-4</v>
      </c>
      <c r="H69" s="175">
        <f t="shared" si="11"/>
        <v>4.0000000000000007E-4</v>
      </c>
      <c r="I69" s="175">
        <f t="shared" si="11"/>
        <v>4.0000000000000007E-4</v>
      </c>
      <c r="J69" s="175">
        <f t="shared" si="11"/>
        <v>5.0000000000000012E-4</v>
      </c>
      <c r="K69" s="175">
        <f t="shared" si="11"/>
        <v>5.0000000000000012E-4</v>
      </c>
      <c r="L69" s="175">
        <f t="shared" si="11"/>
        <v>5.0000000000000012E-4</v>
      </c>
      <c r="M69" s="175">
        <f t="shared" si="11"/>
        <v>5.0000000000000012E-4</v>
      </c>
      <c r="N69" s="175">
        <f t="shared" si="11"/>
        <v>5.0000000000000012E-4</v>
      </c>
      <c r="O69" s="175">
        <f t="shared" si="11"/>
        <v>5.0000000000000012E-4</v>
      </c>
      <c r="P69" s="174">
        <f t="shared" si="4"/>
        <v>5.0000000000000018E-3</v>
      </c>
      <c r="Q69" s="197">
        <v>0.02</v>
      </c>
      <c r="R69" s="198">
        <f t="shared" si="5"/>
        <v>-1.4999999999999999E-2</v>
      </c>
      <c r="S69" s="194"/>
      <c r="T69" s="194"/>
      <c r="U69" s="194"/>
      <c r="V69" s="194"/>
      <c r="W69" s="194"/>
      <c r="X69" s="194"/>
      <c r="Y69" s="194"/>
      <c r="Z69" s="194"/>
      <c r="AA69" s="194"/>
      <c r="AB69" s="194"/>
      <c r="AC69" s="194"/>
      <c r="AD69" s="194"/>
    </row>
    <row r="70" spans="1:30" hidden="1" x14ac:dyDescent="0.25">
      <c r="A70" s="839"/>
      <c r="B70" s="803"/>
      <c r="C70" s="173" t="s">
        <v>63</v>
      </c>
      <c r="D70" s="172">
        <f t="shared" si="11"/>
        <v>0</v>
      </c>
      <c r="E70" s="172">
        <f t="shared" si="11"/>
        <v>4.0000000000000007E-4</v>
      </c>
      <c r="F70" s="172">
        <f t="shared" si="11"/>
        <v>4.0000000000000007E-4</v>
      </c>
      <c r="G70" s="172">
        <f t="shared" si="11"/>
        <v>4.0000000000000007E-4</v>
      </c>
      <c r="H70" s="172">
        <f t="shared" si="11"/>
        <v>4.0000000000000007E-4</v>
      </c>
      <c r="I70" s="172">
        <f t="shared" si="11"/>
        <v>4.0000000000000007E-4</v>
      </c>
      <c r="J70" s="172">
        <f t="shared" si="11"/>
        <v>5.0000000000000012E-4</v>
      </c>
      <c r="K70" s="172">
        <f t="shared" si="11"/>
        <v>5.0000000000000012E-4</v>
      </c>
      <c r="L70" s="172">
        <f t="shared" si="11"/>
        <v>5.0000000000000012E-4</v>
      </c>
      <c r="M70" s="172">
        <f t="shared" si="11"/>
        <v>5.0000000000000012E-4</v>
      </c>
      <c r="N70" s="172">
        <f t="shared" si="11"/>
        <v>5.0000000000000012E-4</v>
      </c>
      <c r="O70" s="172">
        <f t="shared" si="11"/>
        <v>0</v>
      </c>
      <c r="P70" s="171">
        <f t="shared" si="4"/>
        <v>4.5000000000000014E-3</v>
      </c>
      <c r="Q70" s="199">
        <f>+P70</f>
        <v>4.5000000000000014E-3</v>
      </c>
      <c r="R70" s="198">
        <f t="shared" si="5"/>
        <v>0</v>
      </c>
      <c r="S70" s="194"/>
      <c r="T70" s="194"/>
      <c r="U70" s="194"/>
      <c r="V70" s="194"/>
      <c r="W70" s="194"/>
      <c r="X70" s="194"/>
      <c r="Y70" s="194"/>
      <c r="Z70" s="194"/>
      <c r="AA70" s="194"/>
      <c r="AB70" s="194"/>
      <c r="AC70" s="194"/>
      <c r="AD70" s="194"/>
    </row>
    <row r="71" spans="1:30" hidden="1" x14ac:dyDescent="0.25">
      <c r="A71" s="195"/>
      <c r="B71" s="169"/>
      <c r="C71" s="170"/>
      <c r="D71" s="165">
        <f t="shared" ref="D71:P71" si="12">D58+D60+D62+D64+D66+D68+D70</f>
        <v>5.0000000000000012E-4</v>
      </c>
      <c r="E71" s="165">
        <f t="shared" si="12"/>
        <v>3.4500000000000008E-3</v>
      </c>
      <c r="F71" s="165">
        <f t="shared" si="12"/>
        <v>4.7000000000000011E-3</v>
      </c>
      <c r="G71" s="165">
        <f t="shared" si="12"/>
        <v>4.3500000000000014E-3</v>
      </c>
      <c r="H71" s="165">
        <f t="shared" si="12"/>
        <v>4.7000000000000011E-3</v>
      </c>
      <c r="I71" s="165">
        <f t="shared" si="12"/>
        <v>4.2000000000000015E-3</v>
      </c>
      <c r="J71" s="165">
        <f t="shared" si="12"/>
        <v>4.850000000000001E-3</v>
      </c>
      <c r="K71" s="165">
        <f t="shared" si="12"/>
        <v>4.850000000000001E-3</v>
      </c>
      <c r="L71" s="165">
        <f t="shared" si="12"/>
        <v>4.6500000000000014E-3</v>
      </c>
      <c r="M71" s="165">
        <f t="shared" si="12"/>
        <v>4.850000000000001E-3</v>
      </c>
      <c r="N71" s="165">
        <f t="shared" si="12"/>
        <v>5.1000000000000012E-3</v>
      </c>
      <c r="O71" s="165">
        <f t="shared" si="12"/>
        <v>0</v>
      </c>
      <c r="P71" s="165">
        <f t="shared" si="12"/>
        <v>4.6200000000000012E-2</v>
      </c>
      <c r="Q71" s="195"/>
      <c r="R71" s="198">
        <f t="shared" si="5"/>
        <v>4.6200000000000012E-2</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3">D71*$W$17/$B$34</f>
        <v>4.0000000000000008E-2</v>
      </c>
      <c r="E72" s="163">
        <f t="shared" si="13"/>
        <v>0.27600000000000002</v>
      </c>
      <c r="F72" s="163">
        <f t="shared" si="13"/>
        <v>0.37600000000000006</v>
      </c>
      <c r="G72" s="163">
        <f t="shared" si="13"/>
        <v>0.34800000000000009</v>
      </c>
      <c r="H72" s="163">
        <f t="shared" si="13"/>
        <v>0.37600000000000006</v>
      </c>
      <c r="I72" s="163">
        <f t="shared" si="13"/>
        <v>0.33600000000000008</v>
      </c>
      <c r="J72" s="163">
        <f t="shared" si="13"/>
        <v>0.38800000000000007</v>
      </c>
      <c r="K72" s="163">
        <f t="shared" si="13"/>
        <v>0.38800000000000007</v>
      </c>
      <c r="L72" s="163">
        <f t="shared" si="13"/>
        <v>0.37200000000000011</v>
      </c>
      <c r="M72" s="163">
        <f t="shared" si="13"/>
        <v>0.38800000000000007</v>
      </c>
      <c r="N72" s="163">
        <f t="shared" si="13"/>
        <v>0.40800000000000008</v>
      </c>
      <c r="O72" s="163">
        <f t="shared" si="13"/>
        <v>0</v>
      </c>
      <c r="P72" s="162">
        <f>SUM(D72:O72)</f>
        <v>3.6960000000000002</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 t="shared" ref="D74:O74" si="14">+D57+D59+D61+D63+D65+D67+D69</f>
        <v>5.0000000000000012E-4</v>
      </c>
      <c r="E74" s="165">
        <f t="shared" si="14"/>
        <v>3.4500000000000008E-3</v>
      </c>
      <c r="F74" s="165">
        <f t="shared" si="14"/>
        <v>4.7000000000000011E-3</v>
      </c>
      <c r="G74" s="165">
        <f t="shared" si="14"/>
        <v>4.3500000000000014E-3</v>
      </c>
      <c r="H74" s="165">
        <f t="shared" si="14"/>
        <v>4.7000000000000011E-3</v>
      </c>
      <c r="I74" s="165">
        <f t="shared" si="14"/>
        <v>4.2000000000000015E-3</v>
      </c>
      <c r="J74" s="165">
        <f t="shared" si="14"/>
        <v>4.850000000000001E-3</v>
      </c>
      <c r="K74" s="165">
        <f t="shared" si="14"/>
        <v>4.850000000000001E-3</v>
      </c>
      <c r="L74" s="165">
        <f t="shared" si="14"/>
        <v>4.6500000000000014E-3</v>
      </c>
      <c r="M74" s="165">
        <f t="shared" si="14"/>
        <v>4.850000000000001E-3</v>
      </c>
      <c r="N74" s="165">
        <f t="shared" si="14"/>
        <v>5.1000000000000012E-3</v>
      </c>
      <c r="O74" s="165">
        <f t="shared" si="14"/>
        <v>3.8000000000000004E-3</v>
      </c>
      <c r="P74" s="165">
        <f>SUM(D74:O74)</f>
        <v>5.000000000000001E-2</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 t="shared" ref="D75:O75" si="15">D74*$W$17/$B$34</f>
        <v>4.0000000000000008E-2</v>
      </c>
      <c r="E75" s="163">
        <f t="shared" si="15"/>
        <v>0.27600000000000002</v>
      </c>
      <c r="F75" s="163">
        <f t="shared" si="15"/>
        <v>0.37600000000000006</v>
      </c>
      <c r="G75" s="163">
        <f t="shared" si="15"/>
        <v>0.34800000000000009</v>
      </c>
      <c r="H75" s="163">
        <f t="shared" si="15"/>
        <v>0.37600000000000006</v>
      </c>
      <c r="I75" s="163">
        <f t="shared" si="15"/>
        <v>0.33600000000000008</v>
      </c>
      <c r="J75" s="163">
        <f t="shared" si="15"/>
        <v>0.38800000000000007</v>
      </c>
      <c r="K75" s="163">
        <f t="shared" si="15"/>
        <v>0.38800000000000007</v>
      </c>
      <c r="L75" s="163">
        <f t="shared" si="15"/>
        <v>0.37200000000000011</v>
      </c>
      <c r="M75" s="163">
        <f t="shared" si="15"/>
        <v>0.38800000000000007</v>
      </c>
      <c r="N75" s="163">
        <f t="shared" si="15"/>
        <v>0.40800000000000008</v>
      </c>
      <c r="O75" s="163">
        <f t="shared" si="15"/>
        <v>0.30399999999999999</v>
      </c>
      <c r="P75" s="162">
        <f>SUM(D75:O75)</f>
        <v>4</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hidden="1" x14ac:dyDescent="0.25">
      <c r="A77" s="194"/>
      <c r="Q77" s="194"/>
      <c r="R77" s="194"/>
      <c r="S77" s="194"/>
      <c r="T77" s="194"/>
      <c r="U77" s="194"/>
      <c r="V77" s="194"/>
      <c r="W77" s="194"/>
      <c r="X77" s="194"/>
      <c r="Y77" s="194"/>
      <c r="Z77" s="194"/>
      <c r="AA77" s="194"/>
      <c r="AB77" s="194"/>
      <c r="AC77" s="194"/>
      <c r="AD77" s="194"/>
    </row>
    <row r="78" spans="1:30" hidden="1" x14ac:dyDescent="0.25">
      <c r="A78" s="194"/>
      <c r="Q78" s="194"/>
      <c r="R78" s="194"/>
      <c r="S78" s="194"/>
      <c r="T78" s="194"/>
      <c r="U78" s="194"/>
      <c r="V78" s="194"/>
      <c r="W78" s="194"/>
      <c r="X78" s="194"/>
      <c r="Y78" s="194"/>
      <c r="Z78" s="194"/>
      <c r="AA78" s="194"/>
      <c r="AB78" s="194"/>
      <c r="AC78" s="194"/>
      <c r="AD78" s="194"/>
    </row>
    <row r="79" spans="1:30" hidden="1" x14ac:dyDescent="0.25">
      <c r="A79" s="194"/>
      <c r="Q79" s="194"/>
      <c r="R79" s="194"/>
      <c r="S79" s="194"/>
      <c r="T79" s="194"/>
      <c r="U79" s="194"/>
      <c r="V79" s="194"/>
      <c r="W79" s="194"/>
      <c r="X79" s="194"/>
      <c r="Y79" s="194"/>
      <c r="Z79" s="194"/>
      <c r="AA79" s="194"/>
      <c r="AB79" s="194"/>
      <c r="AC79" s="194"/>
      <c r="AD79" s="194"/>
    </row>
    <row r="80" spans="1:30" hidden="1" x14ac:dyDescent="0.25">
      <c r="A80" s="194"/>
      <c r="Q80" s="194"/>
      <c r="R80" s="194"/>
      <c r="S80" s="194"/>
      <c r="T80" s="194"/>
      <c r="U80" s="194"/>
      <c r="V80" s="194"/>
      <c r="W80" s="194"/>
      <c r="X80" s="194"/>
      <c r="Y80" s="194"/>
      <c r="Z80" s="194"/>
      <c r="AA80" s="194"/>
      <c r="AB80" s="194"/>
      <c r="AC80" s="194"/>
      <c r="AD80" s="194"/>
    </row>
    <row r="81" spans="1:30" hidden="1" x14ac:dyDescent="0.25">
      <c r="A81" s="194"/>
      <c r="Q81" s="194"/>
      <c r="R81" s="194"/>
      <c r="S81" s="194"/>
      <c r="T81" s="194"/>
      <c r="U81" s="194"/>
      <c r="V81" s="194"/>
      <c r="W81" s="194"/>
      <c r="X81" s="194"/>
      <c r="Y81" s="194"/>
      <c r="Z81" s="194"/>
      <c r="AA81" s="194"/>
      <c r="AB81" s="194"/>
      <c r="AC81" s="194"/>
      <c r="AD81" s="194"/>
    </row>
    <row r="82" spans="1:30" hidden="1" x14ac:dyDescent="0.25">
      <c r="A82" s="194"/>
      <c r="Q82" s="194"/>
      <c r="R82" s="194"/>
      <c r="S82" s="194"/>
      <c r="T82" s="194"/>
      <c r="U82" s="194"/>
      <c r="V82" s="194"/>
      <c r="W82" s="194"/>
      <c r="X82" s="194"/>
      <c r="Y82" s="194"/>
      <c r="Z82" s="194"/>
      <c r="AA82" s="194"/>
      <c r="AB82" s="194"/>
      <c r="AC82" s="194"/>
      <c r="AD82" s="194"/>
    </row>
    <row r="83" spans="1:30" hidden="1" x14ac:dyDescent="0.25">
      <c r="A83" s="194"/>
      <c r="Q83" s="194"/>
      <c r="R83" s="194"/>
      <c r="S83" s="194"/>
      <c r="T83" s="194"/>
      <c r="U83" s="194"/>
      <c r="V83" s="194"/>
      <c r="W83" s="194"/>
      <c r="X83" s="194"/>
      <c r="Y83" s="194"/>
      <c r="Z83" s="194"/>
      <c r="AA83" s="194"/>
      <c r="AB83" s="194"/>
      <c r="AC83" s="194"/>
      <c r="AD83" s="194"/>
    </row>
    <row r="84" spans="1:30" hidden="1" x14ac:dyDescent="0.25">
      <c r="A84" s="194"/>
      <c r="Q84" s="194"/>
      <c r="R84" s="194"/>
      <c r="S84" s="194"/>
      <c r="T84" s="194"/>
      <c r="U84" s="194"/>
      <c r="V84" s="194"/>
      <c r="W84" s="194"/>
      <c r="X84" s="194"/>
      <c r="Y84" s="194"/>
      <c r="Z84" s="194"/>
      <c r="AA84" s="194"/>
      <c r="AB84" s="194"/>
      <c r="AC84" s="194"/>
      <c r="AD84" s="194"/>
    </row>
    <row r="85" spans="1:30" hidden="1" x14ac:dyDescent="0.25">
      <c r="A85" s="194"/>
      <c r="Q85" s="194"/>
      <c r="R85" s="194"/>
      <c r="S85" s="194"/>
      <c r="T85" s="194"/>
      <c r="U85" s="194"/>
      <c r="V85" s="194"/>
      <c r="W85" s="194"/>
      <c r="X85" s="194"/>
      <c r="Y85" s="194"/>
      <c r="Z85" s="194"/>
      <c r="AA85" s="194"/>
      <c r="AB85" s="194"/>
      <c r="AC85" s="194"/>
      <c r="AD85" s="194"/>
    </row>
    <row r="86" spans="1:30" hidden="1" x14ac:dyDescent="0.25">
      <c r="A86" s="194"/>
      <c r="Q86" s="194"/>
      <c r="R86" s="194"/>
      <c r="S86" s="194"/>
      <c r="T86" s="194"/>
      <c r="U86" s="194"/>
      <c r="V86" s="194"/>
      <c r="W86" s="194"/>
      <c r="X86" s="194"/>
      <c r="Y86" s="194"/>
      <c r="Z86" s="194"/>
      <c r="AA86" s="194"/>
      <c r="AB86" s="194"/>
      <c r="AC86" s="194"/>
      <c r="AD86" s="194"/>
    </row>
    <row r="87" spans="1:30" hidden="1" x14ac:dyDescent="0.25">
      <c r="A87" s="194"/>
      <c r="Q87" s="194"/>
      <c r="R87" s="194"/>
      <c r="S87" s="194"/>
      <c r="T87" s="194"/>
      <c r="U87" s="194"/>
      <c r="V87" s="194"/>
      <c r="W87" s="194"/>
      <c r="X87" s="194"/>
      <c r="Y87" s="194"/>
      <c r="Z87" s="194"/>
      <c r="AA87" s="194"/>
      <c r="AB87" s="194"/>
      <c r="AC87" s="194"/>
      <c r="AD87" s="194"/>
    </row>
    <row r="88" spans="1:30" hidden="1" x14ac:dyDescent="0.25">
      <c r="A88" s="194"/>
      <c r="Q88" s="194"/>
      <c r="R88" s="194"/>
      <c r="S88" s="194"/>
      <c r="T88" s="194"/>
      <c r="U88" s="194"/>
      <c r="V88" s="194"/>
      <c r="W88" s="194"/>
      <c r="X88" s="194"/>
      <c r="Y88" s="194"/>
      <c r="Z88" s="194"/>
      <c r="AA88" s="194"/>
      <c r="AB88" s="194"/>
      <c r="AC88" s="194"/>
      <c r="AD88" s="194"/>
    </row>
    <row r="89" spans="1:30" hidden="1"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08">
    <mergeCell ref="Q38:AD39"/>
    <mergeCell ref="A44:A45"/>
    <mergeCell ref="B44:B45"/>
    <mergeCell ref="Q44:AD45"/>
    <mergeCell ref="A40:A41"/>
    <mergeCell ref="B40:B41"/>
    <mergeCell ref="Q40:AD41"/>
    <mergeCell ref="A42:A43"/>
    <mergeCell ref="B42:B43"/>
    <mergeCell ref="Q42:AD43"/>
    <mergeCell ref="W34:Z35"/>
    <mergeCell ref="AA34:AD35"/>
    <mergeCell ref="Q33:S33"/>
    <mergeCell ref="T33:V33"/>
    <mergeCell ref="Q34:S35"/>
    <mergeCell ref="T34:V35"/>
    <mergeCell ref="A36:A37"/>
    <mergeCell ref="B36:B37"/>
    <mergeCell ref="C36:P36"/>
    <mergeCell ref="Q36:AD36"/>
    <mergeCell ref="Q37:AD37"/>
    <mergeCell ref="Q30:AD30"/>
    <mergeCell ref="A31:AD31"/>
    <mergeCell ref="A32:A33"/>
    <mergeCell ref="B32:B33"/>
    <mergeCell ref="C32:C33"/>
    <mergeCell ref="D32:P32"/>
    <mergeCell ref="Q32:AD32"/>
    <mergeCell ref="W33:Z33"/>
    <mergeCell ref="AA33:AD3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Q50:AD51"/>
    <mergeCell ref="A55:A56"/>
    <mergeCell ref="B55:B56"/>
    <mergeCell ref="C55:P55"/>
    <mergeCell ref="A46:A47"/>
    <mergeCell ref="B46:B47"/>
    <mergeCell ref="Q46:AD47"/>
    <mergeCell ref="A48:A49"/>
    <mergeCell ref="B48:B49"/>
    <mergeCell ref="Q48:AD49"/>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s>
  <phoneticPr fontId="66" type="noConversion"/>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00000000-0002-0000-0600-000002000000}">
      <formula1>2000</formula1>
    </dataValidation>
    <dataValidation type="textLength" operator="lessThanOrEqual" allowBlank="1" showInputMessage="1" showErrorMessage="1" errorTitle="Máximo 2.000 caracteres" error="Máximo 2.000 caracteres" sqref="Q38:AD51" xr:uid="{00000000-0002-0000-0600-000003000000}">
      <formula1>20000</formula1>
    </dataValidation>
  </dataValidations>
  <printOptions horizontalCentered="1"/>
  <pageMargins left="0" right="0" top="0.39370078740157483" bottom="0.39370078740157483" header="0" footer="0"/>
  <pageSetup paperSize="9" scale="1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view="pageBreakPreview" topLeftCell="A35" zoomScale="60" zoomScaleNormal="60" workbookViewId="0">
      <selection activeCell="A38" sqref="A38:A39"/>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8.28515625" style="50" customWidth="1"/>
    <col min="16" max="16" width="18.140625" style="50" customWidth="1"/>
    <col min="17" max="17" width="18.7109375" style="50" customWidth="1"/>
    <col min="18" max="18" width="19.1406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3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1" t="s">
        <v>3</v>
      </c>
      <c r="AC2" s="422"/>
      <c r="AD2" s="423"/>
    </row>
    <row r="3" spans="1:33" ht="24" customHeight="1" x14ac:dyDescent="0.25">
      <c r="A3" s="413"/>
      <c r="B3" s="776" t="s">
        <v>4</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c r="AB3" s="421" t="s">
        <v>5</v>
      </c>
      <c r="AC3" s="422"/>
      <c r="AD3" s="423"/>
    </row>
    <row r="4" spans="1:33" ht="21.75" customHeight="1" thickBot="1" x14ac:dyDescent="0.3">
      <c r="A4" s="414"/>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2"/>
      <c r="AB4" s="433" t="s">
        <v>6</v>
      </c>
      <c r="AC4" s="434"/>
      <c r="AD4" s="435"/>
    </row>
    <row r="5" spans="1:33" ht="9" customHeight="1" thickBot="1" x14ac:dyDescent="0.3">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75" x14ac:dyDescent="0.25">
      <c r="A7" s="436" t="s">
        <v>7</v>
      </c>
      <c r="B7" s="437"/>
      <c r="C7" s="478" t="s">
        <v>39</v>
      </c>
      <c r="D7" s="442" t="s">
        <v>9</v>
      </c>
      <c r="E7" s="443"/>
      <c r="F7" s="443"/>
      <c r="G7" s="443"/>
      <c r="H7" s="444"/>
      <c r="I7" s="451">
        <v>45265</v>
      </c>
      <c r="J7" s="452"/>
      <c r="K7" s="442" t="s">
        <v>10</v>
      </c>
      <c r="L7" s="444"/>
      <c r="M7" s="476" t="s">
        <v>11</v>
      </c>
      <c r="N7" s="477"/>
      <c r="O7" s="783"/>
      <c r="P7" s="784"/>
      <c r="Q7" s="250"/>
      <c r="R7" s="250"/>
      <c r="S7" s="250"/>
      <c r="T7" s="250"/>
      <c r="U7" s="250"/>
      <c r="V7" s="250"/>
      <c r="W7" s="250"/>
      <c r="X7" s="250"/>
      <c r="Y7" s="250"/>
      <c r="Z7" s="251"/>
      <c r="AA7" s="250"/>
      <c r="AB7" s="250"/>
      <c r="AC7" s="252"/>
      <c r="AD7" s="253"/>
      <c r="AE7" s="194"/>
      <c r="AF7" s="194"/>
      <c r="AG7" s="194"/>
    </row>
    <row r="8" spans="1:33" ht="15.75" x14ac:dyDescent="0.25">
      <c r="A8" s="438"/>
      <c r="B8" s="439"/>
      <c r="C8" s="479"/>
      <c r="D8" s="445"/>
      <c r="E8" s="446"/>
      <c r="F8" s="446"/>
      <c r="G8" s="446"/>
      <c r="H8" s="447"/>
      <c r="I8" s="453"/>
      <c r="J8" s="454"/>
      <c r="K8" s="445"/>
      <c r="L8" s="447"/>
      <c r="M8" s="459" t="s">
        <v>12</v>
      </c>
      <c r="N8" s="460"/>
      <c r="O8" s="474"/>
      <c r="P8" s="475"/>
      <c r="Q8" s="250"/>
      <c r="R8" s="250"/>
      <c r="S8" s="250"/>
      <c r="T8" s="250"/>
      <c r="U8" s="250"/>
      <c r="V8" s="250"/>
      <c r="W8" s="250"/>
      <c r="X8" s="250"/>
      <c r="Y8" s="250"/>
      <c r="Z8" s="251"/>
      <c r="AA8" s="250"/>
      <c r="AB8" s="250"/>
      <c r="AC8" s="252"/>
      <c r="AD8" s="253"/>
      <c r="AE8" s="194"/>
      <c r="AF8" s="194"/>
      <c r="AG8" s="194"/>
    </row>
    <row r="9" spans="1:33" ht="16.5" thickBot="1" x14ac:dyDescent="0.3">
      <c r="A9" s="440"/>
      <c r="B9" s="441"/>
      <c r="C9" s="480"/>
      <c r="D9" s="448"/>
      <c r="E9" s="449"/>
      <c r="F9" s="449"/>
      <c r="G9" s="449"/>
      <c r="H9" s="450"/>
      <c r="I9" s="455"/>
      <c r="J9" s="456"/>
      <c r="K9" s="448"/>
      <c r="L9" s="450"/>
      <c r="M9" s="491" t="s">
        <v>13</v>
      </c>
      <c r="N9" s="492"/>
      <c r="O9" s="493" t="s">
        <v>14</v>
      </c>
      <c r="P9" s="494"/>
      <c r="Q9" s="250"/>
      <c r="R9" s="250"/>
      <c r="S9" s="250"/>
      <c r="T9" s="250"/>
      <c r="U9" s="250"/>
      <c r="V9" s="250"/>
      <c r="W9" s="250"/>
      <c r="X9" s="250"/>
      <c r="Y9" s="250"/>
      <c r="Z9" s="251"/>
      <c r="AA9" s="250"/>
      <c r="AB9" s="250"/>
      <c r="AC9" s="252"/>
      <c r="AD9" s="253"/>
      <c r="AE9" s="194"/>
      <c r="AF9" s="194"/>
      <c r="AG9" s="194"/>
    </row>
    <row r="10" spans="1:33" ht="15" customHeight="1" thickBot="1" x14ac:dyDescent="0.3">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25">
      <c r="A11" s="436" t="s">
        <v>15</v>
      </c>
      <c r="B11" s="437"/>
      <c r="C11" s="495" t="s">
        <v>149</v>
      </c>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7"/>
    </row>
    <row r="12" spans="1:33" ht="15" customHeight="1" x14ac:dyDescent="0.25">
      <c r="A12" s="438"/>
      <c r="B12" s="439"/>
      <c r="C12" s="498"/>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500"/>
    </row>
    <row r="13" spans="1:33" ht="15" customHeight="1" thickBot="1" x14ac:dyDescent="0.3">
      <c r="A13" s="440"/>
      <c r="B13" s="441"/>
      <c r="C13" s="501"/>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3"/>
    </row>
    <row r="14" spans="1:33" ht="9" customHeight="1" thickBot="1" x14ac:dyDescent="0.3">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67.5" customHeight="1" thickBot="1" x14ac:dyDescent="0.3">
      <c r="A15" s="489" t="s">
        <v>17</v>
      </c>
      <c r="B15" s="490"/>
      <c r="C15" s="424" t="s">
        <v>18</v>
      </c>
      <c r="D15" s="425"/>
      <c r="E15" s="425"/>
      <c r="F15" s="425"/>
      <c r="G15" s="425"/>
      <c r="H15" s="425"/>
      <c r="I15" s="425"/>
      <c r="J15" s="425"/>
      <c r="K15" s="426"/>
      <c r="L15" s="484" t="s">
        <v>19</v>
      </c>
      <c r="M15" s="488"/>
      <c r="N15" s="488"/>
      <c r="O15" s="488"/>
      <c r="P15" s="488"/>
      <c r="Q15" s="485"/>
      <c r="R15" s="481" t="s">
        <v>20</v>
      </c>
      <c r="S15" s="482"/>
      <c r="T15" s="482"/>
      <c r="U15" s="482"/>
      <c r="V15" s="482"/>
      <c r="W15" s="482"/>
      <c r="X15" s="483"/>
      <c r="Y15" s="484" t="s">
        <v>21</v>
      </c>
      <c r="Z15" s="485"/>
      <c r="AA15" s="517" t="s">
        <v>22</v>
      </c>
      <c r="AB15" s="518"/>
      <c r="AC15" s="518"/>
      <c r="AD15" s="519"/>
    </row>
    <row r="16" spans="1:33" ht="9" customHeight="1" thickBot="1" x14ac:dyDescent="0.3">
      <c r="A16" s="247"/>
      <c r="B16" s="24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269"/>
      <c r="AD16" s="270"/>
    </row>
    <row r="17" spans="1:41" s="76" customFormat="1" ht="37.5" customHeight="1" thickBot="1" x14ac:dyDescent="0.3">
      <c r="A17" s="489" t="s">
        <v>23</v>
      </c>
      <c r="B17" s="490"/>
      <c r="C17" s="777" t="s">
        <v>150</v>
      </c>
      <c r="D17" s="778"/>
      <c r="E17" s="778"/>
      <c r="F17" s="778"/>
      <c r="G17" s="778"/>
      <c r="H17" s="778"/>
      <c r="I17" s="778"/>
      <c r="J17" s="778"/>
      <c r="K17" s="778"/>
      <c r="L17" s="778"/>
      <c r="M17" s="778"/>
      <c r="N17" s="778"/>
      <c r="O17" s="778"/>
      <c r="P17" s="778"/>
      <c r="Q17" s="779"/>
      <c r="R17" s="484" t="s">
        <v>25</v>
      </c>
      <c r="S17" s="488"/>
      <c r="T17" s="488"/>
      <c r="U17" s="488"/>
      <c r="V17" s="485"/>
      <c r="W17" s="486">
        <v>1</v>
      </c>
      <c r="X17" s="487"/>
      <c r="Y17" s="488" t="s">
        <v>26</v>
      </c>
      <c r="Z17" s="488"/>
      <c r="AA17" s="488"/>
      <c r="AB17" s="485"/>
      <c r="AC17" s="530">
        <v>0.1</v>
      </c>
      <c r="AD17" s="531"/>
    </row>
    <row r="18" spans="1:41" ht="16.5" customHeight="1" thickBot="1" x14ac:dyDescent="0.3">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1.9"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83"/>
      <c r="AF19" s="83"/>
    </row>
    <row r="20" spans="1:41" ht="31.9" customHeight="1" thickBot="1" x14ac:dyDescent="0.3">
      <c r="A20" s="274"/>
      <c r="B20" s="248"/>
      <c r="C20" s="508" t="s">
        <v>28</v>
      </c>
      <c r="D20" s="509"/>
      <c r="E20" s="509"/>
      <c r="F20" s="509"/>
      <c r="G20" s="509"/>
      <c r="H20" s="509"/>
      <c r="I20" s="509"/>
      <c r="J20" s="509"/>
      <c r="K20" s="509"/>
      <c r="L20" s="509"/>
      <c r="M20" s="509"/>
      <c r="N20" s="509"/>
      <c r="O20" s="509"/>
      <c r="P20" s="510"/>
      <c r="Q20" s="505" t="s">
        <v>29</v>
      </c>
      <c r="R20" s="506"/>
      <c r="S20" s="506"/>
      <c r="T20" s="506"/>
      <c r="U20" s="506"/>
      <c r="V20" s="506"/>
      <c r="W20" s="506"/>
      <c r="X20" s="506"/>
      <c r="Y20" s="506"/>
      <c r="Z20" s="506"/>
      <c r="AA20" s="506"/>
      <c r="AB20" s="506"/>
      <c r="AC20" s="506"/>
      <c r="AD20" s="507"/>
      <c r="AE20" s="83"/>
      <c r="AF20" s="83"/>
    </row>
    <row r="21" spans="1:41" ht="31.9" customHeight="1" thickBot="1" x14ac:dyDescent="0.3">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1.9" customHeight="1" x14ac:dyDescent="0.25">
      <c r="A22" s="469" t="s">
        <v>43</v>
      </c>
      <c r="B22" s="529"/>
      <c r="C22" s="278"/>
      <c r="D22" s="279"/>
      <c r="E22" s="279"/>
      <c r="F22" s="279"/>
      <c r="G22" s="279"/>
      <c r="H22" s="279"/>
      <c r="I22" s="279"/>
      <c r="J22" s="279"/>
      <c r="K22" s="279"/>
      <c r="L22" s="279"/>
      <c r="M22" s="279"/>
      <c r="N22" s="279"/>
      <c r="O22" s="279">
        <f>SUM(C22:N22)</f>
        <v>0</v>
      </c>
      <c r="P22" s="280"/>
      <c r="Q22" s="281">
        <v>482329867</v>
      </c>
      <c r="R22" s="282">
        <v>8537488</v>
      </c>
      <c r="S22" s="282">
        <v>11658906</v>
      </c>
      <c r="T22" s="282">
        <v>0</v>
      </c>
      <c r="U22" s="282">
        <v>0</v>
      </c>
      <c r="V22" s="282">
        <v>69659690</v>
      </c>
      <c r="W22" s="282">
        <v>0</v>
      </c>
      <c r="X22" s="282">
        <v>0</v>
      </c>
      <c r="Y22" s="282">
        <v>0</v>
      </c>
      <c r="Z22" s="282">
        <v>-8829365</v>
      </c>
      <c r="AA22" s="282">
        <v>0</v>
      </c>
      <c r="AB22" s="282">
        <v>0</v>
      </c>
      <c r="AC22" s="283">
        <f>SUM(Q22:AB22)</f>
        <v>563356586</v>
      </c>
      <c r="AD22" s="284"/>
      <c r="AE22" s="3"/>
      <c r="AF22" s="3"/>
    </row>
    <row r="23" spans="1:41" ht="31.9" customHeight="1" x14ac:dyDescent="0.25">
      <c r="A23" s="470" t="s">
        <v>44</v>
      </c>
      <c r="B23" s="504"/>
      <c r="C23" s="286"/>
      <c r="D23" s="287"/>
      <c r="E23" s="287"/>
      <c r="F23" s="287"/>
      <c r="G23" s="287"/>
      <c r="H23" s="287"/>
      <c r="I23" s="287"/>
      <c r="J23" s="287"/>
      <c r="K23" s="287"/>
      <c r="L23" s="287"/>
      <c r="M23" s="287"/>
      <c r="N23" s="287"/>
      <c r="O23" s="287">
        <f>SUM(C23:N23)</f>
        <v>0</v>
      </c>
      <c r="P23" s="288" t="str">
        <f>IFERROR(O23/(SUMIF(C23:N23,"&gt;0",C22:N22))," ")</f>
        <v xml:space="preserve"> </v>
      </c>
      <c r="Q23" s="289">
        <v>192841617</v>
      </c>
      <c r="R23" s="290">
        <f>408717117-Q23</f>
        <v>215875500</v>
      </c>
      <c r="S23" s="290">
        <f>439908793-Q23-R23</f>
        <v>31191676</v>
      </c>
      <c r="T23" s="290">
        <f>425048360-Q23-R23-S23</f>
        <v>-14860433</v>
      </c>
      <c r="U23" s="290">
        <f>452077686-Q23-R23-S23-T23</f>
        <v>27029326</v>
      </c>
      <c r="V23" s="290">
        <f>466571704-Q23-R23-T23-S23-U23</f>
        <v>14494018</v>
      </c>
      <c r="W23" s="290">
        <f>540421134-Q23-R23-S23-T23-U23-V23</f>
        <v>73849430</v>
      </c>
      <c r="X23" s="290">
        <f>540162274-Q23-R23-S23-T23-U23-V23-W23</f>
        <v>-258860</v>
      </c>
      <c r="Y23" s="290">
        <f>539787274-Q23-R23-S23-T23-U23-V23-W23-X23</f>
        <v>-375000</v>
      </c>
      <c r="Z23" s="290">
        <f>539787274-Q23-R23-S23-T23-U23-V23-W23-X23-Y23</f>
        <v>0</v>
      </c>
      <c r="AA23" s="290">
        <f>539787274-Q23-R23-S23-T23-U23-V23-W23-X23-Y23-Z23</f>
        <v>0</v>
      </c>
      <c r="AB23" s="290"/>
      <c r="AC23" s="344">
        <f>SUM(Q23:AB23)</f>
        <v>539787274</v>
      </c>
      <c r="AD23" s="291">
        <f>AC23/AC22</f>
        <v>0.9581627115299225</v>
      </c>
      <c r="AE23" s="3"/>
      <c r="AF23" s="3"/>
    </row>
    <row r="24" spans="1:41" ht="31.9" customHeight="1" x14ac:dyDescent="0.25">
      <c r="A24" s="470" t="s">
        <v>45</v>
      </c>
      <c r="B24" s="504"/>
      <c r="C24" s="286">
        <f>1128406</f>
        <v>1128406</v>
      </c>
      <c r="D24" s="287">
        <v>323897</v>
      </c>
      <c r="E24" s="287">
        <v>6000000</v>
      </c>
      <c r="F24" s="287">
        <v>3386148</v>
      </c>
      <c r="G24" s="287">
        <v>5990000</v>
      </c>
      <c r="H24" s="287"/>
      <c r="I24" s="287"/>
      <c r="J24" s="287"/>
      <c r="K24" s="287"/>
      <c r="L24" s="287"/>
      <c r="M24" s="287"/>
      <c r="N24" s="287"/>
      <c r="O24" s="344">
        <f>SUM(C24:N24)</f>
        <v>16828451</v>
      </c>
      <c r="P24" s="292"/>
      <c r="Q24" s="289"/>
      <c r="R24" s="346">
        <v>21074866.0933333</v>
      </c>
      <c r="S24" s="345">
        <v>38101431.693333298</v>
      </c>
      <c r="T24" s="345">
        <v>38767765</v>
      </c>
      <c r="U24" s="345">
        <v>30767765</v>
      </c>
      <c r="V24" s="345">
        <v>44967410</v>
      </c>
      <c r="W24" s="346">
        <v>50815014.493333302</v>
      </c>
      <c r="X24" s="346">
        <v>61097321</v>
      </c>
      <c r="Y24" s="346">
        <v>61097321</v>
      </c>
      <c r="Z24" s="346">
        <f>63097321-2943122</f>
        <v>60154199</v>
      </c>
      <c r="AA24" s="346">
        <f>65097321-2943122</f>
        <v>62154199</v>
      </c>
      <c r="AB24" s="346">
        <f>97302415-2943121</f>
        <v>94359294</v>
      </c>
      <c r="AC24" s="287">
        <f>SUM(Q24:AB24)</f>
        <v>563356586.27999997</v>
      </c>
      <c r="AD24" s="291"/>
      <c r="AE24" s="3"/>
      <c r="AF24" s="3"/>
    </row>
    <row r="25" spans="1:41" ht="31.9" customHeight="1" thickBot="1" x14ac:dyDescent="0.3">
      <c r="A25" s="515" t="s">
        <v>46</v>
      </c>
      <c r="B25" s="516"/>
      <c r="C25" s="296">
        <v>7741652</v>
      </c>
      <c r="D25" s="297">
        <f>9115239-C25</f>
        <v>1373587</v>
      </c>
      <c r="E25" s="297">
        <f>9729443-C25-D25</f>
        <v>614204</v>
      </c>
      <c r="F25" s="297">
        <f>16670260-C25-D25-E25</f>
        <v>6940817</v>
      </c>
      <c r="G25" s="297">
        <f>16828451-C25-D25-E25-F25</f>
        <v>158191</v>
      </c>
      <c r="H25" s="297"/>
      <c r="I25" s="297"/>
      <c r="J25" s="297"/>
      <c r="K25" s="297"/>
      <c r="L25" s="297"/>
      <c r="M25" s="297"/>
      <c r="N25" s="297"/>
      <c r="O25" s="298">
        <f>SUM(C25:N25)</f>
        <v>16828451</v>
      </c>
      <c r="P25" s="299">
        <f>O25/O24</f>
        <v>1</v>
      </c>
      <c r="Q25" s="348"/>
      <c r="R25" s="298">
        <f>3445534</f>
        <v>3445534</v>
      </c>
      <c r="S25" s="298">
        <f>30636224-R25</f>
        <v>27190690</v>
      </c>
      <c r="T25" s="298">
        <f>67744707-R25-S25</f>
        <v>37108483</v>
      </c>
      <c r="U25" s="298">
        <f>108938150-Q25-R25-S25-T25</f>
        <v>41193443</v>
      </c>
      <c r="V25" s="298">
        <f>163447695-R25-S25-T25-U25</f>
        <v>54509545</v>
      </c>
      <c r="W25" s="298">
        <f>218468354-R25-S25-T25-U25-V25</f>
        <v>55020659</v>
      </c>
      <c r="X25" s="298">
        <f>259440637-R25-S25-T25-U25-V25-W25</f>
        <v>40972283</v>
      </c>
      <c r="Y25" s="298">
        <f>300529587-R25-S25-T25-U25-V25-W25-X25</f>
        <v>41088950</v>
      </c>
      <c r="Z25" s="298">
        <f>406920595-Q25-R25-S25-T25-U25-V25-W25-X25-Y25</f>
        <v>106391008</v>
      </c>
      <c r="AA25" s="298">
        <f>450480067-Q25-R25-S25-T25-U25-V25-W25-X25-Y25-Z25</f>
        <v>43559472</v>
      </c>
      <c r="AB25" s="298"/>
      <c r="AC25" s="297">
        <f>SUM(Q25:AB25)</f>
        <v>450480067</v>
      </c>
      <c r="AD25" s="302">
        <f>AC25/AC24</f>
        <v>0.79963575108732643</v>
      </c>
      <c r="AE25" s="3"/>
      <c r="AF25" s="3"/>
    </row>
    <row r="26" spans="1:41" ht="31.9" customHeight="1" thickBot="1" x14ac:dyDescent="0.3">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25">
      <c r="A27" s="511" t="s">
        <v>47</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20" t="s">
        <v>48</v>
      </c>
      <c r="B28" s="522" t="s">
        <v>49</v>
      </c>
      <c r="C28" s="523"/>
      <c r="D28" s="504" t="s">
        <v>50</v>
      </c>
      <c r="E28" s="526"/>
      <c r="F28" s="526"/>
      <c r="G28" s="526"/>
      <c r="H28" s="526"/>
      <c r="I28" s="526"/>
      <c r="J28" s="526"/>
      <c r="K28" s="526"/>
      <c r="L28" s="526"/>
      <c r="M28" s="526"/>
      <c r="N28" s="526"/>
      <c r="O28" s="527"/>
      <c r="P28" s="472" t="s">
        <v>41</v>
      </c>
      <c r="Q28" s="472" t="s">
        <v>51</v>
      </c>
      <c r="R28" s="472"/>
      <c r="S28" s="472"/>
      <c r="T28" s="472"/>
      <c r="U28" s="472"/>
      <c r="V28" s="472"/>
      <c r="W28" s="472"/>
      <c r="X28" s="472"/>
      <c r="Y28" s="472"/>
      <c r="Z28" s="472"/>
      <c r="AA28" s="472"/>
      <c r="AB28" s="472"/>
      <c r="AC28" s="472"/>
      <c r="AD28" s="528"/>
    </row>
    <row r="29" spans="1:41" ht="27" customHeight="1" x14ac:dyDescent="0.25">
      <c r="A29" s="521"/>
      <c r="B29" s="524"/>
      <c r="C29" s="525"/>
      <c r="D29" s="305" t="s">
        <v>30</v>
      </c>
      <c r="E29" s="305" t="s">
        <v>31</v>
      </c>
      <c r="F29" s="305" t="s">
        <v>32</v>
      </c>
      <c r="G29" s="305" t="s">
        <v>33</v>
      </c>
      <c r="H29" s="305" t="s">
        <v>34</v>
      </c>
      <c r="I29" s="305" t="s">
        <v>35</v>
      </c>
      <c r="J29" s="305" t="s">
        <v>36</v>
      </c>
      <c r="K29" s="305" t="s">
        <v>37</v>
      </c>
      <c r="L29" s="305" t="s">
        <v>8</v>
      </c>
      <c r="M29" s="305" t="s">
        <v>38</v>
      </c>
      <c r="N29" s="305" t="s">
        <v>39</v>
      </c>
      <c r="O29" s="305" t="s">
        <v>40</v>
      </c>
      <c r="P29" s="527"/>
      <c r="Q29" s="472"/>
      <c r="R29" s="472"/>
      <c r="S29" s="472"/>
      <c r="T29" s="472"/>
      <c r="U29" s="472"/>
      <c r="V29" s="472"/>
      <c r="W29" s="472"/>
      <c r="X29" s="472"/>
      <c r="Y29" s="472"/>
      <c r="Z29" s="472"/>
      <c r="AA29" s="472"/>
      <c r="AB29" s="472"/>
      <c r="AC29" s="472"/>
      <c r="AD29" s="528"/>
    </row>
    <row r="30" spans="1:41" ht="137.25" customHeight="1" thickBot="1" x14ac:dyDescent="0.3">
      <c r="A30" s="307" t="s">
        <v>150</v>
      </c>
      <c r="B30" s="774"/>
      <c r="C30" s="775"/>
      <c r="D30" s="308"/>
      <c r="E30" s="308"/>
      <c r="F30" s="308"/>
      <c r="G30" s="308"/>
      <c r="H30" s="308"/>
      <c r="I30" s="308"/>
      <c r="J30" s="308"/>
      <c r="K30" s="308"/>
      <c r="L30" s="308"/>
      <c r="M30" s="308"/>
      <c r="N30" s="308"/>
      <c r="O30" s="308"/>
      <c r="P30" s="309">
        <f>SUM(D30:O30)</f>
        <v>0</v>
      </c>
      <c r="Q30" s="463"/>
      <c r="R30" s="463"/>
      <c r="S30" s="463"/>
      <c r="T30" s="463"/>
      <c r="U30" s="463"/>
      <c r="V30" s="463"/>
      <c r="W30" s="463"/>
      <c r="X30" s="463"/>
      <c r="Y30" s="463"/>
      <c r="Z30" s="463"/>
      <c r="AA30" s="463"/>
      <c r="AB30" s="463"/>
      <c r="AC30" s="463"/>
      <c r="AD30" s="464"/>
    </row>
    <row r="31" spans="1:41" ht="45" customHeight="1" thickBot="1" x14ac:dyDescent="0.3">
      <c r="A31" s="465" t="s">
        <v>53</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872"/>
    </row>
    <row r="32" spans="1:41" ht="22.9" customHeight="1" x14ac:dyDescent="0.25">
      <c r="A32" s="469" t="s">
        <v>54</v>
      </c>
      <c r="B32" s="471" t="s">
        <v>55</v>
      </c>
      <c r="C32" s="529" t="s">
        <v>49</v>
      </c>
      <c r="D32" s="469" t="s">
        <v>56</v>
      </c>
      <c r="E32" s="471"/>
      <c r="F32" s="471"/>
      <c r="G32" s="471"/>
      <c r="H32" s="471"/>
      <c r="I32" s="471"/>
      <c r="J32" s="471"/>
      <c r="K32" s="471"/>
      <c r="L32" s="471"/>
      <c r="M32" s="471"/>
      <c r="N32" s="471"/>
      <c r="O32" s="471"/>
      <c r="P32" s="550"/>
      <c r="Q32" s="469" t="s">
        <v>57</v>
      </c>
      <c r="R32" s="471"/>
      <c r="S32" s="471"/>
      <c r="T32" s="471"/>
      <c r="U32" s="471"/>
      <c r="V32" s="471"/>
      <c r="W32" s="471"/>
      <c r="X32" s="471"/>
      <c r="Y32" s="471"/>
      <c r="Z32" s="471"/>
      <c r="AA32" s="471"/>
      <c r="AB32" s="471"/>
      <c r="AC32" s="471"/>
      <c r="AD32" s="550"/>
      <c r="AG32" s="87"/>
      <c r="AH32" s="87"/>
      <c r="AI32" s="87"/>
      <c r="AJ32" s="87"/>
      <c r="AK32" s="87"/>
      <c r="AL32" s="87"/>
      <c r="AM32" s="87"/>
      <c r="AN32" s="87"/>
      <c r="AO32" s="87"/>
    </row>
    <row r="33" spans="1:41" ht="27" customHeight="1" thickBot="1" x14ac:dyDescent="0.3">
      <c r="A33" s="515"/>
      <c r="B33" s="870"/>
      <c r="C33" s="968"/>
      <c r="D33" s="294" t="s">
        <v>30</v>
      </c>
      <c r="E33" s="317" t="s">
        <v>31</v>
      </c>
      <c r="F33" s="317" t="s">
        <v>32</v>
      </c>
      <c r="G33" s="317" t="s">
        <v>33</v>
      </c>
      <c r="H33" s="317" t="s">
        <v>34</v>
      </c>
      <c r="I33" s="317" t="s">
        <v>35</v>
      </c>
      <c r="J33" s="317" t="s">
        <v>36</v>
      </c>
      <c r="K33" s="317" t="s">
        <v>37</v>
      </c>
      <c r="L33" s="317" t="s">
        <v>8</v>
      </c>
      <c r="M33" s="317" t="s">
        <v>38</v>
      </c>
      <c r="N33" s="317" t="s">
        <v>39</v>
      </c>
      <c r="O33" s="317" t="s">
        <v>40</v>
      </c>
      <c r="P33" s="318" t="s">
        <v>41</v>
      </c>
      <c r="Q33" s="515" t="s">
        <v>58</v>
      </c>
      <c r="R33" s="870"/>
      <c r="S33" s="870"/>
      <c r="T33" s="870" t="s">
        <v>59</v>
      </c>
      <c r="U33" s="870"/>
      <c r="V33" s="870"/>
      <c r="W33" s="769" t="s">
        <v>60</v>
      </c>
      <c r="X33" s="509"/>
      <c r="Y33" s="509"/>
      <c r="Z33" s="969"/>
      <c r="AA33" s="769" t="s">
        <v>61</v>
      </c>
      <c r="AB33" s="509"/>
      <c r="AC33" s="509"/>
      <c r="AD33" s="510"/>
      <c r="AG33" s="87"/>
      <c r="AH33" s="87"/>
      <c r="AI33" s="87"/>
      <c r="AJ33" s="87"/>
      <c r="AK33" s="87"/>
      <c r="AL33" s="87"/>
      <c r="AM33" s="87"/>
      <c r="AN33" s="87"/>
      <c r="AO33" s="87"/>
    </row>
    <row r="34" spans="1:41" ht="92.25" customHeight="1" x14ac:dyDescent="0.25">
      <c r="A34" s="965" t="s">
        <v>150</v>
      </c>
      <c r="B34" s="966">
        <v>0.1</v>
      </c>
      <c r="C34" s="357" t="s">
        <v>62</v>
      </c>
      <c r="D34" s="364">
        <f>D69</f>
        <v>0</v>
      </c>
      <c r="E34" s="365">
        <f t="shared" ref="E34:O34" si="0">E69</f>
        <v>7.5000000000000011E-2</v>
      </c>
      <c r="F34" s="365">
        <f t="shared" si="0"/>
        <v>0.10000000000000002</v>
      </c>
      <c r="G34" s="365">
        <f t="shared" si="0"/>
        <v>6.0000000000000019E-2</v>
      </c>
      <c r="H34" s="365">
        <f t="shared" si="0"/>
        <v>9.0000000000000011E-2</v>
      </c>
      <c r="I34" s="365">
        <f t="shared" si="0"/>
        <v>0.15000000000000002</v>
      </c>
      <c r="J34" s="365">
        <f t="shared" si="0"/>
        <v>0.12500000000000003</v>
      </c>
      <c r="K34" s="365">
        <f t="shared" si="0"/>
        <v>7.5000000000000011E-2</v>
      </c>
      <c r="L34" s="365">
        <f t="shared" si="0"/>
        <v>7.5000000000000011E-2</v>
      </c>
      <c r="M34" s="365">
        <f t="shared" si="0"/>
        <v>7.5000000000000011E-2</v>
      </c>
      <c r="N34" s="365">
        <f t="shared" si="0"/>
        <v>0.125</v>
      </c>
      <c r="O34" s="365">
        <f t="shared" si="0"/>
        <v>4.9999999999999996E-2</v>
      </c>
      <c r="P34" s="366">
        <f>SUM(D34:O34)</f>
        <v>1</v>
      </c>
      <c r="Q34" s="540" t="s">
        <v>584</v>
      </c>
      <c r="R34" s="541"/>
      <c r="S34" s="542"/>
      <c r="T34" s="541" t="s">
        <v>585</v>
      </c>
      <c r="U34" s="541"/>
      <c r="V34" s="542"/>
      <c r="W34" s="540" t="s">
        <v>151</v>
      </c>
      <c r="X34" s="541"/>
      <c r="Y34" s="541"/>
      <c r="Z34" s="542"/>
      <c r="AA34" s="540" t="s">
        <v>152</v>
      </c>
      <c r="AB34" s="541"/>
      <c r="AC34" s="541"/>
      <c r="AD34" s="546"/>
      <c r="AG34" s="87"/>
      <c r="AH34" s="87"/>
      <c r="AI34" s="87"/>
      <c r="AJ34" s="87"/>
      <c r="AK34" s="87"/>
      <c r="AL34" s="87"/>
      <c r="AM34" s="87"/>
      <c r="AN34" s="87"/>
      <c r="AO34" s="87"/>
    </row>
    <row r="35" spans="1:41" ht="92.25" customHeight="1" thickBot="1" x14ac:dyDescent="0.3">
      <c r="A35" s="537"/>
      <c r="B35" s="967"/>
      <c r="C35" s="359" t="s">
        <v>63</v>
      </c>
      <c r="D35" s="360">
        <f>D66</f>
        <v>0</v>
      </c>
      <c r="E35" s="315">
        <f t="shared" ref="E35:O35" si="1">E66</f>
        <v>7.5000000000000011E-2</v>
      </c>
      <c r="F35" s="315">
        <f t="shared" si="1"/>
        <v>0.10000000000000002</v>
      </c>
      <c r="G35" s="315">
        <f t="shared" si="1"/>
        <v>0.10000000000000002</v>
      </c>
      <c r="H35" s="315">
        <f t="shared" si="1"/>
        <v>0.10000000000000002</v>
      </c>
      <c r="I35" s="315">
        <f t="shared" si="1"/>
        <v>0.10000000000000002</v>
      </c>
      <c r="J35" s="315">
        <f t="shared" si="1"/>
        <v>0.12500000000000003</v>
      </c>
      <c r="K35" s="315">
        <f t="shared" si="1"/>
        <v>7.5000000000000011E-2</v>
      </c>
      <c r="L35" s="315">
        <f t="shared" si="1"/>
        <v>7.5000000000000011E-2</v>
      </c>
      <c r="M35" s="315">
        <f t="shared" si="1"/>
        <v>7.5000000000000011E-2</v>
      </c>
      <c r="N35" s="315">
        <f t="shared" si="1"/>
        <v>0.125</v>
      </c>
      <c r="O35" s="315">
        <f t="shared" si="1"/>
        <v>0</v>
      </c>
      <c r="P35" s="316">
        <f>SUM(D35:O35)</f>
        <v>0.95000000000000018</v>
      </c>
      <c r="Q35" s="543"/>
      <c r="R35" s="544"/>
      <c r="S35" s="545"/>
      <c r="T35" s="544"/>
      <c r="U35" s="544"/>
      <c r="V35" s="545"/>
      <c r="W35" s="543"/>
      <c r="X35" s="544"/>
      <c r="Y35" s="544"/>
      <c r="Z35" s="545"/>
      <c r="AA35" s="543"/>
      <c r="AB35" s="544"/>
      <c r="AC35" s="544"/>
      <c r="AD35" s="547"/>
      <c r="AE35" s="49"/>
      <c r="AG35" s="87"/>
      <c r="AH35" s="87"/>
      <c r="AI35" s="87"/>
      <c r="AJ35" s="87"/>
      <c r="AK35" s="87"/>
      <c r="AL35" s="87"/>
      <c r="AM35" s="87"/>
      <c r="AN35" s="87"/>
      <c r="AO35" s="87"/>
    </row>
    <row r="36" spans="1:41" ht="25.9" customHeight="1" x14ac:dyDescent="0.25">
      <c r="A36" s="556" t="s">
        <v>64</v>
      </c>
      <c r="B36" s="768" t="s">
        <v>65</v>
      </c>
      <c r="C36" s="469" t="s">
        <v>66</v>
      </c>
      <c r="D36" s="471"/>
      <c r="E36" s="471"/>
      <c r="F36" s="471"/>
      <c r="G36" s="471"/>
      <c r="H36" s="471"/>
      <c r="I36" s="471"/>
      <c r="J36" s="471"/>
      <c r="K36" s="471"/>
      <c r="L36" s="471"/>
      <c r="M36" s="471"/>
      <c r="N36" s="471"/>
      <c r="O36" s="471"/>
      <c r="P36" s="550"/>
      <c r="Q36" s="558" t="s">
        <v>67</v>
      </c>
      <c r="R36" s="559"/>
      <c r="S36" s="559"/>
      <c r="T36" s="559"/>
      <c r="U36" s="559"/>
      <c r="V36" s="559"/>
      <c r="W36" s="559"/>
      <c r="X36" s="559"/>
      <c r="Y36" s="559"/>
      <c r="Z36" s="559"/>
      <c r="AA36" s="559"/>
      <c r="AB36" s="559"/>
      <c r="AC36" s="559"/>
      <c r="AD36" s="560"/>
      <c r="AG36" s="87"/>
      <c r="AH36" s="87"/>
      <c r="AI36" s="87"/>
      <c r="AJ36" s="87"/>
      <c r="AK36" s="87"/>
      <c r="AL36" s="87"/>
      <c r="AM36" s="87"/>
      <c r="AN36" s="87"/>
      <c r="AO36" s="87"/>
    </row>
    <row r="37" spans="1:41" ht="45.75" customHeight="1" thickBot="1" x14ac:dyDescent="0.3">
      <c r="A37" s="557"/>
      <c r="B37" s="769"/>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561" t="s">
        <v>82</v>
      </c>
      <c r="R37" s="562"/>
      <c r="S37" s="562"/>
      <c r="T37" s="562"/>
      <c r="U37" s="562"/>
      <c r="V37" s="562"/>
      <c r="W37" s="562"/>
      <c r="X37" s="562"/>
      <c r="Y37" s="562"/>
      <c r="Z37" s="562"/>
      <c r="AA37" s="562"/>
      <c r="AB37" s="562"/>
      <c r="AC37" s="562"/>
      <c r="AD37" s="563"/>
      <c r="AG37" s="94"/>
      <c r="AH37" s="94"/>
      <c r="AI37" s="94"/>
      <c r="AJ37" s="94"/>
      <c r="AK37" s="94"/>
      <c r="AL37" s="94"/>
      <c r="AM37" s="94"/>
      <c r="AN37" s="94"/>
      <c r="AO37" s="94"/>
    </row>
    <row r="38" spans="1:41" ht="112.15" customHeight="1" x14ac:dyDescent="0.25">
      <c r="A38" s="564" t="s">
        <v>153</v>
      </c>
      <c r="B38" s="835">
        <v>0.05</v>
      </c>
      <c r="C38" s="334" t="s">
        <v>62</v>
      </c>
      <c r="D38" s="319">
        <v>0</v>
      </c>
      <c r="E38" s="319">
        <v>0.1</v>
      </c>
      <c r="F38" s="319">
        <v>0.1</v>
      </c>
      <c r="G38" s="319">
        <v>0.02</v>
      </c>
      <c r="H38" s="319">
        <v>0.08</v>
      </c>
      <c r="I38" s="319">
        <v>0.2</v>
      </c>
      <c r="J38" s="319">
        <v>0.05</v>
      </c>
      <c r="K38" s="319">
        <v>0.05</v>
      </c>
      <c r="L38" s="319">
        <v>0.05</v>
      </c>
      <c r="M38" s="319">
        <v>0.05</v>
      </c>
      <c r="N38" s="319">
        <v>0.2</v>
      </c>
      <c r="O38" s="319">
        <v>0.1</v>
      </c>
      <c r="P38" s="320">
        <f>SUM(D38:O38)</f>
        <v>1.0000000000000002</v>
      </c>
      <c r="Q38" s="962" t="s">
        <v>586</v>
      </c>
      <c r="R38" s="963"/>
      <c r="S38" s="963"/>
      <c r="T38" s="963"/>
      <c r="U38" s="963"/>
      <c r="V38" s="963"/>
      <c r="W38" s="963"/>
      <c r="X38" s="963"/>
      <c r="Y38" s="963"/>
      <c r="Z38" s="963"/>
      <c r="AA38" s="963"/>
      <c r="AB38" s="963"/>
      <c r="AC38" s="963"/>
      <c r="AD38" s="964"/>
      <c r="AE38" s="97"/>
      <c r="AG38" s="98"/>
      <c r="AH38" s="98"/>
      <c r="AI38" s="98"/>
      <c r="AJ38" s="98"/>
      <c r="AK38" s="98"/>
      <c r="AL38" s="98"/>
      <c r="AM38" s="98"/>
      <c r="AN38" s="98"/>
      <c r="AO38" s="98"/>
    </row>
    <row r="39" spans="1:41" ht="112.15" customHeight="1" x14ac:dyDescent="0.25">
      <c r="A39" s="409"/>
      <c r="B39" s="773"/>
      <c r="C39" s="335" t="s">
        <v>63</v>
      </c>
      <c r="D39" s="322">
        <v>0</v>
      </c>
      <c r="E39" s="322">
        <v>0.1</v>
      </c>
      <c r="F39" s="322">
        <v>0.1</v>
      </c>
      <c r="G39" s="322">
        <v>0.1</v>
      </c>
      <c r="H39" s="322">
        <v>0.1</v>
      </c>
      <c r="I39" s="322">
        <v>0.1</v>
      </c>
      <c r="J39" s="322">
        <v>0.05</v>
      </c>
      <c r="K39" s="322">
        <v>0.05</v>
      </c>
      <c r="L39" s="322">
        <v>0.05</v>
      </c>
      <c r="M39" s="322">
        <v>0.05</v>
      </c>
      <c r="N39" s="322">
        <v>0.2</v>
      </c>
      <c r="O39" s="322"/>
      <c r="P39" s="323">
        <f>SUM(D39:O39)</f>
        <v>0.90000000000000013</v>
      </c>
      <c r="Q39" s="757"/>
      <c r="R39" s="758"/>
      <c r="S39" s="758"/>
      <c r="T39" s="758"/>
      <c r="U39" s="758"/>
      <c r="V39" s="758"/>
      <c r="W39" s="758"/>
      <c r="X39" s="758"/>
      <c r="Y39" s="758"/>
      <c r="Z39" s="758"/>
      <c r="AA39" s="758"/>
      <c r="AB39" s="758"/>
      <c r="AC39" s="758"/>
      <c r="AD39" s="759"/>
      <c r="AE39" s="97"/>
    </row>
    <row r="40" spans="1:41" ht="112.15" customHeight="1" x14ac:dyDescent="0.25">
      <c r="A40" s="409" t="s">
        <v>154</v>
      </c>
      <c r="B40" s="835">
        <v>0.05</v>
      </c>
      <c r="C40" s="337" t="s">
        <v>62</v>
      </c>
      <c r="D40" s="325">
        <v>0</v>
      </c>
      <c r="E40" s="325">
        <v>0.05</v>
      </c>
      <c r="F40" s="325">
        <v>0.1</v>
      </c>
      <c r="G40" s="325">
        <v>0.1</v>
      </c>
      <c r="H40" s="325">
        <v>0.1</v>
      </c>
      <c r="I40" s="325">
        <v>0.1</v>
      </c>
      <c r="J40" s="325">
        <v>0.2</v>
      </c>
      <c r="K40" s="325">
        <v>0.1</v>
      </c>
      <c r="L40" s="325">
        <v>0.1</v>
      </c>
      <c r="M40" s="325">
        <v>0.1</v>
      </c>
      <c r="N40" s="325">
        <v>0.05</v>
      </c>
      <c r="O40" s="325">
        <v>0</v>
      </c>
      <c r="P40" s="320">
        <f>SUM(D40:O40)</f>
        <v>0.99999999999999989</v>
      </c>
      <c r="Q40" s="970" t="s">
        <v>573</v>
      </c>
      <c r="R40" s="758"/>
      <c r="S40" s="758"/>
      <c r="T40" s="758"/>
      <c r="U40" s="758"/>
      <c r="V40" s="758"/>
      <c r="W40" s="758"/>
      <c r="X40" s="758"/>
      <c r="Y40" s="758"/>
      <c r="Z40" s="758"/>
      <c r="AA40" s="758"/>
      <c r="AB40" s="758"/>
      <c r="AC40" s="758"/>
      <c r="AD40" s="759"/>
      <c r="AE40" s="97"/>
    </row>
    <row r="41" spans="1:41" ht="112.15" customHeight="1" thickBot="1" x14ac:dyDescent="0.3">
      <c r="A41" s="785"/>
      <c r="B41" s="961"/>
      <c r="C41" s="340" t="s">
        <v>63</v>
      </c>
      <c r="D41" s="327">
        <v>0</v>
      </c>
      <c r="E41" s="327">
        <v>0.05</v>
      </c>
      <c r="F41" s="327">
        <v>0.1</v>
      </c>
      <c r="G41" s="327">
        <v>0.1</v>
      </c>
      <c r="H41" s="327">
        <v>0.1</v>
      </c>
      <c r="I41" s="327">
        <v>0.1</v>
      </c>
      <c r="J41" s="327">
        <v>0.2</v>
      </c>
      <c r="K41" s="327">
        <v>0.1</v>
      </c>
      <c r="L41" s="327">
        <v>0.1</v>
      </c>
      <c r="M41" s="327">
        <v>0.1</v>
      </c>
      <c r="N41" s="327">
        <v>0.05</v>
      </c>
      <c r="O41" s="327"/>
      <c r="P41" s="329">
        <f>SUM(D41:O41)</f>
        <v>0.99999999999999989</v>
      </c>
      <c r="Q41" s="971"/>
      <c r="R41" s="972"/>
      <c r="S41" s="972"/>
      <c r="T41" s="972"/>
      <c r="U41" s="972"/>
      <c r="V41" s="972"/>
      <c r="W41" s="972"/>
      <c r="X41" s="972"/>
      <c r="Y41" s="972"/>
      <c r="Z41" s="972"/>
      <c r="AA41" s="972"/>
      <c r="AB41" s="972"/>
      <c r="AC41" s="972"/>
      <c r="AD41" s="973"/>
      <c r="AE41" s="97"/>
    </row>
    <row r="42" spans="1:41" x14ac:dyDescent="0.25">
      <c r="A42" s="194" t="s">
        <v>89</v>
      </c>
      <c r="Q42" s="194"/>
      <c r="R42" s="194"/>
      <c r="S42" s="194"/>
      <c r="T42" s="194"/>
      <c r="U42" s="194"/>
      <c r="V42" s="194"/>
      <c r="W42" s="194"/>
      <c r="X42" s="194"/>
      <c r="Y42" s="194"/>
      <c r="Z42" s="194"/>
      <c r="AA42" s="194"/>
      <c r="AB42" s="194"/>
      <c r="AC42" s="194"/>
      <c r="AD42" s="194"/>
    </row>
    <row r="43" spans="1:41" x14ac:dyDescent="0.25">
      <c r="A43" s="194"/>
      <c r="Q43" s="194"/>
      <c r="R43" s="194"/>
      <c r="S43" s="194"/>
      <c r="T43" s="194"/>
      <c r="U43" s="194"/>
      <c r="V43" s="194"/>
      <c r="W43" s="194"/>
      <c r="X43" s="194"/>
      <c r="Y43" s="194"/>
      <c r="Z43" s="194"/>
      <c r="AA43" s="194"/>
      <c r="AB43" s="194"/>
      <c r="AC43" s="194"/>
      <c r="AD43" s="194"/>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x14ac:dyDescent="0.25">
      <c r="A53" s="194"/>
      <c r="Q53" s="194"/>
      <c r="R53" s="194"/>
      <c r="S53" s="194"/>
      <c r="T53" s="194"/>
      <c r="U53" s="194"/>
      <c r="V53" s="194"/>
      <c r="W53" s="194"/>
      <c r="X53" s="194"/>
      <c r="Y53" s="194"/>
      <c r="Z53" s="194"/>
      <c r="AA53" s="194"/>
      <c r="AB53" s="194"/>
      <c r="AC53" s="194"/>
      <c r="AD53" s="194"/>
    </row>
    <row r="54" spans="1:30" x14ac:dyDescent="0.25">
      <c r="A54" s="194"/>
      <c r="Q54" s="194"/>
      <c r="R54" s="194"/>
      <c r="S54" s="194"/>
      <c r="T54" s="194"/>
      <c r="U54" s="194"/>
      <c r="V54" s="194"/>
      <c r="W54" s="194"/>
      <c r="X54" s="194"/>
      <c r="Y54" s="194"/>
      <c r="Z54" s="194"/>
      <c r="AA54" s="194"/>
      <c r="AB54" s="194"/>
      <c r="AC54" s="194"/>
      <c r="AD54" s="194"/>
    </row>
    <row r="55" spans="1:30" x14ac:dyDescent="0.25">
      <c r="A55" s="399" t="s">
        <v>90</v>
      </c>
      <c r="B55" s="401" t="s">
        <v>65</v>
      </c>
      <c r="C55" s="403" t="s">
        <v>66</v>
      </c>
      <c r="D55" s="751"/>
      <c r="E55" s="751"/>
      <c r="F55" s="751"/>
      <c r="G55" s="751"/>
      <c r="H55" s="751"/>
      <c r="I55" s="751"/>
      <c r="J55" s="751"/>
      <c r="K55" s="751"/>
      <c r="L55" s="751"/>
      <c r="M55" s="751"/>
      <c r="N55" s="751"/>
      <c r="O55" s="751"/>
      <c r="P55" s="752"/>
      <c r="Q55" s="195"/>
      <c r="R55" s="195"/>
      <c r="S55" s="194"/>
      <c r="T55" s="194"/>
      <c r="U55" s="194"/>
      <c r="V55" s="194"/>
      <c r="W55" s="194"/>
      <c r="X55" s="194"/>
      <c r="Y55" s="194"/>
      <c r="Z55" s="194"/>
      <c r="AA55" s="194"/>
      <c r="AB55" s="194"/>
      <c r="AC55" s="194"/>
      <c r="AD55" s="194"/>
    </row>
    <row r="56" spans="1:30" ht="21" x14ac:dyDescent="0.25">
      <c r="A56" s="749"/>
      <c r="B56" s="750"/>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25">
      <c r="A57" s="384"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406">
        <f>B38</f>
        <v>0.05</v>
      </c>
      <c r="C57" s="176" t="s">
        <v>62</v>
      </c>
      <c r="D57" s="175">
        <f>D38*$B$38/$P$38</f>
        <v>0</v>
      </c>
      <c r="E57" s="175">
        <f t="shared" ref="D57:O58" si="2">E38*$B$38/$P$38</f>
        <v>5.0000000000000001E-3</v>
      </c>
      <c r="F57" s="175">
        <f t="shared" si="2"/>
        <v>5.0000000000000001E-3</v>
      </c>
      <c r="G57" s="175">
        <f t="shared" si="2"/>
        <v>9.999999999999998E-4</v>
      </c>
      <c r="H57" s="175">
        <f t="shared" si="2"/>
        <v>3.9999999999999992E-3</v>
      </c>
      <c r="I57" s="175">
        <f t="shared" si="2"/>
        <v>0.01</v>
      </c>
      <c r="J57" s="175">
        <f t="shared" si="2"/>
        <v>2.5000000000000001E-3</v>
      </c>
      <c r="K57" s="175">
        <f t="shared" si="2"/>
        <v>2.5000000000000001E-3</v>
      </c>
      <c r="L57" s="175">
        <f t="shared" si="2"/>
        <v>2.5000000000000001E-3</v>
      </c>
      <c r="M57" s="175">
        <f t="shared" si="2"/>
        <v>2.5000000000000001E-3</v>
      </c>
      <c r="N57" s="175">
        <f t="shared" si="2"/>
        <v>0.01</v>
      </c>
      <c r="O57" s="175">
        <f t="shared" si="2"/>
        <v>5.0000000000000001E-3</v>
      </c>
      <c r="P57" s="174">
        <f>SUM(D57:O57)</f>
        <v>0.05</v>
      </c>
      <c r="Q57" s="197">
        <v>0.05</v>
      </c>
      <c r="R57" s="198">
        <f t="shared" ref="R57:R65" si="3">+P57-Q57</f>
        <v>0</v>
      </c>
      <c r="S57" s="194"/>
      <c r="T57" s="194"/>
      <c r="U57" s="194"/>
      <c r="V57" s="194"/>
      <c r="W57" s="194"/>
      <c r="X57" s="194"/>
      <c r="Y57" s="194"/>
      <c r="Z57" s="194"/>
      <c r="AA57" s="194"/>
      <c r="AB57" s="194"/>
      <c r="AC57" s="194"/>
      <c r="AD57" s="194"/>
    </row>
    <row r="58" spans="1:30" x14ac:dyDescent="0.25">
      <c r="A58" s="385"/>
      <c r="B58" s="813"/>
      <c r="C58" s="173" t="s">
        <v>63</v>
      </c>
      <c r="D58" s="172">
        <f t="shared" si="2"/>
        <v>0</v>
      </c>
      <c r="E58" s="172">
        <f t="shared" si="2"/>
        <v>5.0000000000000001E-3</v>
      </c>
      <c r="F58" s="172">
        <f t="shared" si="2"/>
        <v>5.0000000000000001E-3</v>
      </c>
      <c r="G58" s="172">
        <f t="shared" si="2"/>
        <v>5.0000000000000001E-3</v>
      </c>
      <c r="H58" s="172">
        <f t="shared" si="2"/>
        <v>5.0000000000000001E-3</v>
      </c>
      <c r="I58" s="172">
        <f t="shared" si="2"/>
        <v>5.0000000000000001E-3</v>
      </c>
      <c r="J58" s="172">
        <f t="shared" si="2"/>
        <v>2.5000000000000001E-3</v>
      </c>
      <c r="K58" s="172">
        <f t="shared" si="2"/>
        <v>2.5000000000000001E-3</v>
      </c>
      <c r="L58" s="172">
        <f t="shared" si="2"/>
        <v>2.5000000000000001E-3</v>
      </c>
      <c r="M58" s="172">
        <f t="shared" si="2"/>
        <v>2.5000000000000001E-3</v>
      </c>
      <c r="N58" s="172">
        <f t="shared" si="2"/>
        <v>0.01</v>
      </c>
      <c r="O58" s="172">
        <f t="shared" si="2"/>
        <v>0</v>
      </c>
      <c r="P58" s="171">
        <f>SUM(D58:O58)</f>
        <v>4.5000000000000005E-2</v>
      </c>
      <c r="Q58" s="199">
        <f>+P58</f>
        <v>4.5000000000000005E-2</v>
      </c>
      <c r="R58" s="198">
        <f t="shared" si="3"/>
        <v>0</v>
      </c>
      <c r="S58" s="194"/>
      <c r="T58" s="194"/>
      <c r="U58" s="194"/>
      <c r="V58" s="194"/>
      <c r="W58" s="194"/>
      <c r="X58" s="194"/>
      <c r="Y58" s="194"/>
      <c r="Z58" s="194"/>
      <c r="AA58" s="194"/>
      <c r="AB58" s="194"/>
      <c r="AC58" s="194"/>
      <c r="AD58" s="194"/>
    </row>
    <row r="59" spans="1:30" x14ac:dyDescent="0.25">
      <c r="A59" s="384"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386">
        <f>B40</f>
        <v>0.05</v>
      </c>
      <c r="C59" s="176" t="s">
        <v>62</v>
      </c>
      <c r="D59" s="175">
        <f t="shared" ref="D59:O60" si="4">D40*$B$40/$P$40</f>
        <v>0</v>
      </c>
      <c r="E59" s="175">
        <f t="shared" si="4"/>
        <v>2.5000000000000009E-3</v>
      </c>
      <c r="F59" s="175">
        <f t="shared" si="4"/>
        <v>5.0000000000000018E-3</v>
      </c>
      <c r="G59" s="175">
        <f t="shared" si="4"/>
        <v>5.0000000000000018E-3</v>
      </c>
      <c r="H59" s="175">
        <f t="shared" si="4"/>
        <v>5.0000000000000018E-3</v>
      </c>
      <c r="I59" s="175">
        <f t="shared" si="4"/>
        <v>5.0000000000000018E-3</v>
      </c>
      <c r="J59" s="175">
        <f t="shared" si="4"/>
        <v>1.0000000000000004E-2</v>
      </c>
      <c r="K59" s="175">
        <f t="shared" si="4"/>
        <v>5.0000000000000018E-3</v>
      </c>
      <c r="L59" s="175">
        <f t="shared" si="4"/>
        <v>5.0000000000000018E-3</v>
      </c>
      <c r="M59" s="175">
        <f t="shared" si="4"/>
        <v>5.0000000000000018E-3</v>
      </c>
      <c r="N59" s="175">
        <f t="shared" si="4"/>
        <v>2.5000000000000009E-3</v>
      </c>
      <c r="O59" s="175">
        <f t="shared" si="4"/>
        <v>0</v>
      </c>
      <c r="P59" s="174">
        <f>SUM(D59:O59)</f>
        <v>5.0000000000000024E-2</v>
      </c>
      <c r="Q59" s="197">
        <v>2.5000000000000001E-2</v>
      </c>
      <c r="R59" s="198">
        <f t="shared" si="3"/>
        <v>2.5000000000000022E-2</v>
      </c>
      <c r="S59" s="194"/>
      <c r="T59" s="194"/>
      <c r="U59" s="194"/>
      <c r="V59" s="194"/>
      <c r="W59" s="194"/>
      <c r="X59" s="194"/>
      <c r="Y59" s="194"/>
      <c r="Z59" s="194"/>
      <c r="AA59" s="194"/>
      <c r="AB59" s="194"/>
      <c r="AC59" s="194"/>
      <c r="AD59" s="194"/>
    </row>
    <row r="60" spans="1:30" x14ac:dyDescent="0.25">
      <c r="A60" s="839"/>
      <c r="B60" s="803"/>
      <c r="C60" s="181" t="s">
        <v>63</v>
      </c>
      <c r="D60" s="172">
        <f t="shared" si="4"/>
        <v>0</v>
      </c>
      <c r="E60" s="172">
        <f t="shared" si="4"/>
        <v>2.5000000000000009E-3</v>
      </c>
      <c r="F60" s="172">
        <f t="shared" si="4"/>
        <v>5.0000000000000018E-3</v>
      </c>
      <c r="G60" s="172">
        <f t="shared" si="4"/>
        <v>5.0000000000000018E-3</v>
      </c>
      <c r="H60" s="172">
        <f t="shared" si="4"/>
        <v>5.0000000000000018E-3</v>
      </c>
      <c r="I60" s="172">
        <f t="shared" si="4"/>
        <v>5.0000000000000018E-3</v>
      </c>
      <c r="J60" s="172">
        <f t="shared" si="4"/>
        <v>1.0000000000000004E-2</v>
      </c>
      <c r="K60" s="172">
        <f t="shared" si="4"/>
        <v>5.0000000000000018E-3</v>
      </c>
      <c r="L60" s="172">
        <f t="shared" si="4"/>
        <v>5.0000000000000018E-3</v>
      </c>
      <c r="M60" s="172">
        <f t="shared" si="4"/>
        <v>5.0000000000000018E-3</v>
      </c>
      <c r="N60" s="172">
        <f t="shared" si="4"/>
        <v>2.5000000000000009E-3</v>
      </c>
      <c r="O60" s="172">
        <f t="shared" si="4"/>
        <v>0</v>
      </c>
      <c r="P60" s="171">
        <f>SUM(D60:O60)</f>
        <v>5.0000000000000024E-2</v>
      </c>
      <c r="Q60" s="199">
        <f>+P60</f>
        <v>5.0000000000000024E-2</v>
      </c>
      <c r="R60" s="198">
        <f t="shared" si="3"/>
        <v>0</v>
      </c>
      <c r="S60" s="194"/>
      <c r="T60" s="194"/>
      <c r="U60" s="194"/>
      <c r="V60" s="194"/>
      <c r="W60" s="194"/>
      <c r="X60" s="194"/>
      <c r="Y60" s="194"/>
      <c r="Z60" s="194"/>
      <c r="AA60" s="194"/>
      <c r="AB60" s="194"/>
      <c r="AC60" s="194"/>
      <c r="AD60" s="194"/>
    </row>
    <row r="61" spans="1:30" x14ac:dyDescent="0.25">
      <c r="A61" s="388"/>
      <c r="B61" s="389"/>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x14ac:dyDescent="0.25">
      <c r="A62" s="799"/>
      <c r="B62" s="800"/>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25">
      <c r="A65" s="195"/>
      <c r="B65" s="169"/>
      <c r="C65" s="170"/>
      <c r="D65" s="165">
        <f>D58+D60</f>
        <v>0</v>
      </c>
      <c r="E65" s="165">
        <f t="shared" ref="E65:O65" si="5">E58+E60</f>
        <v>7.5000000000000015E-3</v>
      </c>
      <c r="F65" s="165">
        <f t="shared" si="5"/>
        <v>1.0000000000000002E-2</v>
      </c>
      <c r="G65" s="165">
        <f t="shared" si="5"/>
        <v>1.0000000000000002E-2</v>
      </c>
      <c r="H65" s="165">
        <f t="shared" si="5"/>
        <v>1.0000000000000002E-2</v>
      </c>
      <c r="I65" s="165">
        <f t="shared" si="5"/>
        <v>1.0000000000000002E-2</v>
      </c>
      <c r="J65" s="165">
        <f t="shared" si="5"/>
        <v>1.2500000000000004E-2</v>
      </c>
      <c r="K65" s="165">
        <f t="shared" si="5"/>
        <v>7.5000000000000015E-3</v>
      </c>
      <c r="L65" s="165">
        <f t="shared" si="5"/>
        <v>7.5000000000000015E-3</v>
      </c>
      <c r="M65" s="165">
        <f t="shared" si="5"/>
        <v>7.5000000000000015E-3</v>
      </c>
      <c r="N65" s="165">
        <f t="shared" si="5"/>
        <v>1.2500000000000001E-2</v>
      </c>
      <c r="O65" s="165">
        <f t="shared" si="5"/>
        <v>0</v>
      </c>
      <c r="P65" s="165">
        <f>P58+P60+P62</f>
        <v>9.5000000000000029E-2</v>
      </c>
      <c r="Q65" s="195"/>
      <c r="R65" s="198">
        <f t="shared" si="3"/>
        <v>9.5000000000000029E-2</v>
      </c>
      <c r="S65" s="194"/>
      <c r="T65" s="194"/>
      <c r="U65" s="194"/>
      <c r="V65" s="194"/>
      <c r="W65" s="194"/>
      <c r="X65" s="194"/>
      <c r="Y65" s="194"/>
      <c r="Z65" s="194"/>
      <c r="AA65" s="194"/>
      <c r="AB65" s="194"/>
      <c r="AC65" s="194"/>
      <c r="AD65" s="194"/>
    </row>
    <row r="66" spans="1:30" x14ac:dyDescent="0.25">
      <c r="A66" s="195"/>
      <c r="B66" s="167"/>
      <c r="C66" s="164" t="s">
        <v>63</v>
      </c>
      <c r="D66" s="163">
        <f>D65*$W$17/$B$34</f>
        <v>0</v>
      </c>
      <c r="E66" s="163">
        <f t="shared" ref="E66:O66" si="6">E65*$W$17/$B$34</f>
        <v>7.5000000000000011E-2</v>
      </c>
      <c r="F66" s="163">
        <f t="shared" si="6"/>
        <v>0.10000000000000002</v>
      </c>
      <c r="G66" s="163">
        <f t="shared" si="6"/>
        <v>0.10000000000000002</v>
      </c>
      <c r="H66" s="163">
        <f t="shared" si="6"/>
        <v>0.10000000000000002</v>
      </c>
      <c r="I66" s="163">
        <f t="shared" si="6"/>
        <v>0.10000000000000002</v>
      </c>
      <c r="J66" s="163">
        <f t="shared" si="6"/>
        <v>0.12500000000000003</v>
      </c>
      <c r="K66" s="163">
        <f t="shared" si="6"/>
        <v>7.5000000000000011E-2</v>
      </c>
      <c r="L66" s="163">
        <f t="shared" si="6"/>
        <v>7.5000000000000011E-2</v>
      </c>
      <c r="M66" s="163">
        <f t="shared" si="6"/>
        <v>7.5000000000000011E-2</v>
      </c>
      <c r="N66" s="163">
        <f t="shared" si="6"/>
        <v>0.125</v>
      </c>
      <c r="O66" s="163">
        <f t="shared" si="6"/>
        <v>0</v>
      </c>
      <c r="P66" s="162">
        <f>SUM(D66:O66)</f>
        <v>0.95000000000000018</v>
      </c>
      <c r="Q66" s="196"/>
      <c r="R66" s="195"/>
      <c r="S66" s="194"/>
      <c r="T66" s="194"/>
      <c r="U66" s="194"/>
      <c r="V66" s="194"/>
      <c r="W66" s="194"/>
      <c r="X66" s="194"/>
      <c r="Y66" s="194"/>
      <c r="Z66" s="194"/>
      <c r="AA66" s="194"/>
      <c r="AB66" s="194"/>
      <c r="AC66" s="194"/>
      <c r="AD66" s="194"/>
    </row>
    <row r="67" spans="1:30"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25">
      <c r="A68" s="197"/>
      <c r="B68" s="108"/>
      <c r="C68" s="108"/>
      <c r="D68" s="165">
        <f>+D57+D59</f>
        <v>0</v>
      </c>
      <c r="E68" s="165">
        <f t="shared" ref="E68:O68" si="7">+E57+E59</f>
        <v>7.5000000000000015E-3</v>
      </c>
      <c r="F68" s="165">
        <f t="shared" si="7"/>
        <v>1.0000000000000002E-2</v>
      </c>
      <c r="G68" s="165">
        <f t="shared" si="7"/>
        <v>6.0000000000000019E-3</v>
      </c>
      <c r="H68" s="165">
        <f t="shared" si="7"/>
        <v>9.0000000000000011E-3</v>
      </c>
      <c r="I68" s="165">
        <f t="shared" si="7"/>
        <v>1.5000000000000003E-2</v>
      </c>
      <c r="J68" s="165">
        <f t="shared" si="7"/>
        <v>1.2500000000000004E-2</v>
      </c>
      <c r="K68" s="165">
        <f t="shared" si="7"/>
        <v>7.5000000000000015E-3</v>
      </c>
      <c r="L68" s="165">
        <f t="shared" si="7"/>
        <v>7.5000000000000015E-3</v>
      </c>
      <c r="M68" s="165">
        <f t="shared" si="7"/>
        <v>7.5000000000000015E-3</v>
      </c>
      <c r="N68" s="165">
        <f t="shared" si="7"/>
        <v>1.2500000000000001E-2</v>
      </c>
      <c r="O68" s="165">
        <f t="shared" si="7"/>
        <v>5.0000000000000001E-3</v>
      </c>
      <c r="P68" s="165">
        <f>+P57+P59+P61</f>
        <v>0.10000000000000003</v>
      </c>
      <c r="Q68" s="197"/>
      <c r="R68" s="197"/>
      <c r="S68" s="194"/>
      <c r="T68" s="194"/>
      <c r="U68" s="194"/>
      <c r="V68" s="194"/>
      <c r="W68" s="194"/>
      <c r="X68" s="194"/>
      <c r="Y68" s="194"/>
      <c r="Z68" s="194"/>
      <c r="AA68" s="194"/>
      <c r="AB68" s="194"/>
      <c r="AC68" s="194"/>
      <c r="AD68" s="194"/>
    </row>
    <row r="69" spans="1:30" x14ac:dyDescent="0.25">
      <c r="A69" s="197"/>
      <c r="B69" s="108"/>
      <c r="C69" s="164" t="s">
        <v>62</v>
      </c>
      <c r="D69" s="163">
        <f t="shared" ref="D69:O69" si="8">D68*$W$17/$B$34</f>
        <v>0</v>
      </c>
      <c r="E69" s="163">
        <f t="shared" si="8"/>
        <v>7.5000000000000011E-2</v>
      </c>
      <c r="F69" s="163">
        <f t="shared" si="8"/>
        <v>0.10000000000000002</v>
      </c>
      <c r="G69" s="163">
        <f t="shared" si="8"/>
        <v>6.0000000000000019E-2</v>
      </c>
      <c r="H69" s="163">
        <f t="shared" si="8"/>
        <v>9.0000000000000011E-2</v>
      </c>
      <c r="I69" s="163">
        <f t="shared" si="8"/>
        <v>0.15000000000000002</v>
      </c>
      <c r="J69" s="163">
        <f t="shared" si="8"/>
        <v>0.12500000000000003</v>
      </c>
      <c r="K69" s="163">
        <f t="shared" si="8"/>
        <v>7.5000000000000011E-2</v>
      </c>
      <c r="L69" s="163">
        <f t="shared" si="8"/>
        <v>7.5000000000000011E-2</v>
      </c>
      <c r="M69" s="163">
        <f t="shared" si="8"/>
        <v>7.5000000000000011E-2</v>
      </c>
      <c r="N69" s="163">
        <f t="shared" si="8"/>
        <v>0.125</v>
      </c>
      <c r="O69" s="163">
        <f t="shared" si="8"/>
        <v>4.9999999999999996E-2</v>
      </c>
      <c r="P69" s="162">
        <f>SUM(D69:O69)</f>
        <v>1</v>
      </c>
      <c r="Q69" s="197"/>
      <c r="R69" s="197"/>
      <c r="S69" s="194"/>
      <c r="T69" s="194"/>
      <c r="U69" s="194"/>
      <c r="V69" s="194"/>
      <c r="W69" s="194"/>
      <c r="X69" s="194"/>
      <c r="Y69" s="194"/>
      <c r="Z69" s="194"/>
      <c r="AA69" s="194"/>
      <c r="AB69" s="194"/>
      <c r="AC69" s="194"/>
      <c r="AD69" s="194"/>
    </row>
    <row r="70" spans="1:30" x14ac:dyDescent="0.25">
      <c r="A70" s="194"/>
      <c r="Q70" s="194"/>
      <c r="R70" s="194"/>
      <c r="S70" s="194"/>
      <c r="T70" s="194"/>
      <c r="U70" s="194"/>
      <c r="V70" s="194"/>
      <c r="W70" s="194"/>
      <c r="X70" s="194"/>
      <c r="Y70" s="194"/>
      <c r="Z70" s="194"/>
      <c r="AA70" s="194"/>
      <c r="AB70" s="194"/>
      <c r="AC70" s="194"/>
      <c r="AD70" s="194"/>
    </row>
    <row r="71" spans="1:30" x14ac:dyDescent="0.25">
      <c r="A71" s="194"/>
      <c r="Q71" s="194"/>
      <c r="R71" s="194"/>
      <c r="S71" s="194"/>
      <c r="T71" s="194"/>
      <c r="U71" s="194"/>
      <c r="V71" s="194"/>
      <c r="W71" s="194"/>
      <c r="X71" s="194"/>
      <c r="Y71" s="194"/>
      <c r="Z71" s="194"/>
      <c r="AA71" s="194"/>
      <c r="AB71" s="194"/>
      <c r="AC71" s="194"/>
      <c r="AD71" s="194"/>
    </row>
    <row r="72" spans="1:30"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36:AD36"/>
    <mergeCell ref="Q37:AD37"/>
    <mergeCell ref="A38:A39"/>
    <mergeCell ref="B38:B39"/>
    <mergeCell ref="Q38:AD39"/>
    <mergeCell ref="A34:A35"/>
    <mergeCell ref="B34:B35"/>
    <mergeCell ref="Q34:S35"/>
    <mergeCell ref="T34:V35"/>
    <mergeCell ref="W34:Z35"/>
    <mergeCell ref="A40:A41"/>
    <mergeCell ref="B40:B41"/>
    <mergeCell ref="A36:A37"/>
    <mergeCell ref="B36:B37"/>
    <mergeCell ref="C36:P36"/>
    <mergeCell ref="A61:A62"/>
    <mergeCell ref="B61:B62"/>
    <mergeCell ref="A55:A56"/>
    <mergeCell ref="B55:B56"/>
    <mergeCell ref="C55:P55"/>
    <mergeCell ref="A57:A58"/>
    <mergeCell ref="B57:B58"/>
    <mergeCell ref="A59:A60"/>
    <mergeCell ref="B59:B60"/>
  </mergeCells>
  <phoneticPr fontId="66" type="noConversion"/>
  <dataValidations count="3">
    <dataValidation type="textLength" operator="lessThanOrEqual" allowBlank="1" showInputMessage="1" showErrorMessage="1" errorTitle="Máximo 2.000 caracteres" error="Máximo 2.000 caracteres" sqref="W34 AA34 Q40 Q38:AD39 Q34"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Y23"/>
  <sheetViews>
    <sheetView tabSelected="1" view="pageBreakPreview" topLeftCell="L1" zoomScale="90" zoomScaleNormal="60" zoomScaleSheetLayoutView="90" workbookViewId="0">
      <selection activeCell="T11" sqref="T11:T12"/>
    </sheetView>
  </sheetViews>
  <sheetFormatPr baseColWidth="10" defaultColWidth="10.7109375" defaultRowHeight="15" x14ac:dyDescent="0.25"/>
  <cols>
    <col min="1" max="1" width="10.140625" style="108" customWidth="1"/>
    <col min="2" max="2" width="10" style="108" customWidth="1"/>
    <col min="3" max="3" width="26.42578125" style="108" customWidth="1"/>
    <col min="4" max="6" width="8.28515625" style="108" customWidth="1"/>
    <col min="7" max="8" width="14.7109375" style="108" customWidth="1"/>
    <col min="9" max="9" width="32.42578125" style="108" customWidth="1"/>
    <col min="10" max="10" width="35.140625" style="108" customWidth="1"/>
    <col min="11" max="11" width="16.7109375" style="108" customWidth="1"/>
    <col min="12" max="13" width="15.28515625" style="108" customWidth="1"/>
    <col min="14" max="14" width="25.140625" style="108" customWidth="1"/>
    <col min="15" max="19" width="8.7109375" style="108" customWidth="1"/>
    <col min="20" max="20" width="22.28515625" style="108" customWidth="1"/>
    <col min="21" max="21" width="17" style="108" customWidth="1"/>
    <col min="22" max="27" width="5.7109375" style="108" customWidth="1"/>
    <col min="28" max="28" width="6" style="108" customWidth="1"/>
    <col min="29" max="45" width="5.7109375" style="108" customWidth="1"/>
    <col min="46" max="46" width="17.140625" style="108" customWidth="1"/>
    <col min="47" max="47" width="15.7109375" style="160" customWidth="1"/>
    <col min="48" max="48" width="31.28515625" style="108" customWidth="1"/>
    <col min="49" max="49" width="41" style="108" customWidth="1"/>
    <col min="50" max="51" width="24.42578125" style="108" customWidth="1"/>
    <col min="52" max="16384" width="10.7109375" style="108"/>
  </cols>
  <sheetData>
    <row r="1" spans="1:51" ht="15.75" customHeight="1" x14ac:dyDescent="0.25">
      <c r="A1" s="1003" t="s">
        <v>0</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5"/>
      <c r="AX1" s="645" t="s">
        <v>1</v>
      </c>
      <c r="AY1" s="646"/>
    </row>
    <row r="2" spans="1:51" ht="15.75" customHeight="1" x14ac:dyDescent="0.25">
      <c r="A2" s="997" t="s">
        <v>2</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8"/>
      <c r="AP2" s="998"/>
      <c r="AQ2" s="998"/>
      <c r="AR2" s="998"/>
      <c r="AS2" s="998"/>
      <c r="AT2" s="998"/>
      <c r="AU2" s="998"/>
      <c r="AV2" s="998"/>
      <c r="AW2" s="999"/>
      <c r="AX2" s="1000" t="s">
        <v>3</v>
      </c>
      <c r="AY2" s="1001"/>
    </row>
    <row r="3" spans="1:51" ht="15" customHeight="1" x14ac:dyDescent="0.25">
      <c r="A3" s="1006" t="s">
        <v>155</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8"/>
      <c r="AX3" s="1000" t="s">
        <v>5</v>
      </c>
      <c r="AY3" s="1001"/>
    </row>
    <row r="4" spans="1:51" ht="15.75" customHeight="1" x14ac:dyDescent="0.25">
      <c r="A4" s="1003"/>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5"/>
      <c r="AX4" s="1002" t="s">
        <v>156</v>
      </c>
      <c r="AY4" s="1002"/>
    </row>
    <row r="5" spans="1:51" ht="15" customHeight="1" x14ac:dyDescent="0.25">
      <c r="A5" s="997" t="s">
        <v>157</v>
      </c>
      <c r="B5" s="998"/>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9"/>
      <c r="AH5" s="1006" t="s">
        <v>13</v>
      </c>
      <c r="AI5" s="1007"/>
      <c r="AJ5" s="1007"/>
      <c r="AK5" s="1007"/>
      <c r="AL5" s="1007"/>
      <c r="AM5" s="1007"/>
      <c r="AN5" s="1007"/>
      <c r="AO5" s="1007"/>
      <c r="AP5" s="1007"/>
      <c r="AQ5" s="1007"/>
      <c r="AR5" s="1007"/>
      <c r="AS5" s="1007"/>
      <c r="AT5" s="1007"/>
      <c r="AU5" s="1008"/>
      <c r="AV5" s="986" t="s">
        <v>158</v>
      </c>
      <c r="AW5" s="986" t="s">
        <v>159</v>
      </c>
      <c r="AX5" s="986" t="s">
        <v>160</v>
      </c>
      <c r="AY5" s="986" t="s">
        <v>161</v>
      </c>
    </row>
    <row r="6" spans="1:51" ht="15" customHeight="1" x14ac:dyDescent="0.25">
      <c r="A6" s="1014" t="s">
        <v>9</v>
      </c>
      <c r="B6" s="1014"/>
      <c r="C6" s="1014"/>
      <c r="D6" s="1015">
        <v>45265</v>
      </c>
      <c r="E6" s="1016"/>
      <c r="F6" s="1006" t="s">
        <v>10</v>
      </c>
      <c r="G6" s="1008"/>
      <c r="H6" s="974" t="s">
        <v>11</v>
      </c>
      <c r="I6" s="974"/>
      <c r="J6" s="111"/>
      <c r="K6" s="1006"/>
      <c r="L6" s="1007"/>
      <c r="M6" s="1007"/>
      <c r="N6" s="1007"/>
      <c r="O6" s="1007"/>
      <c r="P6" s="1007"/>
      <c r="Q6" s="1007"/>
      <c r="R6" s="1007"/>
      <c r="S6" s="1007"/>
      <c r="T6" s="1007"/>
      <c r="U6" s="1007"/>
      <c r="V6" s="1007"/>
      <c r="W6" s="1007"/>
      <c r="X6" s="1007"/>
      <c r="Y6" s="1007"/>
      <c r="Z6" s="1007"/>
      <c r="AA6" s="1007"/>
      <c r="AB6" s="1007"/>
      <c r="AC6" s="1007"/>
      <c r="AD6" s="1007"/>
      <c r="AE6" s="1007"/>
      <c r="AF6" s="1007"/>
      <c r="AG6" s="1008"/>
      <c r="AH6" s="1009"/>
      <c r="AI6" s="1010"/>
      <c r="AJ6" s="1010"/>
      <c r="AK6" s="1010"/>
      <c r="AL6" s="1010"/>
      <c r="AM6" s="1010"/>
      <c r="AN6" s="1010"/>
      <c r="AO6" s="1010"/>
      <c r="AP6" s="1010"/>
      <c r="AQ6" s="1010"/>
      <c r="AR6" s="1010"/>
      <c r="AS6" s="1010"/>
      <c r="AT6" s="1010"/>
      <c r="AU6" s="1011"/>
      <c r="AV6" s="987"/>
      <c r="AW6" s="987"/>
      <c r="AX6" s="987"/>
      <c r="AY6" s="987"/>
    </row>
    <row r="7" spans="1:51" ht="15" customHeight="1" x14ac:dyDescent="0.25">
      <c r="A7" s="1014"/>
      <c r="B7" s="1014"/>
      <c r="C7" s="1014"/>
      <c r="D7" s="1016"/>
      <c r="E7" s="1016"/>
      <c r="F7" s="1009"/>
      <c r="G7" s="1011"/>
      <c r="H7" s="974" t="s">
        <v>12</v>
      </c>
      <c r="I7" s="974"/>
      <c r="J7" s="111"/>
      <c r="K7" s="1009"/>
      <c r="L7" s="1010"/>
      <c r="M7" s="1010"/>
      <c r="N7" s="1010"/>
      <c r="O7" s="1010"/>
      <c r="P7" s="1010"/>
      <c r="Q7" s="1010"/>
      <c r="R7" s="1010"/>
      <c r="S7" s="1010"/>
      <c r="T7" s="1010"/>
      <c r="U7" s="1010"/>
      <c r="V7" s="1010"/>
      <c r="W7" s="1010"/>
      <c r="X7" s="1010"/>
      <c r="Y7" s="1010"/>
      <c r="Z7" s="1010"/>
      <c r="AA7" s="1010"/>
      <c r="AB7" s="1010"/>
      <c r="AC7" s="1010"/>
      <c r="AD7" s="1010"/>
      <c r="AE7" s="1010"/>
      <c r="AF7" s="1010"/>
      <c r="AG7" s="1011"/>
      <c r="AH7" s="1009"/>
      <c r="AI7" s="1010"/>
      <c r="AJ7" s="1010"/>
      <c r="AK7" s="1010"/>
      <c r="AL7" s="1010"/>
      <c r="AM7" s="1010"/>
      <c r="AN7" s="1010"/>
      <c r="AO7" s="1010"/>
      <c r="AP7" s="1010"/>
      <c r="AQ7" s="1010"/>
      <c r="AR7" s="1010"/>
      <c r="AS7" s="1010"/>
      <c r="AT7" s="1010"/>
      <c r="AU7" s="1011"/>
      <c r="AV7" s="987"/>
      <c r="AW7" s="987"/>
      <c r="AX7" s="987"/>
      <c r="AY7" s="987"/>
    </row>
    <row r="8" spans="1:51" ht="15" customHeight="1" x14ac:dyDescent="0.25">
      <c r="A8" s="1014"/>
      <c r="B8" s="1014"/>
      <c r="C8" s="1014"/>
      <c r="D8" s="1016"/>
      <c r="E8" s="1016"/>
      <c r="F8" s="1003"/>
      <c r="G8" s="1005"/>
      <c r="H8" s="974" t="s">
        <v>13</v>
      </c>
      <c r="I8" s="974"/>
      <c r="J8" s="111" t="s">
        <v>14</v>
      </c>
      <c r="K8" s="1003"/>
      <c r="L8" s="1004"/>
      <c r="M8" s="1004"/>
      <c r="N8" s="1004"/>
      <c r="O8" s="1004"/>
      <c r="P8" s="1004"/>
      <c r="Q8" s="1004"/>
      <c r="R8" s="1004"/>
      <c r="S8" s="1004"/>
      <c r="T8" s="1004"/>
      <c r="U8" s="1004"/>
      <c r="V8" s="1004"/>
      <c r="W8" s="1004"/>
      <c r="X8" s="1004"/>
      <c r="Y8" s="1004"/>
      <c r="Z8" s="1004"/>
      <c r="AA8" s="1004"/>
      <c r="AB8" s="1004"/>
      <c r="AC8" s="1004"/>
      <c r="AD8" s="1004"/>
      <c r="AE8" s="1004"/>
      <c r="AF8" s="1004"/>
      <c r="AG8" s="1005"/>
      <c r="AH8" s="1009"/>
      <c r="AI8" s="1010"/>
      <c r="AJ8" s="1010"/>
      <c r="AK8" s="1010"/>
      <c r="AL8" s="1010"/>
      <c r="AM8" s="1010"/>
      <c r="AN8" s="1010"/>
      <c r="AO8" s="1010"/>
      <c r="AP8" s="1010"/>
      <c r="AQ8" s="1010"/>
      <c r="AR8" s="1010"/>
      <c r="AS8" s="1010"/>
      <c r="AT8" s="1010"/>
      <c r="AU8" s="1011"/>
      <c r="AV8" s="987"/>
      <c r="AW8" s="987"/>
      <c r="AX8" s="987"/>
      <c r="AY8" s="987"/>
    </row>
    <row r="9" spans="1:51" ht="15" customHeight="1" x14ac:dyDescent="0.25">
      <c r="A9" s="978" t="s">
        <v>162</v>
      </c>
      <c r="B9" s="979"/>
      <c r="C9" s="980"/>
      <c r="D9" s="1012" t="s">
        <v>163</v>
      </c>
      <c r="E9" s="1013"/>
      <c r="F9" s="1013"/>
      <c r="G9" s="1013"/>
      <c r="H9" s="1013"/>
      <c r="I9" s="1013"/>
      <c r="J9" s="1013"/>
      <c r="K9" s="984"/>
      <c r="L9" s="984"/>
      <c r="M9" s="984"/>
      <c r="N9" s="984"/>
      <c r="O9" s="984"/>
      <c r="P9" s="984"/>
      <c r="Q9" s="984"/>
      <c r="R9" s="984"/>
      <c r="S9" s="984"/>
      <c r="T9" s="984"/>
      <c r="U9" s="984"/>
      <c r="V9" s="984"/>
      <c r="W9" s="984"/>
      <c r="X9" s="984"/>
      <c r="Y9" s="984"/>
      <c r="Z9" s="984"/>
      <c r="AA9" s="984"/>
      <c r="AB9" s="984"/>
      <c r="AC9" s="984"/>
      <c r="AD9" s="984"/>
      <c r="AE9" s="984"/>
      <c r="AF9" s="984"/>
      <c r="AG9" s="985"/>
      <c r="AH9" s="1009"/>
      <c r="AI9" s="1010"/>
      <c r="AJ9" s="1010"/>
      <c r="AK9" s="1010"/>
      <c r="AL9" s="1010"/>
      <c r="AM9" s="1010"/>
      <c r="AN9" s="1010"/>
      <c r="AO9" s="1010"/>
      <c r="AP9" s="1010"/>
      <c r="AQ9" s="1010"/>
      <c r="AR9" s="1010"/>
      <c r="AS9" s="1010"/>
      <c r="AT9" s="1010"/>
      <c r="AU9" s="1011"/>
      <c r="AV9" s="987"/>
      <c r="AW9" s="987"/>
      <c r="AX9" s="987"/>
      <c r="AY9" s="987"/>
    </row>
    <row r="10" spans="1:51" ht="15" customHeight="1" x14ac:dyDescent="0.25">
      <c r="A10" s="975" t="s">
        <v>164</v>
      </c>
      <c r="B10" s="976"/>
      <c r="C10" s="977"/>
      <c r="D10" s="983" t="s">
        <v>165</v>
      </c>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5"/>
      <c r="AH10" s="1003"/>
      <c r="AI10" s="1004"/>
      <c r="AJ10" s="1004"/>
      <c r="AK10" s="1004"/>
      <c r="AL10" s="1004"/>
      <c r="AM10" s="1004"/>
      <c r="AN10" s="1004"/>
      <c r="AO10" s="1004"/>
      <c r="AP10" s="1004"/>
      <c r="AQ10" s="1004"/>
      <c r="AR10" s="1004"/>
      <c r="AS10" s="1004"/>
      <c r="AT10" s="1004"/>
      <c r="AU10" s="1005"/>
      <c r="AV10" s="987"/>
      <c r="AW10" s="987"/>
      <c r="AX10" s="987"/>
      <c r="AY10" s="987"/>
    </row>
    <row r="11" spans="1:51" ht="39.75" customHeight="1" x14ac:dyDescent="0.25">
      <c r="A11" s="994" t="s">
        <v>166</v>
      </c>
      <c r="B11" s="995"/>
      <c r="C11" s="995"/>
      <c r="D11" s="995"/>
      <c r="E11" s="995"/>
      <c r="F11" s="996"/>
      <c r="G11" s="994" t="s">
        <v>167</v>
      </c>
      <c r="H11" s="996"/>
      <c r="I11" s="986" t="s">
        <v>168</v>
      </c>
      <c r="J11" s="986" t="s">
        <v>169</v>
      </c>
      <c r="K11" s="986" t="s">
        <v>170</v>
      </c>
      <c r="L11" s="986" t="s">
        <v>171</v>
      </c>
      <c r="M11" s="986" t="s">
        <v>172</v>
      </c>
      <c r="N11" s="986" t="s">
        <v>173</v>
      </c>
      <c r="O11" s="994" t="s">
        <v>174</v>
      </c>
      <c r="P11" s="995"/>
      <c r="Q11" s="995"/>
      <c r="R11" s="995"/>
      <c r="S11" s="996"/>
      <c r="T11" s="986" t="s">
        <v>175</v>
      </c>
      <c r="U11" s="986" t="s">
        <v>176</v>
      </c>
      <c r="V11" s="997" t="s">
        <v>177</v>
      </c>
      <c r="W11" s="998"/>
      <c r="X11" s="998"/>
      <c r="Y11" s="998"/>
      <c r="Z11" s="998"/>
      <c r="AA11" s="998"/>
      <c r="AB11" s="998"/>
      <c r="AC11" s="998"/>
      <c r="AD11" s="998"/>
      <c r="AE11" s="998"/>
      <c r="AF11" s="998"/>
      <c r="AG11" s="999"/>
      <c r="AH11" s="997" t="s">
        <v>178</v>
      </c>
      <c r="AI11" s="998"/>
      <c r="AJ11" s="998"/>
      <c r="AK11" s="998"/>
      <c r="AL11" s="998"/>
      <c r="AM11" s="998"/>
      <c r="AN11" s="998"/>
      <c r="AO11" s="998"/>
      <c r="AP11" s="998"/>
      <c r="AQ11" s="998"/>
      <c r="AR11" s="998"/>
      <c r="AS11" s="999"/>
      <c r="AT11" s="994" t="s">
        <v>41</v>
      </c>
      <c r="AU11" s="996"/>
      <c r="AV11" s="987"/>
      <c r="AW11" s="987"/>
      <c r="AX11" s="987"/>
      <c r="AY11" s="987"/>
    </row>
    <row r="12" spans="1:51" ht="42.75" x14ac:dyDescent="0.25">
      <c r="A12" s="147" t="s">
        <v>179</v>
      </c>
      <c r="B12" s="147" t="s">
        <v>180</v>
      </c>
      <c r="C12" s="147" t="s">
        <v>181</v>
      </c>
      <c r="D12" s="147" t="s">
        <v>182</v>
      </c>
      <c r="E12" s="147" t="s">
        <v>183</v>
      </c>
      <c r="F12" s="147" t="s">
        <v>184</v>
      </c>
      <c r="G12" s="147" t="s">
        <v>185</v>
      </c>
      <c r="H12" s="147" t="s">
        <v>186</v>
      </c>
      <c r="I12" s="988"/>
      <c r="J12" s="988"/>
      <c r="K12" s="988"/>
      <c r="L12" s="988"/>
      <c r="M12" s="988"/>
      <c r="N12" s="988"/>
      <c r="O12" s="147">
        <v>2020</v>
      </c>
      <c r="P12" s="147">
        <v>2021</v>
      </c>
      <c r="Q12" s="147">
        <v>2022</v>
      </c>
      <c r="R12" s="147">
        <v>2023</v>
      </c>
      <c r="S12" s="147">
        <v>2024</v>
      </c>
      <c r="T12" s="988"/>
      <c r="U12" s="988"/>
      <c r="V12" s="149" t="s">
        <v>30</v>
      </c>
      <c r="W12" s="149" t="s">
        <v>31</v>
      </c>
      <c r="X12" s="149" t="s">
        <v>32</v>
      </c>
      <c r="Y12" s="149" t="s">
        <v>33</v>
      </c>
      <c r="Z12" s="149" t="s">
        <v>34</v>
      </c>
      <c r="AA12" s="149" t="s">
        <v>35</v>
      </c>
      <c r="AB12" s="149" t="s">
        <v>36</v>
      </c>
      <c r="AC12" s="149" t="s">
        <v>37</v>
      </c>
      <c r="AD12" s="149" t="s">
        <v>8</v>
      </c>
      <c r="AE12" s="149" t="s">
        <v>38</v>
      </c>
      <c r="AF12" s="149" t="s">
        <v>39</v>
      </c>
      <c r="AG12" s="149" t="s">
        <v>40</v>
      </c>
      <c r="AH12" s="149" t="s">
        <v>30</v>
      </c>
      <c r="AI12" s="149" t="s">
        <v>31</v>
      </c>
      <c r="AJ12" s="149" t="s">
        <v>32</v>
      </c>
      <c r="AK12" s="149" t="s">
        <v>33</v>
      </c>
      <c r="AL12" s="149" t="s">
        <v>34</v>
      </c>
      <c r="AM12" s="149" t="s">
        <v>35</v>
      </c>
      <c r="AN12" s="149" t="s">
        <v>36</v>
      </c>
      <c r="AO12" s="149" t="s">
        <v>37</v>
      </c>
      <c r="AP12" s="149" t="s">
        <v>8</v>
      </c>
      <c r="AQ12" s="149" t="s">
        <v>38</v>
      </c>
      <c r="AR12" s="149" t="s">
        <v>39</v>
      </c>
      <c r="AS12" s="149" t="s">
        <v>40</v>
      </c>
      <c r="AT12" s="147" t="s">
        <v>187</v>
      </c>
      <c r="AU12" s="150" t="s">
        <v>188</v>
      </c>
      <c r="AV12" s="988"/>
      <c r="AW12" s="988"/>
      <c r="AX12" s="988"/>
      <c r="AY12" s="988"/>
    </row>
    <row r="13" spans="1:51" s="178" customFormat="1" ht="127.5" customHeight="1" x14ac:dyDescent="0.25">
      <c r="A13" s="151">
        <v>37</v>
      </c>
      <c r="B13" s="156" t="s">
        <v>189</v>
      </c>
      <c r="C13" s="156" t="s">
        <v>189</v>
      </c>
      <c r="D13" s="156" t="s">
        <v>189</v>
      </c>
      <c r="E13" s="156" t="s">
        <v>189</v>
      </c>
      <c r="F13" s="156" t="s">
        <v>189</v>
      </c>
      <c r="G13" s="156" t="s">
        <v>189</v>
      </c>
      <c r="H13" s="156" t="s">
        <v>189</v>
      </c>
      <c r="I13" s="148" t="s">
        <v>190</v>
      </c>
      <c r="J13" s="152" t="s">
        <v>191</v>
      </c>
      <c r="K13" s="161" t="s">
        <v>192</v>
      </c>
      <c r="L13" s="154">
        <v>15</v>
      </c>
      <c r="M13" s="153" t="s">
        <v>193</v>
      </c>
      <c r="N13" s="152" t="s">
        <v>194</v>
      </c>
      <c r="O13" s="224">
        <v>15</v>
      </c>
      <c r="P13" s="224">
        <v>15</v>
      </c>
      <c r="Q13" s="224">
        <v>15</v>
      </c>
      <c r="R13" s="224">
        <v>15</v>
      </c>
      <c r="S13" s="224">
        <v>15</v>
      </c>
      <c r="T13" s="225" t="s">
        <v>195</v>
      </c>
      <c r="U13" s="226" t="s">
        <v>196</v>
      </c>
      <c r="V13" s="227">
        <v>0</v>
      </c>
      <c r="W13" s="227">
        <v>1</v>
      </c>
      <c r="X13" s="227">
        <v>1</v>
      </c>
      <c r="Y13" s="227">
        <v>1</v>
      </c>
      <c r="Z13" s="227">
        <v>2</v>
      </c>
      <c r="AA13" s="227">
        <v>2</v>
      </c>
      <c r="AB13" s="227">
        <v>2</v>
      </c>
      <c r="AC13" s="227">
        <v>2</v>
      </c>
      <c r="AD13" s="227">
        <v>1</v>
      </c>
      <c r="AE13" s="227">
        <v>1</v>
      </c>
      <c r="AF13" s="227">
        <v>1</v>
      </c>
      <c r="AG13" s="227">
        <v>1</v>
      </c>
      <c r="AH13" s="111">
        <v>0</v>
      </c>
      <c r="AI13" s="111">
        <v>1</v>
      </c>
      <c r="AJ13" s="111">
        <v>2</v>
      </c>
      <c r="AK13" s="111">
        <v>3</v>
      </c>
      <c r="AL13" s="111">
        <v>3</v>
      </c>
      <c r="AM13" s="111">
        <v>2</v>
      </c>
      <c r="AN13" s="229">
        <v>1</v>
      </c>
      <c r="AO13" s="229">
        <v>0</v>
      </c>
      <c r="AP13" s="229">
        <v>3</v>
      </c>
      <c r="AQ13" s="229">
        <v>0</v>
      </c>
      <c r="AR13" s="229">
        <v>0</v>
      </c>
      <c r="AS13" s="229"/>
      <c r="AT13" s="235">
        <f>SUM(AH13:AS13)</f>
        <v>15</v>
      </c>
      <c r="AU13" s="236">
        <f>+AT13/R13</f>
        <v>1</v>
      </c>
      <c r="AV13" s="375" t="s">
        <v>534</v>
      </c>
      <c r="AW13" s="376" t="s">
        <v>535</v>
      </c>
      <c r="AX13" s="376" t="s">
        <v>197</v>
      </c>
      <c r="AY13" s="377" t="s">
        <v>198</v>
      </c>
    </row>
    <row r="14" spans="1:51" s="178" customFormat="1" ht="183.75" customHeight="1" x14ac:dyDescent="0.25">
      <c r="A14" s="155" t="s">
        <v>189</v>
      </c>
      <c r="B14" s="156" t="s">
        <v>189</v>
      </c>
      <c r="C14" s="156" t="s">
        <v>189</v>
      </c>
      <c r="D14" s="157">
        <v>39</v>
      </c>
      <c r="E14" s="156" t="s">
        <v>189</v>
      </c>
      <c r="F14" s="156" t="s">
        <v>189</v>
      </c>
      <c r="G14" s="156" t="s">
        <v>189</v>
      </c>
      <c r="H14" s="156" t="s">
        <v>189</v>
      </c>
      <c r="I14" s="148" t="s">
        <v>199</v>
      </c>
      <c r="J14" s="148" t="s">
        <v>200</v>
      </c>
      <c r="K14" s="158" t="s">
        <v>201</v>
      </c>
      <c r="L14" s="159">
        <v>12200</v>
      </c>
      <c r="M14" s="158" t="s">
        <v>202</v>
      </c>
      <c r="N14" s="152" t="s">
        <v>203</v>
      </c>
      <c r="O14" s="227">
        <v>900</v>
      </c>
      <c r="P14" s="227">
        <v>3200</v>
      </c>
      <c r="Q14" s="227">
        <v>3900</v>
      </c>
      <c r="R14" s="227">
        <v>3300</v>
      </c>
      <c r="S14" s="227">
        <v>900</v>
      </c>
      <c r="T14" s="111" t="s">
        <v>204</v>
      </c>
      <c r="U14" s="226" t="s">
        <v>205</v>
      </c>
      <c r="V14" s="228">
        <v>20</v>
      </c>
      <c r="W14" s="228">
        <v>303</v>
      </c>
      <c r="X14" s="228">
        <v>303</v>
      </c>
      <c r="Y14" s="228">
        <v>303</v>
      </c>
      <c r="Z14" s="228">
        <v>303</v>
      </c>
      <c r="AA14" s="228">
        <v>303</v>
      </c>
      <c r="AB14" s="228">
        <v>303</v>
      </c>
      <c r="AC14" s="228">
        <v>303</v>
      </c>
      <c r="AD14" s="228">
        <v>303</v>
      </c>
      <c r="AE14" s="228">
        <v>303</v>
      </c>
      <c r="AF14" s="228">
        <v>303</v>
      </c>
      <c r="AG14" s="228">
        <v>250</v>
      </c>
      <c r="AH14" s="111">
        <v>71</v>
      </c>
      <c r="AI14" s="111">
        <v>270</v>
      </c>
      <c r="AJ14" s="229">
        <v>306</v>
      </c>
      <c r="AK14" s="229">
        <v>303</v>
      </c>
      <c r="AL14" s="229">
        <v>286</v>
      </c>
      <c r="AM14" s="110">
        <v>377</v>
      </c>
      <c r="AN14" s="235">
        <v>368</v>
      </c>
      <c r="AO14" s="235">
        <v>383</v>
      </c>
      <c r="AP14" s="235">
        <v>405</v>
      </c>
      <c r="AQ14" s="235">
        <v>429</v>
      </c>
      <c r="AR14" s="235">
        <v>472</v>
      </c>
      <c r="AS14" s="235"/>
      <c r="AT14" s="235">
        <f t="shared" ref="AT14:AT19" si="0">SUM(AH14:AS14)</f>
        <v>3670</v>
      </c>
      <c r="AU14" s="236">
        <f t="shared" ref="AU14:AU19" si="1">+AT14/R14</f>
        <v>1.1121212121212121</v>
      </c>
      <c r="AV14" s="369" t="s">
        <v>550</v>
      </c>
      <c r="AW14" s="378" t="s">
        <v>551</v>
      </c>
      <c r="AX14" s="379" t="s">
        <v>206</v>
      </c>
      <c r="AY14" s="379" t="s">
        <v>198</v>
      </c>
    </row>
    <row r="15" spans="1:51" s="178" customFormat="1" ht="167.25" customHeight="1" x14ac:dyDescent="0.25">
      <c r="A15" s="155" t="s">
        <v>189</v>
      </c>
      <c r="B15" s="156" t="s">
        <v>189</v>
      </c>
      <c r="C15" s="156" t="s">
        <v>189</v>
      </c>
      <c r="D15" s="157">
        <v>40</v>
      </c>
      <c r="E15" s="156" t="s">
        <v>189</v>
      </c>
      <c r="F15" s="156" t="s">
        <v>189</v>
      </c>
      <c r="G15" s="156" t="s">
        <v>189</v>
      </c>
      <c r="H15" s="156" t="s">
        <v>189</v>
      </c>
      <c r="I15" s="148" t="s">
        <v>207</v>
      </c>
      <c r="J15" s="148" t="s">
        <v>208</v>
      </c>
      <c r="K15" s="158" t="s">
        <v>201</v>
      </c>
      <c r="L15" s="159">
        <v>8100</v>
      </c>
      <c r="M15" s="158" t="s">
        <v>202</v>
      </c>
      <c r="N15" s="152" t="s">
        <v>209</v>
      </c>
      <c r="O15" s="227">
        <v>650</v>
      </c>
      <c r="P15" s="227">
        <v>2400</v>
      </c>
      <c r="Q15" s="227">
        <v>2200</v>
      </c>
      <c r="R15" s="227">
        <v>2200</v>
      </c>
      <c r="S15" s="227">
        <v>650</v>
      </c>
      <c r="T15" s="111" t="s">
        <v>204</v>
      </c>
      <c r="U15" s="226" t="s">
        <v>210</v>
      </c>
      <c r="V15" s="228">
        <v>10</v>
      </c>
      <c r="W15" s="228">
        <v>202</v>
      </c>
      <c r="X15" s="228">
        <v>202</v>
      </c>
      <c r="Y15" s="228">
        <v>202</v>
      </c>
      <c r="Z15" s="228">
        <v>202</v>
      </c>
      <c r="AA15" s="228">
        <v>202</v>
      </c>
      <c r="AB15" s="228">
        <v>202</v>
      </c>
      <c r="AC15" s="228">
        <v>202</v>
      </c>
      <c r="AD15" s="228">
        <v>202</v>
      </c>
      <c r="AE15" s="228">
        <v>202</v>
      </c>
      <c r="AF15" s="228">
        <v>202</v>
      </c>
      <c r="AG15" s="228">
        <v>170</v>
      </c>
      <c r="AH15" s="111">
        <v>20</v>
      </c>
      <c r="AI15" s="111">
        <v>106</v>
      </c>
      <c r="AJ15" s="229">
        <v>219</v>
      </c>
      <c r="AK15" s="229">
        <v>254</v>
      </c>
      <c r="AL15" s="229">
        <v>276</v>
      </c>
      <c r="AM15" s="110">
        <v>226</v>
      </c>
      <c r="AN15" s="235">
        <v>242</v>
      </c>
      <c r="AO15" s="235">
        <v>204</v>
      </c>
      <c r="AP15" s="235">
        <v>244</v>
      </c>
      <c r="AQ15" s="235">
        <v>197</v>
      </c>
      <c r="AR15" s="235">
        <v>208</v>
      </c>
      <c r="AS15" s="235"/>
      <c r="AT15" s="235">
        <f t="shared" si="0"/>
        <v>2196</v>
      </c>
      <c r="AU15" s="236">
        <f t="shared" si="1"/>
        <v>0.99818181818181817</v>
      </c>
      <c r="AV15" s="369" t="s">
        <v>552</v>
      </c>
      <c r="AW15" s="378" t="s">
        <v>553</v>
      </c>
      <c r="AX15" s="380" t="s">
        <v>206</v>
      </c>
      <c r="AY15" s="377" t="s">
        <v>198</v>
      </c>
    </row>
    <row r="16" spans="1:51" s="178" customFormat="1" ht="147" customHeight="1" x14ac:dyDescent="0.25">
      <c r="A16" s="155" t="s">
        <v>189</v>
      </c>
      <c r="B16" s="156" t="s">
        <v>189</v>
      </c>
      <c r="C16" s="156" t="s">
        <v>189</v>
      </c>
      <c r="D16" s="157">
        <v>41</v>
      </c>
      <c r="E16" s="156" t="s">
        <v>189</v>
      </c>
      <c r="F16" s="156" t="s">
        <v>189</v>
      </c>
      <c r="G16" s="156" t="s">
        <v>189</v>
      </c>
      <c r="H16" s="156" t="s">
        <v>189</v>
      </c>
      <c r="I16" s="148" t="s">
        <v>211</v>
      </c>
      <c r="J16" s="148" t="s">
        <v>212</v>
      </c>
      <c r="K16" s="158" t="s">
        <v>201</v>
      </c>
      <c r="L16" s="159">
        <v>19200</v>
      </c>
      <c r="M16" s="158" t="s">
        <v>202</v>
      </c>
      <c r="N16" s="152" t="s">
        <v>213</v>
      </c>
      <c r="O16" s="227">
        <v>1500</v>
      </c>
      <c r="P16" s="227">
        <v>5000</v>
      </c>
      <c r="Q16" s="227">
        <v>6200</v>
      </c>
      <c r="R16" s="227">
        <v>5000</v>
      </c>
      <c r="S16" s="227">
        <v>1500</v>
      </c>
      <c r="T16" s="111" t="s">
        <v>204</v>
      </c>
      <c r="U16" s="226" t="s">
        <v>214</v>
      </c>
      <c r="V16" s="227">
        <v>250</v>
      </c>
      <c r="W16" s="227">
        <v>432</v>
      </c>
      <c r="X16" s="227">
        <v>432</v>
      </c>
      <c r="Y16" s="227">
        <v>432</v>
      </c>
      <c r="Z16" s="227">
        <v>432</v>
      </c>
      <c r="AA16" s="227">
        <v>432</v>
      </c>
      <c r="AB16" s="227">
        <v>432</v>
      </c>
      <c r="AC16" s="227">
        <v>432</v>
      </c>
      <c r="AD16" s="227">
        <v>432</v>
      </c>
      <c r="AE16" s="227">
        <v>432</v>
      </c>
      <c r="AF16" s="227">
        <v>432</v>
      </c>
      <c r="AG16" s="227">
        <v>430</v>
      </c>
      <c r="AH16" s="111">
        <v>327</v>
      </c>
      <c r="AI16" s="111">
        <v>395</v>
      </c>
      <c r="AJ16" s="229">
        <v>408</v>
      </c>
      <c r="AK16" s="229">
        <v>326</v>
      </c>
      <c r="AL16" s="229">
        <v>323</v>
      </c>
      <c r="AM16" s="110">
        <v>389</v>
      </c>
      <c r="AN16" s="235">
        <v>460</v>
      </c>
      <c r="AO16" s="235">
        <v>463</v>
      </c>
      <c r="AP16" s="235">
        <v>476</v>
      </c>
      <c r="AQ16" s="235">
        <v>440</v>
      </c>
      <c r="AR16" s="235">
        <v>474</v>
      </c>
      <c r="AS16" s="235"/>
      <c r="AT16" s="235">
        <f t="shared" si="0"/>
        <v>4481</v>
      </c>
      <c r="AU16" s="236">
        <f t="shared" si="1"/>
        <v>0.8962</v>
      </c>
      <c r="AV16" s="380" t="s">
        <v>554</v>
      </c>
      <c r="AW16" s="380" t="s">
        <v>555</v>
      </c>
      <c r="AX16" s="381" t="s">
        <v>556</v>
      </c>
      <c r="AY16" s="382" t="s">
        <v>583</v>
      </c>
    </row>
    <row r="17" spans="1:51" s="178" customFormat="1" ht="114.75" customHeight="1" x14ac:dyDescent="0.25">
      <c r="A17" s="156" t="s">
        <v>189</v>
      </c>
      <c r="B17" s="156" t="s">
        <v>189</v>
      </c>
      <c r="C17" s="156" t="s">
        <v>189</v>
      </c>
      <c r="D17" s="156" t="s">
        <v>189</v>
      </c>
      <c r="E17" s="156" t="s">
        <v>189</v>
      </c>
      <c r="F17" s="156" t="s">
        <v>189</v>
      </c>
      <c r="G17" s="990" t="s">
        <v>215</v>
      </c>
      <c r="H17" s="990" t="s">
        <v>216</v>
      </c>
      <c r="I17" s="992" t="s">
        <v>217</v>
      </c>
      <c r="J17" s="152" t="s">
        <v>218</v>
      </c>
      <c r="K17" s="158" t="s">
        <v>219</v>
      </c>
      <c r="L17" s="179">
        <v>132</v>
      </c>
      <c r="M17" s="180" t="s">
        <v>220</v>
      </c>
      <c r="N17" s="148" t="s">
        <v>221</v>
      </c>
      <c r="O17" s="227">
        <v>0</v>
      </c>
      <c r="P17" s="227">
        <v>48</v>
      </c>
      <c r="Q17" s="227">
        <v>48</v>
      </c>
      <c r="R17" s="227">
        <v>24</v>
      </c>
      <c r="S17" s="227">
        <v>12</v>
      </c>
      <c r="T17" s="111" t="s">
        <v>204</v>
      </c>
      <c r="U17" s="226" t="s">
        <v>222</v>
      </c>
      <c r="V17" s="227">
        <v>1</v>
      </c>
      <c r="W17" s="227">
        <v>2</v>
      </c>
      <c r="X17" s="227">
        <v>2</v>
      </c>
      <c r="Y17" s="227">
        <v>2</v>
      </c>
      <c r="Z17" s="227">
        <v>2</v>
      </c>
      <c r="AA17" s="227">
        <v>2</v>
      </c>
      <c r="AB17" s="227">
        <v>2</v>
      </c>
      <c r="AC17" s="227">
        <v>2</v>
      </c>
      <c r="AD17" s="227">
        <v>2</v>
      </c>
      <c r="AE17" s="227">
        <v>2</v>
      </c>
      <c r="AF17" s="227">
        <v>2</v>
      </c>
      <c r="AG17" s="227">
        <v>3</v>
      </c>
      <c r="AH17" s="111">
        <v>1</v>
      </c>
      <c r="AI17" s="229">
        <v>2</v>
      </c>
      <c r="AJ17" s="229">
        <v>2</v>
      </c>
      <c r="AK17" s="229">
        <v>2</v>
      </c>
      <c r="AL17" s="229">
        <v>2</v>
      </c>
      <c r="AM17" s="111">
        <v>2</v>
      </c>
      <c r="AN17" s="235">
        <v>2</v>
      </c>
      <c r="AO17" s="235">
        <v>2</v>
      </c>
      <c r="AP17" s="235">
        <v>2</v>
      </c>
      <c r="AQ17" s="235">
        <v>2</v>
      </c>
      <c r="AR17" s="235">
        <v>2</v>
      </c>
      <c r="AS17" s="235"/>
      <c r="AT17" s="235">
        <f t="shared" si="0"/>
        <v>21</v>
      </c>
      <c r="AU17" s="236">
        <f t="shared" si="1"/>
        <v>0.875</v>
      </c>
      <c r="AV17" s="367" t="s">
        <v>577</v>
      </c>
      <c r="AW17" s="368" t="s">
        <v>578</v>
      </c>
      <c r="AX17" s="369" t="s">
        <v>223</v>
      </c>
      <c r="AY17" s="368" t="s">
        <v>198</v>
      </c>
    </row>
    <row r="18" spans="1:51" s="178" customFormat="1" ht="72.400000000000006" customHeight="1" x14ac:dyDescent="0.25">
      <c r="A18" s="156" t="s">
        <v>189</v>
      </c>
      <c r="B18" s="156" t="s">
        <v>189</v>
      </c>
      <c r="C18" s="156" t="s">
        <v>189</v>
      </c>
      <c r="D18" s="156" t="s">
        <v>189</v>
      </c>
      <c r="E18" s="156" t="s">
        <v>189</v>
      </c>
      <c r="F18" s="156" t="s">
        <v>189</v>
      </c>
      <c r="G18" s="991"/>
      <c r="H18" s="991"/>
      <c r="I18" s="993"/>
      <c r="J18" s="152" t="s">
        <v>224</v>
      </c>
      <c r="K18" s="158" t="s">
        <v>219</v>
      </c>
      <c r="L18" s="179">
        <v>134</v>
      </c>
      <c r="M18" s="180" t="s">
        <v>220</v>
      </c>
      <c r="N18" s="148" t="s">
        <v>225</v>
      </c>
      <c r="O18" s="230">
        <v>0</v>
      </c>
      <c r="P18" s="230">
        <v>40</v>
      </c>
      <c r="Q18" s="230">
        <v>40</v>
      </c>
      <c r="R18" s="230">
        <v>36</v>
      </c>
      <c r="S18" s="230">
        <v>18</v>
      </c>
      <c r="T18" s="111" t="s">
        <v>204</v>
      </c>
      <c r="U18" s="226" t="s">
        <v>226</v>
      </c>
      <c r="V18" s="227">
        <v>0</v>
      </c>
      <c r="W18" s="227">
        <v>0</v>
      </c>
      <c r="X18" s="227">
        <v>0</v>
      </c>
      <c r="Y18" s="227">
        <v>4</v>
      </c>
      <c r="Z18" s="227">
        <v>4</v>
      </c>
      <c r="AA18" s="227">
        <v>4</v>
      </c>
      <c r="AB18" s="227">
        <v>4</v>
      </c>
      <c r="AC18" s="227">
        <v>4</v>
      </c>
      <c r="AD18" s="227">
        <v>4</v>
      </c>
      <c r="AE18" s="227">
        <v>4</v>
      </c>
      <c r="AF18" s="227">
        <v>4</v>
      </c>
      <c r="AG18" s="227">
        <v>4</v>
      </c>
      <c r="AH18" s="111">
        <v>0</v>
      </c>
      <c r="AI18" s="229">
        <v>0</v>
      </c>
      <c r="AJ18" s="229">
        <v>0</v>
      </c>
      <c r="AK18" s="229">
        <v>2</v>
      </c>
      <c r="AL18" s="229">
        <v>6</v>
      </c>
      <c r="AM18" s="111">
        <v>4</v>
      </c>
      <c r="AN18" s="235">
        <v>2</v>
      </c>
      <c r="AO18" s="235">
        <v>5</v>
      </c>
      <c r="AP18" s="235">
        <v>5</v>
      </c>
      <c r="AQ18" s="235">
        <v>4</v>
      </c>
      <c r="AR18" s="235">
        <v>4</v>
      </c>
      <c r="AS18" s="235"/>
      <c r="AT18" s="235">
        <f t="shared" si="0"/>
        <v>32</v>
      </c>
      <c r="AU18" s="236">
        <f t="shared" si="1"/>
        <v>0.88888888888888884</v>
      </c>
      <c r="AV18" s="369" t="s">
        <v>579</v>
      </c>
      <c r="AW18" s="369" t="s">
        <v>580</v>
      </c>
      <c r="AX18" s="369" t="s">
        <v>223</v>
      </c>
      <c r="AY18" s="369" t="s">
        <v>198</v>
      </c>
    </row>
    <row r="19" spans="1:51" s="178" customFormat="1" ht="101.65" customHeight="1" x14ac:dyDescent="0.25">
      <c r="A19" s="156" t="s">
        <v>189</v>
      </c>
      <c r="B19" s="156" t="s">
        <v>189</v>
      </c>
      <c r="C19" s="156" t="s">
        <v>189</v>
      </c>
      <c r="D19" s="156" t="s">
        <v>189</v>
      </c>
      <c r="E19" s="156" t="s">
        <v>189</v>
      </c>
      <c r="F19" s="157" t="s">
        <v>14</v>
      </c>
      <c r="G19" s="156" t="s">
        <v>189</v>
      </c>
      <c r="H19" s="156" t="s">
        <v>189</v>
      </c>
      <c r="I19" s="152" t="s">
        <v>227</v>
      </c>
      <c r="J19" s="152" t="s">
        <v>228</v>
      </c>
      <c r="K19" s="158" t="s">
        <v>201</v>
      </c>
      <c r="L19" s="159">
        <v>15738</v>
      </c>
      <c r="M19" s="148" t="s">
        <v>229</v>
      </c>
      <c r="N19" s="152" t="s">
        <v>230</v>
      </c>
      <c r="O19" s="227">
        <v>0</v>
      </c>
      <c r="P19" s="230">
        <v>1632</v>
      </c>
      <c r="Q19" s="230">
        <v>6476</v>
      </c>
      <c r="R19" s="230">
        <v>5998</v>
      </c>
      <c r="S19" s="230">
        <v>1632</v>
      </c>
      <c r="T19" s="111" t="s">
        <v>204</v>
      </c>
      <c r="U19" s="109" t="s">
        <v>231</v>
      </c>
      <c r="V19" s="227">
        <v>20</v>
      </c>
      <c r="W19" s="227">
        <v>160</v>
      </c>
      <c r="X19" s="227">
        <v>160</v>
      </c>
      <c r="Y19" s="227">
        <v>160</v>
      </c>
      <c r="Z19" s="237">
        <v>160</v>
      </c>
      <c r="AA19" s="237">
        <v>762</v>
      </c>
      <c r="AB19" s="237">
        <v>763</v>
      </c>
      <c r="AC19" s="237">
        <v>763</v>
      </c>
      <c r="AD19" s="237">
        <v>763</v>
      </c>
      <c r="AE19" s="237">
        <v>763</v>
      </c>
      <c r="AF19" s="237">
        <v>762</v>
      </c>
      <c r="AG19" s="237">
        <v>762</v>
      </c>
      <c r="AH19" s="231">
        <v>150</v>
      </c>
      <c r="AI19" s="229">
        <v>220</v>
      </c>
      <c r="AJ19" s="232">
        <v>146</v>
      </c>
      <c r="AK19" s="232">
        <v>229</v>
      </c>
      <c r="AL19" s="231">
        <v>577</v>
      </c>
      <c r="AM19" s="232">
        <v>211</v>
      </c>
      <c r="AN19" s="238">
        <v>742</v>
      </c>
      <c r="AO19" s="238">
        <v>431</v>
      </c>
      <c r="AP19" s="238">
        <v>740</v>
      </c>
      <c r="AQ19" s="238">
        <v>338</v>
      </c>
      <c r="AR19" s="238">
        <v>1080</v>
      </c>
      <c r="AS19" s="238"/>
      <c r="AT19" s="238">
        <f t="shared" si="0"/>
        <v>4864</v>
      </c>
      <c r="AU19" s="371">
        <f t="shared" si="1"/>
        <v>0.81093697899299766</v>
      </c>
      <c r="AV19" s="369" t="s">
        <v>581</v>
      </c>
      <c r="AW19" s="369" t="s">
        <v>582</v>
      </c>
      <c r="AX19" s="372" t="s">
        <v>232</v>
      </c>
      <c r="AY19" s="369" t="s">
        <v>233</v>
      </c>
    </row>
    <row r="20" spans="1:51" x14ac:dyDescent="0.25">
      <c r="A20" s="983">
        <v>763</v>
      </c>
      <c r="B20" s="984"/>
      <c r="C20" s="984"/>
      <c r="D20" s="984"/>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4"/>
      <c r="AM20" s="984"/>
      <c r="AN20" s="984"/>
      <c r="AO20" s="984"/>
      <c r="AP20" s="984"/>
      <c r="AQ20" s="984"/>
      <c r="AR20" s="984"/>
      <c r="AS20" s="984"/>
      <c r="AT20" s="984"/>
      <c r="AU20" s="984"/>
      <c r="AV20" s="984"/>
      <c r="AW20" s="984"/>
      <c r="AX20" s="984"/>
      <c r="AY20" s="985"/>
    </row>
    <row r="21" spans="1:51" s="370" customFormat="1" ht="131.25" customHeight="1" x14ac:dyDescent="0.25">
      <c r="A21" s="989" t="s">
        <v>234</v>
      </c>
      <c r="B21" s="989"/>
      <c r="C21" s="989"/>
      <c r="D21" s="981" t="s">
        <v>235</v>
      </c>
      <c r="E21" s="981"/>
      <c r="F21" s="981"/>
      <c r="G21" s="981"/>
      <c r="H21" s="981"/>
      <c r="I21" s="981"/>
      <c r="J21" s="982" t="s">
        <v>236</v>
      </c>
      <c r="K21" s="982"/>
      <c r="L21" s="982"/>
      <c r="M21" s="982"/>
      <c r="N21" s="982"/>
      <c r="O21" s="982"/>
      <c r="P21" s="981" t="s">
        <v>235</v>
      </c>
      <c r="Q21" s="981"/>
      <c r="R21" s="981"/>
      <c r="S21" s="981"/>
      <c r="T21" s="981"/>
      <c r="U21" s="981"/>
      <c r="V21" s="981" t="s">
        <v>235</v>
      </c>
      <c r="W21" s="981"/>
      <c r="X21" s="981"/>
      <c r="Y21" s="981"/>
      <c r="Z21" s="981"/>
      <c r="AA21" s="981"/>
      <c r="AB21" s="981"/>
      <c r="AC21" s="981"/>
      <c r="AD21" s="981" t="s">
        <v>235</v>
      </c>
      <c r="AE21" s="981"/>
      <c r="AF21" s="981"/>
      <c r="AG21" s="981"/>
      <c r="AH21" s="981"/>
      <c r="AI21" s="981"/>
      <c r="AJ21" s="981"/>
      <c r="AK21" s="981"/>
      <c r="AL21" s="981"/>
      <c r="AM21" s="981"/>
      <c r="AN21" s="981"/>
      <c r="AO21" s="981"/>
      <c r="AP21" s="982" t="s">
        <v>237</v>
      </c>
      <c r="AQ21" s="982"/>
      <c r="AR21" s="982"/>
      <c r="AS21" s="982"/>
      <c r="AT21" s="981" t="s">
        <v>238</v>
      </c>
      <c r="AU21" s="981"/>
      <c r="AV21" s="981"/>
      <c r="AW21" s="981"/>
      <c r="AX21" s="981"/>
      <c r="AY21" s="981"/>
    </row>
    <row r="22" spans="1:51" s="370" customFormat="1" ht="58.9" customHeight="1" x14ac:dyDescent="0.25">
      <c r="A22" s="989"/>
      <c r="B22" s="989"/>
      <c r="C22" s="989"/>
      <c r="D22" s="981" t="s">
        <v>239</v>
      </c>
      <c r="E22" s="981"/>
      <c r="F22" s="981"/>
      <c r="G22" s="981"/>
      <c r="H22" s="981"/>
      <c r="I22" s="981"/>
      <c r="J22" s="982"/>
      <c r="K22" s="982"/>
      <c r="L22" s="982"/>
      <c r="M22" s="982"/>
      <c r="N22" s="982"/>
      <c r="O22" s="982"/>
      <c r="P22" s="981" t="s">
        <v>240</v>
      </c>
      <c r="Q22" s="981"/>
      <c r="R22" s="981"/>
      <c r="S22" s="981"/>
      <c r="T22" s="981"/>
      <c r="U22" s="981"/>
      <c r="V22" s="981" t="s">
        <v>533</v>
      </c>
      <c r="W22" s="981"/>
      <c r="X22" s="981"/>
      <c r="Y22" s="981"/>
      <c r="Z22" s="981"/>
      <c r="AA22" s="981"/>
      <c r="AB22" s="981"/>
      <c r="AC22" s="981"/>
      <c r="AD22" s="981" t="s">
        <v>241</v>
      </c>
      <c r="AE22" s="981"/>
      <c r="AF22" s="981"/>
      <c r="AG22" s="981"/>
      <c r="AH22" s="981"/>
      <c r="AI22" s="981"/>
      <c r="AJ22" s="981"/>
      <c r="AK22" s="981"/>
      <c r="AL22" s="981"/>
      <c r="AM22" s="981"/>
      <c r="AN22" s="981"/>
      <c r="AO22" s="981"/>
      <c r="AP22" s="982"/>
      <c r="AQ22" s="982"/>
      <c r="AR22" s="982"/>
      <c r="AS22" s="982"/>
      <c r="AT22" s="981" t="s">
        <v>242</v>
      </c>
      <c r="AU22" s="981"/>
      <c r="AV22" s="981"/>
      <c r="AW22" s="981"/>
      <c r="AX22" s="981"/>
      <c r="AY22" s="981"/>
    </row>
    <row r="23" spans="1:51" s="370" customFormat="1" ht="58.9" customHeight="1" x14ac:dyDescent="0.25">
      <c r="A23" s="989"/>
      <c r="B23" s="989"/>
      <c r="C23" s="989"/>
      <c r="D23" s="981" t="s">
        <v>243</v>
      </c>
      <c r="E23" s="981"/>
      <c r="F23" s="981"/>
      <c r="G23" s="981"/>
      <c r="H23" s="981"/>
      <c r="I23" s="981"/>
      <c r="J23" s="982"/>
      <c r="K23" s="982"/>
      <c r="L23" s="982"/>
      <c r="M23" s="982"/>
      <c r="N23" s="982"/>
      <c r="O23" s="982"/>
      <c r="P23" s="981" t="s">
        <v>244</v>
      </c>
      <c r="Q23" s="981"/>
      <c r="R23" s="981"/>
      <c r="S23" s="981"/>
      <c r="T23" s="981"/>
      <c r="U23" s="981"/>
      <c r="V23" s="981" t="s">
        <v>532</v>
      </c>
      <c r="W23" s="981"/>
      <c r="X23" s="981"/>
      <c r="Y23" s="981"/>
      <c r="Z23" s="981"/>
      <c r="AA23" s="981"/>
      <c r="AB23" s="981"/>
      <c r="AC23" s="981"/>
      <c r="AD23" s="981" t="s">
        <v>245</v>
      </c>
      <c r="AE23" s="981"/>
      <c r="AF23" s="981"/>
      <c r="AG23" s="981"/>
      <c r="AH23" s="981"/>
      <c r="AI23" s="981"/>
      <c r="AJ23" s="981"/>
      <c r="AK23" s="981"/>
      <c r="AL23" s="981"/>
      <c r="AM23" s="981"/>
      <c r="AN23" s="981"/>
      <c r="AO23" s="981"/>
      <c r="AP23" s="982"/>
      <c r="AQ23" s="982"/>
      <c r="AR23" s="982"/>
      <c r="AS23" s="982"/>
      <c r="AT23" s="981" t="s">
        <v>246</v>
      </c>
      <c r="AU23" s="981"/>
      <c r="AV23" s="981"/>
      <c r="AW23" s="981"/>
      <c r="AX23" s="981"/>
      <c r="AY23" s="981"/>
    </row>
  </sheetData>
  <mergeCells count="60">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 ref="AX1:AY1"/>
    <mergeCell ref="AX2:AY2"/>
    <mergeCell ref="AX3:AY3"/>
    <mergeCell ref="AX4:AY4"/>
    <mergeCell ref="A1:AW1"/>
    <mergeCell ref="A2:AW2"/>
    <mergeCell ref="A3:AW4"/>
    <mergeCell ref="V11:AG11"/>
    <mergeCell ref="I11:I12"/>
    <mergeCell ref="J11:J12"/>
    <mergeCell ref="T11:T12"/>
    <mergeCell ref="N11:N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s>
  <phoneticPr fontId="66" type="noConversion"/>
  <printOptions horizontalCentered="1"/>
  <pageMargins left="0.39370078740157483" right="0.39370078740157483" top="0.39370078740157483" bottom="0.39370078740157483" header="0" footer="0"/>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2D89587B88F645886B528F3349C219" ma:contentTypeVersion="18" ma:contentTypeDescription="Crear nuevo documento." ma:contentTypeScope="" ma:versionID="7d61897ac95892e8c3cb1d0fa501179c">
  <xsd:schema xmlns:xsd="http://www.w3.org/2001/XMLSchema" xmlns:xs="http://www.w3.org/2001/XMLSchema" xmlns:p="http://schemas.microsoft.com/office/2006/metadata/properties" xmlns:ns3="628a57f9-7fdf-4d59-8d00-bf917dd10c57" xmlns:ns4="62137a95-2034-4977-9353-5afc695b5eb7" targetNamespace="http://schemas.microsoft.com/office/2006/metadata/properties" ma:root="true" ma:fieldsID="e44c3e48af29d027a5f88e67f98d690e" ns3:_="" ns4:_="">
    <xsd:import namespace="628a57f9-7fdf-4d59-8d00-bf917dd10c57"/>
    <xsd:import namespace="62137a95-2034-4977-9353-5afc695b5e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a57f9-7fdf-4d59-8d00-bf917dd10c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137a95-2034-4977-9353-5afc695b5eb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activity xmlns="628a57f9-7fdf-4d59-8d00-bf917dd10c5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B9440-667E-4313-81A3-802DE4A3B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a57f9-7fdf-4d59-8d00-bf917dd10c57"/>
    <ds:schemaRef ds:uri="62137a95-2034-4977-9353-5afc695b5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9BD70-D413-42D1-872F-D93B872DA59F}">
  <ds:schemaRefs>
    <ds:schemaRef ds:uri="http://schemas.microsoft.com/office/2006/metadata/longProperties"/>
  </ds:schemaRefs>
</ds:datastoreItem>
</file>

<file path=customXml/itemProps3.xml><?xml version="1.0" encoding="utf-8"?>
<ds:datastoreItem xmlns:ds="http://schemas.openxmlformats.org/officeDocument/2006/customXml" ds:itemID="{34D3E026-6D0D-4CA9-833C-368A121BFBA5}">
  <ds:schemaRefs>
    <ds:schemaRef ds:uri="http://purl.org/dc/dcmitype/"/>
    <ds:schemaRef ds:uri="http://schemas.microsoft.com/office/2006/documentManagement/types"/>
    <ds:schemaRef ds:uri="62137a95-2034-4977-9353-5afc695b5eb7"/>
    <ds:schemaRef ds:uri="http://schemas.microsoft.com/office/2006/metadata/properties"/>
    <ds:schemaRef ds:uri="http://purl.org/dc/elements/1.1/"/>
    <ds:schemaRef ds:uri="http://schemas.microsoft.com/office/infopath/2007/PartnerControls"/>
    <ds:schemaRef ds:uri="628a57f9-7fdf-4d59-8d00-bf917dd10c57"/>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457CF1CE-E31F-4D62-A75E-8C23752B74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Jorge Javier Vidal Ortiz</cp:lastModifiedBy>
  <cp:revision/>
  <cp:lastPrinted>2023-10-11T20:58:59Z</cp:lastPrinted>
  <dcterms:created xsi:type="dcterms:W3CDTF">2011-04-26T22:16:52Z</dcterms:created>
  <dcterms:modified xsi:type="dcterms:W3CDTF">2023-12-22T13:16:34Z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