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tabRatio="863" activeTab="0"/>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sharedStrings.xml><?xml version="1.0" encoding="utf-8"?>
<sst xmlns="http://schemas.openxmlformats.org/spreadsheetml/2006/main" count="1753" uniqueCount="601">
  <si>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</si>
  <si>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</si>
  <si>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</si>
  <si>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</si>
  <si>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</si>
  <si>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</si>
  <si>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</si>
  <si>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</si>
  <si>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</si>
  <si>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</si>
  <si>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</si>
  <si>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</si>
  <si>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</si>
  <si>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</si>
  <si>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</si>
  <si>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</si>
  <si>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</si>
  <si>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</si>
  <si>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</si>
  <si>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</si>
  <si>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</si>
  <si>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</si>
  <si>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</si>
  <si>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</si>
  <si>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</si>
  <si>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</si>
  <si>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</si>
  <si>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</si>
  <si>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</si>
  <si>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</si>
  <si>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</si>
  <si>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</si>
  <si>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</si>
  <si>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</si>
  <si>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</si>
  <si>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</si>
  <si>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</si>
  <si>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</si>
  <si>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</si>
  <si>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</si>
  <si>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</si>
  <si>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</si>
  <si>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</si>
  <si>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</si>
  <si>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</si>
  <si>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</si>
  <si>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</si>
  <si>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</si>
  <si>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</si>
  <si>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</si>
  <si>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</si>
  <si>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</si>
  <si>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</si>
  <si>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</si>
  <si>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</si>
  <si>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</si>
  <si>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</si>
  <si>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</si>
  <si>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</si>
  <si>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</si>
  <si>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</si>
  <si>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</si>
  <si>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</si>
  <si>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</si>
  <si>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</si>
  <si>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</si>
  <si>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</si>
  <si>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</si>
  <si>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</si>
  <si>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</si>
  <si>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</si>
  <si>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</si>
  <si>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</si>
  <si>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</si>
  <si>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</si>
  <si>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</si>
  <si>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</si>
  <si>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</si>
  <si>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</si>
  <si>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</si>
  <si>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</si>
  <si>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</si>
  <si>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</si>
  <si>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</si>
  <si>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</si>
  <si>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</si>
  <si>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</si>
  <si>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</si>
  <si>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</si>
  <si>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</si>
  <si>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</si>
  <si>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</si>
  <si>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</si>
  <si>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</si>
  <si>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</si>
  <si>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</si>
  <si>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</si>
  <si>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</si>
  <si>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</si>
  <si>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</si>
  <si>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</si>
  <si>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</si>
  <si>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</si>
  <si>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</si>
  <si>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</si>
  <si>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</si>
  <si>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</si>
  <si>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</si>
  <si>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</si>
  <si>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</si>
  <si>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</si>
  <si>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</si>
  <si>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</si>
  <si>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</si>
  <si>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</si>
  <si>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</si>
  <si>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</si>
  <si>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</si>
  <si>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</si>
  <si>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</si>
  <si>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</si>
  <si>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</si>
  <si>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</si>
  <si>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</si>
  <si>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</si>
  <si>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</si>
  <si>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</si>
  <si>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</si>
  <si>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</si>
  <si>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</si>
  <si>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</si>
  <si>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</si>
  <si>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</si>
  <si>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</si>
  <si>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</si>
  <si>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</si>
  <si>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</si>
  <si>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</si>
  <si>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</si>
  <si>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</si>
  <si>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</si>
  <si>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</si>
  <si>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</si>
  <si>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</si>
  <si>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</si>
  <si>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</si>
  <si>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</si>
  <si>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</si>
  <si>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</si>
  <si>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</si>
  <si>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</si>
  <si>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</si>
  <si>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</si>
  <si>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</si>
  <si>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</si>
  <si>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</si>
  <si>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</si>
  <si>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</si>
  <si>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</si>
  <si>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</si>
  <si>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</si>
  <si>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</si>
  <si>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</si>
  <si>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</si>
  <si>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</si>
  <si>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</si>
  <si>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</si>
  <si>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</si>
  <si>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</si>
  <si>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</si>
  <si>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</si>
  <si>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</si>
  <si>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</si>
  <si>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</si>
  <si>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</si>
  <si>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</si>
  <si>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</si>
  <si>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</si>
  <si>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</si>
  <si>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</si>
  <si>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</si>
  <si>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</si>
  <si>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</si>
  <si>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</si>
  <si>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</si>
  <si>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</si>
  <si>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</si>
  <si>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</si>
  <si>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</si>
  <si>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</si>
  <si>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</si>
  <si>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</si>
  <si>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</si>
  <si>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</si>
  <si>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</si>
  <si>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</si>
  <si>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</si>
  <si>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</si>
  <si>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</si>
  <si>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</si>
  <si>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</si>
  <si>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</si>
  <si>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</si>
  <si>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</si>
  <si>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</si>
  <si>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</si>
  <si>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</si>
  <si>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</si>
  <si>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</si>
  <si>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</si>
  <si>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</si>
  <si>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</si>
  <si>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</si>
  <si>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</si>
  <si>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</si>
  <si>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</si>
  <si>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</si>
  <si>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</si>
  <si>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</si>
  <si>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</si>
  <si>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</si>
  <si>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</si>
  <si>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</si>
  <si>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</si>
  <si>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</si>
  <si>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</si>
  <si>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</si>
  <si>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</si>
  <si>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</si>
  <si>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</si>
  <si>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</si>
  <si>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</si>
  <si>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</si>
  <si>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</si>
  <si>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</si>
  <si>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</si>
  <si>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</si>
  <si>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</si>
  <si>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</si>
  <si>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</si>
  <si>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</si>
  <si>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</si>
  <si>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</si>
  <si>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</si>
  <si>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</si>
  <si>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</si>
  <si>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</si>
  <si>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</si>
  <si>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</si>
  <si>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</si>
  <si>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</si>
  <si>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</si>
  <si>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</si>
  <si>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</si>
  <si>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</si>
  <si>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</si>
  <si>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</si>
  <si>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</si>
  <si>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</si>
  <si>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</si>
  <si>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</si>
  <si>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</si>
  <si>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</si>
  <si>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</si>
  <si>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</si>
  <si>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</si>
  <si>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</si>
  <si>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</si>
  <si>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</si>
  <si>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</si>
  <si>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</si>
  <si>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</si>
  <si>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</si>
  <si>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</si>
  <si>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</si>
  <si>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</si>
  <si>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</si>
  <si>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</si>
  <si>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</si>
  <si>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</si>
  <si>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</si>
  <si>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</si>
  <si>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</si>
  <si>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</si>
  <si>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</si>
  <si>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</si>
  <si>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</si>
  <si>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</si>
  <si>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</si>
  <si>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</si>
  <si>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</si>
  <si>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</si>
  <si>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</si>
  <si>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</si>
  <si>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</si>
  <si>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</si>
  <si>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</si>
  <si>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</si>
  <si>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</si>
  <si>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</si>
  <si>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</si>
  <si>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</si>
  <si>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</si>
  <si>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</si>
  <si>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</si>
  <si>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</si>
  <si>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</si>
  <si>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</si>
  <si>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</si>
  <si>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</si>
  <si>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</si>
  <si>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</si>
  <si>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</si>
  <si>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</si>
  <si>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</si>
  <si>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</si>
  <si>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</si>
  <si>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</si>
  <si>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</si>
  <si>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</si>
  <si>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</si>
  <si>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</si>
  <si>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</si>
  <si>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</si>
  <si>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</si>
  <si>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</si>
  <si>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</si>
  <si>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</si>
  <si>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</si>
  <si>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</si>
  <si>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</si>
  <si>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</si>
  <si>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</si>
  <si>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</si>
  <si>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</si>
  <si>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</si>
  <si>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</si>
  <si>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</si>
  <si>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</si>
  <si>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</si>
  <si>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</si>
  <si>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</si>
  <si>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</si>
  <si>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</si>
  <si>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</si>
  <si>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</si>
  <si>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</si>
  <si>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</si>
  <si>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</si>
  <si>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</si>
  <si>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</si>
  <si>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</si>
  <si>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</si>
  <si>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</si>
  <si>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</si>
  <si>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</si>
  <si>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</si>
  <si>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</si>
  <si>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</si>
  <si>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</si>
  <si>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</si>
  <si>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</si>
  <si>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</si>
  <si>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</si>
  <si>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</si>
  <si>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</si>
  <si>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</si>
  <si>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</si>
  <si>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</si>
  <si>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</si>
  <si>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</si>
  <si>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</si>
  <si>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</si>
  <si>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</si>
  <si>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</si>
  <si>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</si>
  <si>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</si>
  <si>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</si>
  <si>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</si>
  <si>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</si>
  <si>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</si>
  <si>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</si>
  <si>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</si>
  <si>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</si>
  <si>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</si>
  <si>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</si>
  <si>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</si>
  <si>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</si>
  <si>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</si>
  <si>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</si>
  <si>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</si>
  <si>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</si>
  <si>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</si>
  <si>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</si>
  <si>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</si>
  <si>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</si>
  <si>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</si>
  <si>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</si>
  <si>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</si>
  <si>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</si>
  <si>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</si>
  <si>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</si>
  <si>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</si>
  <si>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</si>
  <si>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</si>
  <si>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</si>
  <si>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</si>
  <si>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</si>
  <si>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</si>
  <si>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</si>
  <si>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</si>
  <si>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</si>
  <si>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</si>
  <si>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</si>
  <si>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</si>
  <si>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</si>
  <si>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</si>
  <si>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</si>
  <si>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</si>
  <si>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</si>
  <si>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</si>
  <si>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</si>
  <si>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</si>
  <si>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</si>
  <si>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</si>
  <si>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</si>
  <si>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</si>
  <si>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</si>
  <si>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</si>
  <si>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</si>
  <si>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</si>
  <si>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</si>
  <si>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</si>
  <si>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</si>
  <si>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</si>
  <si>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</si>
  <si>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</si>
  <si>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</si>
  <si>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</si>
  <si>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</si>
  <si>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</si>
  <si>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</si>
  <si>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</si>
  <si>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</si>
  <si>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</si>
  <si>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</si>
  <si>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</si>
  <si>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</si>
  <si>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</si>
  <si>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</si>
  <si>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</si>
  <si>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</si>
  <si>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</si>
  <si>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</si>
  <si>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</si>
  <si>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</si>
  <si>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</si>
  <si>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</si>
  <si>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</si>
  <si>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</si>
  <si>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</si>
  <si>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</si>
  <si>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</si>
  <si>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</si>
  <si>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</si>
  <si>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</si>
  <si>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</si>
  <si>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</si>
  <si>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</si>
  <si>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</si>
  <si>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</si>
  <si>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</si>
  <si>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</si>
  <si>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</si>
  <si>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</si>
  <si>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</si>
  <si>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</si>
  <si>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</si>
  <si>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</si>
  <si>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</si>
  <si>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</si>
  <si>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</si>
  <si>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</si>
  <si>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</si>
  <si>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</si>
  <si>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</si>
  <si>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</si>
  <si>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</si>
  <si>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</si>
  <si>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</si>
  <si>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</si>
  <si>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</si>
  <si>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</si>
  <si>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</si>
  <si>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</si>
  <si>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</si>
  <si>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</si>
  <si>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</si>
  <si>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</si>
  <si>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</si>
  <si>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</si>
  <si>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</si>
  <si>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</si>
  <si>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</si>
  <si>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</si>
  <si>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</si>
  <si>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</si>
  <si>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</si>
  <si>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</si>
  <si>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</si>
  <si>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</si>
  <si>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</si>
  <si>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</si>
  <si>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</si>
  <si>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</si>
  <si>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</si>
  <si>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</si>
  <si>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</si>
  <si>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</si>
  <si>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</si>
  <si>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</si>
  <si>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</si>
  <si>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</si>
  <si>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</si>
  <si>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</si>
  <si>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</si>
  <si>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</si>
  <si>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</si>
  <si>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</si>
  <si>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</si>
  <si>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</si>
  <si>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Realizar a 37.500 mujeres, orientaciones y asesorías socio jurídicas través de Casas de Justicia y escenarios de fiscalías (CAPIV, CAVIF y CAIVAS) y Sede</t>
  </si>
  <si>
    <t xml:space="preserve">Se cuenta con todo el equipo de ruta integral contratado </t>
  </si>
  <si>
    <t>Realizar a 37500 mujeres, orientaciones y asesorías socio jurídicas través de Casas de Justicia y escenarios de fiscalías (CAPIV, CAVIF y CAIVAS) y Sede</t>
  </si>
  <si>
    <t>Ejercer a 3417 casos nuevos asignados por Comité de Enlaces representacíón jurídica.</t>
  </si>
  <si>
    <t>Se mantuvo la atención jurídica en 7 de las casas de justicia con Ruta Integral.
En la Estrategia de Casas de Justicia con Ruta Integral, se fortaleció con la consolidación del Equipo interdisciplinar (Psicóloga, Abogada y Dinamizadora), haciendo la reorganización de las profesionales para favorecer las dinámicas de funcionamiento, apoyadas en la generación de espacios de fortalecimiento conceptual, de cuidado y de Equipo, pertinentes a las necesidades de cada Casa de Justicia con Ruta Integral, aportando a la dinamización de las estrategias de trabajo, fortalecimiento de recursos de atención psicosocial y apoyo permanente desde la línea técnica.</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</si>
  <si>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</si>
  <si>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r>
      <t xml:space="preserve">Febrero: Se avanza en la gestión  para que la SDMujer entre en operación en una quinta URI, ubicada en el Centro Integral de Justicia de Campo Verde, en la localidad de Bosa. </t>
    </r>
    <r>
      <rPr>
        <u val="single"/>
        <sz val="11"/>
        <rFont val="Times New Roman"/>
        <family val="1"/>
      </rPr>
      <t>S</t>
    </r>
    <r>
      <rPr>
        <sz val="11"/>
        <rFont val="Times New Roman"/>
        <family val="1"/>
      </rPr>
      <t>e espera que para marzo contar con una abogada adicional para completar el equipo de litigio con priorización para los casos derivados de la Estrategia de URI; solucionado en marzo.</t>
    </r>
  </si>
  <si>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</si>
  <si>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Iniciar la representación judicial y/o administrativa de 3417 casos nuevos</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</si>
  <si>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t>
  </si>
  <si>
    <t>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t>
  </si>
  <si>
    <t>Se realizan gestiones articuladas con la Secretaría de Seguridad, Convivencia y Justicia para lograr entrar en operación con la 5 URI</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</si>
  <si>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</si>
  <si>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Se inició la representación de 4 procesos de familia</t>
  </si>
  <si>
    <t>Se construyó un instrumento de verificación que permite consolidar la información clave de las atenciones sociojurídica y psicosociales brindadas, sistematizando allí lo concerniente a la congruencia de los registros con los análisis de los casos y la adecuación y oportunidad de las acciones realizadas por las profesionales en relación con lo que se registra en SIMISIONAL.
Sobre cada una de estas estrategias se han identificado hallazgos, fortalezas, acciones de mejora y alertas, las cuales durante el primer semestre se han socializado en el caso de Casas de justicia sin Ruta Integral; Casas de Justicia con ruta Integral y estrategia de hospitales</t>
  </si>
  <si>
    <t xml:space="preserve">A partir de la base de feminicidios 2022 se revisaron los 21 casos con el fin de  identificar cuales pueden ser objeto de estudio de caso para establecer la metodología y plan de trabajo, se continua en la revisión de funetes de infomración relacionadas con buenas  prácticas en materia de feminicidios y se estableció un primer borrador de la estructura con la que contará el documento. </t>
  </si>
  <si>
    <t>Se elabora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avanza en la elaboración de dos boletinas, la primera respecto al analisis de resultados despues de culminado el ejercicio de representación, y la segunda es un balance de la implementación de la EJG en los escenarios de la SDMujer.</t>
  </si>
  <si>
    <t>Se han realizado dos Comité Directivo de Justicia de Género.
Se participó en las sesiones mensuales del Consejo Distrital de Estupefacientes.
Se participó en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</si>
  <si>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 xml:space="preserve">Se realizó la Inauguración de la Casa de Justicia con ruta integral de Fontibón y se dejó de prestar el servicio en Tunjuelito, de acuerdo con lo acordado en el marco del Convenio con la Secretaría Distrital de Seguridad, Convivencia y Justicia. Están conformados los equipos completos en las 7 casas con ruta integral.
</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</si>
  <si>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Se realizó la Inauguración de la Casa de Justicia con ruta integral de Fontibón y se dejó de prestar el servicio en Tunjuelito. Están conformados los equipos completos en las 7 casas con ruta integral.</t>
  </si>
  <si>
    <t>Se han realizados dos  Charlas de Difusión de Derechos del año 2023, a cargo de la profesional Fernanda Vargas. En este espacio se abordó una aproximación teórica a los principales diagnósticos psicológicos, psiquiátricos, del desarrollo o de discapacidad que se pueden identificar durante los procesos de atención, para que puedan reconocer las implicaciones y/o limitaciones de los diagnósticos con relación a la atención. La siguiente charla fue enfocada en el litigio para delito de VIF.</t>
  </si>
  <si>
    <t>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Se mantiene la articulación intra e interinstitucional para el agenciamiento de casos, el equipo ha logrado en casos de tentativa articular acciones con el equipo SAAT, casa refugio, policía, enlace Sofia.</t>
  </si>
  <si>
    <t xml:space="preserve">En julio se logró cubrir toda la demanda de representación jurídica en asuntos penales y en medidas de protección e incidentes de incumplimiento. Se realizó la mesa técnica URI con la participación de la Coordinadora de la URI Puente Aranda de la Fiscalía General de la Nación, Personería Delegada para asuntos penales I -II, Policía (Patrulla Purpura), Secretaria de Seguridad y la Secretaria Distrital de la Mujer, con el fin de revisar la activación de la ruta de atención en el caso de las mujeres víctimas de violencias basadas en género en las Unidades de Reacción Inmediata.
</t>
  </si>
  <si>
    <t xml:space="preserve">En julio 299 personas recibieron acompañamiento psicosocial, URI Puente Aranda:78, URI Ciudad Bolívar: 110 Engativa:53 y  Kennedy: 58. Se registró seguimiento a 471 personas.
En lo corrido del año 1870 personas han tenido acompañamiento psicoscial así: URI es Puente Aranda: 556, Ciudad Bolívar: 660, Engativá:335 y Kennedy: 319. </t>
  </si>
  <si>
    <t>En julio 308 personas recibieron atención juridicas, 325 mujeres y 3 hombres, en los siguientes puntos: URI Puente Aranda: 69, URI Ciudad Bolívar: 127, Engativa: 55 y Kennedy: 57.  Se registraron 532 seguimientos a 386 personas.
En lo corrido del año el acumulado de personas con atención jurídica por URI es de 1900: URI Puente Aranda: 526, URI Ciudad Bolívar con 681, Engativa: 377 y Kennedy: 322. Nota: 11 personas han recibido atención en dos meses diferentes, por lo tanto se contabilizan solo una vez en el acumulado. Se registraron 3186 seguimientos a 1774 personas.</t>
  </si>
  <si>
    <t>Reporte semestral</t>
  </si>
  <si>
    <t>Reporte trimestral</t>
  </si>
  <si>
    <t>En lo corrido del año, se cuenta con 1437 activaciones de ruta y se registraron en total 4253 seguimientos, una mujer puede tener mas de una activación de ruta</t>
  </si>
  <si>
    <t xml:space="preserve">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</si>
  <si>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Se lograron realizar 882 seguimientos (229 activaciones) por parte de las dinamizadoras en las casas con ruta integral evidenciando la labor constante y pertinente de los equipos en la atención integral, real y efectiva a la ciudadanía.</t>
  </si>
  <si>
    <t>En julio 299 personas recibieron acompañamiento psicosocial en estrategia URI, y 189 acompañamientos psicosociales, en el marco de las casas de justicia con ruta integral</t>
  </si>
  <si>
    <t>En lo corrido del año se cuenta con 19 nuevos procesos de familia</t>
  </si>
  <si>
    <t>Se inició la representación de 29 procesos penales</t>
  </si>
  <si>
    <t>En lo corrido del año se cuenta con 248 nuevos procesos penales</t>
  </si>
  <si>
    <t>En lo corrido del año se cuenta con 507 nuevos procesos administrativos</t>
  </si>
  <si>
    <t>En lo corrido del año, se han realizado 152 gestiones de articulación.</t>
  </si>
  <si>
    <t>En lo corrido del año 8645 personas han recibido atencion jurídicas en los niveles de orientación y asesoría, en los diferentes espacios. (CAF; Casas de Justicia; URI y Sede Administrativa). De las cuales 8560 son mujeres, 64 hombres, 2 intersexual y 19 sin información. Nota: (Una persona puede tener más de una atención en otro espacio o mes, por lo tanto se contabiliza solo una vez)</t>
  </si>
  <si>
    <t>En julio se inició la representación de 137 procesos, 29 procesos penales, 104 administrativos y 4 de familia. En el marco del litigio, el equipo reporta 362 audiencias y 93  cierres de casos.</t>
  </si>
  <si>
    <t>En julio 1044 mujeres acudieron por primera vez a los espacios de la SDMujer en las Casas de Justicia y CAF para recibir atención jurídica. (una persona puede ir a más de un espacio)</t>
  </si>
  <si>
    <t>En lo corrido del año 6184 mujeres acudieron por primera vez a los espacios de la SDMujer en las Casas de Justicia y CAF para recibir atención jurídica. (una persona puede ir a más de un espacio)</t>
  </si>
  <si>
    <t>En julio se logró cubrir toda la demanda de representación jurídica en asuntos penales y en medidas de protección e incidentes de incumplimiento. Se realizó la mesa técnica URI con la participación de la Coordinadora de la URI Puente Aranda de la Fiscalía General de la Nación, Personería Delegada para asuntos penales I -II, Policía (Patrulla Purpura), Secretaria de Seguridad y la Secretaria Distrital de la Mujer, con el fin de revisar la activación de la ruta de atención en el caso de las mujeres víctimas de violencias basadas en género en las Unidades de Reacción Inmediata.</t>
  </si>
  <si>
    <t>En lo corrido del año 3097 personas recibieron acompañamiento psicosocial así: 1870 en URI y 1230 acompañamientos psicosociales, en el marco de las casas de justicia con ruta integral. (tres mujeres fueron atendidas en dos espacios en el periodo)</t>
  </si>
  <si>
    <t>Las asignaciones directas reportadas en julio fueron 46: URI con 11 asignaciones de manera directa y Ruta Integral con 35</t>
  </si>
  <si>
    <t>El acumulado de asignaciones directas es 265, URI con 110 asignaciones de manera directa y Ruta Integral con 155.</t>
  </si>
  <si>
    <t xml:space="preserve">Se mantiene la prestación del servicio de atención jurídica en los espacios institucionales como son en los Centros de Atención de Fiscalia -CAF- para Caivas y Cavip; y de acuerdo con convenio con Secretaría Distrital de Seguridad, Convivencia y Justicia, se tiene presencia en 8 Casas de Justicia sin ruta integral y 7 Casas con modelo de Ruta Integral.
En junio se dio inicio del servicio por la SDMujer en Casa de Justicia Puente Aranda, de otra parte, la Casa de Justicia de Fontibón pasó a operar bajo el modelo de ruta integral.
</t>
  </si>
  <si>
    <t>Se cuenta con la contratación de profesionales para los espacios de CAF y Casas de Justicia. Se culminó el proceso de contratación de las profesionales para las casas de justicia. Se mantiene la prestación del servicio de atención jurídica en los espacios institucionales como son en los Centros de Atención de Fiscalia -CAF- para Caivas y Cavip; y de acuerdo con convenio con Secretaría Distrital de Seguridad, se tiene presencia en 8 Casas de Justicia sin ruta integral y 7 Casas con el equipo interdisiplinario (abogada para 3 niveles de atención, profesional psicosocial y dinamizadora). Se continúa brindando el servicio de manera presencial y virtual en algunos casos.</t>
  </si>
  <si>
    <t>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Se logró sentencia donde se condenó al procesado por el delito de Feminicidio Agravado Tentado, imponiendo una pena de 228 meses.</t>
  </si>
  <si>
    <t xml:space="preserve">Se cuenta con un grupo de 11 abogadas las cuales trabajan los procesos de familia y medidas de protección,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En julio se inició la representación de 137 procesos, 29 procesos penales, 104 administrativos y 4 de familia. En el marco del litigio, el equipo reporta 362 audiencias y 93 cierres de casos.
En lo corrido del año se inició la representación de 774 procesos, así: 248 procesos penales, 507 administrativos y 19 de familia.
</t>
  </si>
  <si>
    <t>En el mes se analizaron 160 casos para validar cumplimiento de criterios para asignar abogada de representación, se realizaron 29 devoluciones por cumplimiento de  criterios.
De los casos analizados, 67 fueron en sesión del Comité, 46 por asignación directa de ruta integral - Uri y 47 por asignación directa de secretaría técnica del comité.
En lo corrido del año, se tienen  987 casos escalonados, 106 de ellos no se asignaron para representación por no cumplir criterios o por falta de disponiblidad de profesional para asistir a la audiencia programada.</t>
  </si>
  <si>
    <t>Se mantuvo la atención jurídica en 7 de las casas de justicia con Ruta Integral. El 13 de julio se realizó el evento de inauguración de la séptima Casa de Justicia con Ruta integral de la localidad de Fontibón con la participación de la Subsecretaria y los apoyos de las profesionales Psicosociales y dinamizadoras, es de anotar que se inició el servicio de modelo integral en junio. De acuerdo con la matriz reporte del CRI en el periodo de julio, Ciudad Bolívar es el punto con mayor demanda, seguido por San Cristóbal.
En julio se realizó seguimiento a las 444 mujeres, registrando 573 seguimientos.
En lo corrido del año, se ha realizado seguimiento a 1608 mujeres, registrando 2781 seguimientos. Es de anotar, en el acumulado se contemplan los seguimientos de Tunjuelito, donde se dejo de prestar el servicio en junio y se suman los de Fontibón a partir de junio cuando inició como ruta integral. Una mujer puede tenar mas de un seguimiento en el mes y en meses anteriores.
El retraso de la meta programada en febrero correspondió a temas de contratación, se avanzó en los trámites precontractuales dado que falta por contratar la abogada para la Casa de Justicia de Tunjuelito. Para iniciar mayo se cuenta con el equipo contratado.</t>
  </si>
  <si>
    <t>Desde el proceso de dinamización 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En julio los procesos de sensibilización y divulgación fueron 63 en las distintas localidades, y conllevaron al reconocimiento de los servicios de la SDMUJER y al igual que de los derechos humanos de las mujeres con aplicación de los distintos enfoques.
En lo corrido del año, se han realizado 152 gestiones de articulación y  355 procesos de sensibilización y divulgación en las distintas localidades.
El retraso de la meta programada en enero correspondió a temas de contratación, en ese mes se avanzó en los trámites precontractuales. A febrero ya las 7 casas contaban con las profesionales dinamizadoras.</t>
  </si>
  <si>
    <t xml:space="preserve">Se cuenta con el equipo de abogadas de 3 niveles de atención en las casas de justicia con ruta integral, lo que ha permitido en el avance de las asignaciones directas de casos para representación, principalmente en trámites administrativos para ante las Comisarías de Familia. </t>
  </si>
  <si>
    <t>En julio se escalonaron 43 casos de los cuales no se asignaron 3.
En lo corrido del año se cuenta con 211 escalonamientos de los cuales 10 no cumplieron con criterios para acceder a la representación.</t>
  </si>
  <si>
    <t>Con el equipo de dinamizadoras incentivando la activación de rutas y seguimientos a las mujeres que acuden a los servicios de la Casa de Justicia, se lograron realizar 882 seguimientos (229 activaciones), evidenciando la labor constante y pertinente de los equipos en la atención integral, real y efectiva a la ciudadanía.
En lo corrido del año, se cuenta con 1437 activaciones de ruta y se registraron en total 4253 seguimientos, una mujer puede tener mas de una activación de ruta.
El retraso de la meta programada en enero correspondió a temas de contratación, en ese mes se avanzó en los trámites precontractuales. A febrero ya las 7 casas contaban con las profesionales dinamizadoras.</t>
  </si>
  <si>
    <t xml:space="preserve">Con la estrategia de atención semipresencial URI se realiza atención presencial en 4 URI (Puente Aranda, Kennedy, Engativá y Ciudad Bolívar)l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t>
  </si>
  <si>
    <t xml:space="preserve">Con la estrategia de atención semipresencial URI se realiza atención presencial en 4 URI (Puente Aranda, Kennedy, Engativá y Ciudad Bolívar)l y remota en los horarios dispuestos por la Fiscalía General de la Nación; el equipo está conformado por 12 Duplas Psicojurídicas. En julio se dio continuidad a las Mesas de trabajo para la elaboración de la Guía de servicio de la Estrategia URI desde la atención Psicojurídica, ajustando y revisando cada uno de los procesos allí descritos desde la perspectiva Psicosocial, Jurídica y Psicojurídica, dando por terminado en documento para la revisión final. Se llevó a cabo la mesa técnica de URI, en la que participaron Personería Delegada para asuntos penales I, Fiscalía General de la Nación- en cabeza de la coordinadora de las Unidades de reacción inmediata y las delegadas de la Secretaría de la Mujer, con el fin de revisar la activación de la ruta de atención en el caso de las mujeres víctimas de violencias basadas en género en las Unidades de Reacción Inmediata.
La representación jurídica de la Estrategia de URI, está integrada por 6 abogadas, quienes cubren toda la demanda de representación jurídica en asuntos penales y en medidas de protección e incidentes de incumplimiento, logrando cubrimiento de toda la demanda de representación de audiencias preliminares y la participación en las audiencias ante jueces de control de garantías en casos de actos urgentes y capturas en flagrancias.  </t>
  </si>
  <si>
    <t>Se avanza en la construcción del documento sobre violencia obstétrica. Se formuló un documento de incidencia frente al proyecto de acuerdo que busca establecer un protocolo de atención en materia de violencia política en el distrito capital.</t>
  </si>
  <si>
    <t>Se cuenta con el plan de acción del Subcomité de Agenda Normativa que fue aprobado por el Comité de Jusiticia de Género de conformidad con el artículo 29 y 30 de la Resolución 0314 del 2022.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Se continúa participando en las sesiones de  la Comisión Asesora Distrital de Política Criminal y Tratamiento Carcelario.
Se formuló un documento de incidencia frente al proyecto de acuerdo que busca establecer un protocolo de atención en materia de violencia política en el distrito capital.</t>
  </si>
  <si>
    <t>Iniciativas en las que se viene trabajando:
Violencia Obstétrica: Objetivo: Orientar a las abogadas de la estrategia de justicia de género sobre cómo atender casos de mujeres víctimas de vilencia obstétrica, mediante la expedición de resolución interna. 
Avance: Durante este período se realizaron avances en la elaboración del documento de violencia obstétrica utilizando todos los insumos de las reuniones realizadas y los aportes del foro de derechos sexuales y reproductivos. 
Acumulado: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en el marco de los resultados de las investigaciones de la Comisión Asesora Distrital de Política Criminal y Tratamiento Carcelario.</t>
  </si>
  <si>
    <t xml:space="preserve">Violencia política: El objetivo es incidir en el proceso distrital que busca sancionar la violencia política contra las mujeres: En este período en conjunto con la Dirección de Territorialización de Derechos y Participación se formuló un documento de incidencia frente al proyecto de acuerdo que busca establecer un protocolo de atención en materia de violencia política en el distrito capital.
Acoso sexual contra mujeres: Objetivo es realizar seguimiento a la reglamentación de articulado que reforma el Código de Policia Distrital que se adelanta en el Concejo de Bogotá: Durante este período se realizó seguimiento al proyecto de acuerdo. Por ahora se sabe que el 2 de agosto anunciarán la agenda para la discusión de los proyectos.
</t>
  </si>
  <si>
    <t>Nombre: María del Pilar Duarte</t>
  </si>
  <si>
    <t>Cargo: Contratista Seguimiento financiero</t>
  </si>
  <si>
    <t>Se cuenta con un grupo de 11 abogadas de las cuales trabajan los procesos de familia y medidas de protección, de otra parte, está el equipo de litigio penal con 20 profesionales; el equipo litigio URI integrado por 6 abogadas y el equpo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En lo corrido del año se inició la representación de 774 procesos, así: 248 procesos penales, 507 administrativos y 19 de familia.</t>
  </si>
  <si>
    <t>En julio 1467 personas recibieron atencion juridicas en los niveles de orientación y asesoría, en los diferentes espacios. (CAF; Casas de Justicia; URI y Sede Administrativa).Una persona pudo recibir atención en diferentes meses y/o espacios, por lo tanto se contabiliza solo una vez en el total</t>
  </si>
  <si>
    <t>Se inició la representación de 104 procesos administrativos.</t>
  </si>
  <si>
    <t xml:space="preserve">En CAF con la oficina del Caivas y del Capiv,  se presta la atención presencial todos los días de la semana. Para asuntos de violencias intrafamiliar y delitos asociados a VBG se dispone de 3 abogadas que se turnan durante la semana, y para asuntos en violencia sexual se cuenta con 1 abogada experta en el tema. Se ha logrado el cubrimiento de toda la demanda diaria en el punto de atención del CAF. Así mismo, la atención de todos los casos derivados de los equipos de la DEVAJ, de la LPD, de la Estrategia de Integración 123, Agencia MUJ123, de Fiscalía y de Juzgados Penales, y del CTI y SIJIN.
En julio acudieron 135 personas a los escenarios de Fiscalía, todas mujeres. De las mujeres que acudieron, 120 se acercaron por primera vez a estos puntos de atención para recibir orientacion y asesoría juridica: Caivas se atendió a 22 mujeres y en Capiv a 98. Adicionalmente, 37 mujeres recibieron acompañamiento por el Equipo Transversal Psicosocial en el CAPIV
En lo corrido del año 878 personas han recibido atencion jurídica distribuidas por género en 865 mujeres, 9 hombres y 4 que no reportan información. De las mujeres atendidas, 790 acudieron por primera vez, en Capiv:646 y en Caivas: 144 . Adicionalmente, 247 mujeres recibieron acompañamiento por el Equipo Transversal Psicosocial en el CAPIV, evidenciando también la importancia de la presencia del Equipo Psicosocial como complemento al trabajo jurídico desarrollado.
</t>
  </si>
  <si>
    <t>En el mes de julio 2023 se brindó asesoría y acompañamiento legal en Casas de Justicia sin ruta integral en las localidades de Engativá, Los Mártires, Suba La Campiña, Bosa Centro, Usme, Chapinero, Usaquén y Puente Aranda. En consideración al aumento de solicitudes de atención en la localidad de Usme se dispuso que atendieran dos profesionales en Casa de Justicia de dicha localidad, razón por la que en el presente periodo lograron atender un número importante de mujeres. Le siguen en orden de atención por demanda del servicio las Casas de Justicia de Bosa Centro, Usaquén y Engativá. 
En este mes 344 personas acudieron a las casas de justicia sin ruta integral, 339 mujeres, 3 hombres,1 intersexual y 1 sin información del sexo. De estas mujeres, 314 acudieron por primera vez a los servicios.
En el mes, las personas por punto de atención fueron: CJ Bosa 58, Chapinero 40, Engativá 39, Los Mártires 22, Suba 34, Usaquen 45, Usme 76 y CJ Puente Aranda 30. 
En lo corrido del año, se han atendido 1980 personas que han recibido orientación y asesoría jurídica y de ellas, 1806 mujeres por primera vez. 
Las mujeres atendidas por primera vez fueron a estos puntos: CJ Bosa 341, Chapinero 155, Engativá 178, Fontibón 189, Los Mártires 124, Suba 197, Usaquen 171, Usme 408 y  CJ Puente Aranda 46. Nota: 4 personas asistieron a dos puntos de atención diferentes por lo que en el total solo se contabilizan una vez.
De febrero a mayo Bosa Centro, contó con apoyo de una profesional del equipo psicosocial, atendiendo a 31 mujeres. 
El retraso de la meta programa en enero correspondió a temas de contratación, dado que en enero se avanzó en los trámites precontractuales para las profesionales en los puntos de Casas de justicia sin ruta integral. A la fecha ya se cuenta con todo el equipo jurídico.</t>
  </si>
  <si>
    <t>Se continúa la atención en las casas de justicia con ruta integral, dando respuesta a las remisiones de estrategias o espacios internos de la entidad, en su mayoría por la LPD.
En este mes 672 personas acudieron a las casas de justicia con ruta integral, 670 mujeres, 1 hombres y 1 sin información. De ellas, 603 acuedieron por primera vez a los servicios.
Las personas atendidas por punto fueron: Bosa Campo Verde 92, Suba Ciudad Jardín 72, Barrios Unidos 55, Ciudad Bolívar 218, Kennedy 62 , San Cristobal 115  y Fontibon con 58. 
En lo corrido del año, 3915 personas han recibido orientación y asesoria juridica y de ellas, 3576 mujeres por primera vez. Nota: 5 personas asistieron a dos puntos de atención diferentes por lo que en el total solo se contabilizan una vez.
Las personas totales por punto fueron: Bosa Campo Verde 658, Suba Ciudad Jardín 343, Barrios Unidos 367, Ciudad Bolívar 1221, Kennedy 434 , San Cristobal 758 , Fontibon con 124; Tunjuelito: 16.</t>
  </si>
  <si>
    <t>En julio se brindaron 189 acompañamientos psicosociales, así: Bosa Campo Verde: 26, Ciudad Jardín: 23, Barrios Unidos 19, Ciudad Bolivar 42, Kennedy 39,  San Cristobal 20 y Fontibon 20.
Se registraron  433 seguimientos a 377 personas. 
En lo corrido del año 1230 personas recibieron acompañamiento psicosocial, así: Bosa Campo Verde 161, Ciudad Jardín 139, Barrios Unidos 109, Ciudad Bolivar 272, Kennedy 282,  San Cristobal 195, Tunjuelito con 22 y Fontibón 50. Se registraron 2072 seguimientos a 1359 personas.
El retraso de la meta programada al inicio de año correspondió a temas de contratación, dado que en enero no se contó con todo el equipo psicosocial y se avanzó en los trámites precontractuales. En marzo ya las 7 casas tienen profesional psicosocial.</t>
  </si>
  <si>
    <t>En julio se registran 314 seguimientos para 115 casos asignados para representación de ruta integral . Se dio cierre de 17 casos en el periodo.
En lo corrido del año, se registran 1237 seguimientos a 230 casos asignados para representación.
Al inico del año, el retraso en la meta programada correspondió a temas de contratación, dado que en las casas con ruta integral los nuevos contratos de las profesionales abogadas de 3 niveles iniciaron entre febrero y mayo.</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</si>
</sst>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8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18"/>
      <name val="Times New Roman"/>
      <family val="1"/>
    </font>
    <font>
      <sz val="8"/>
      <name val="Calibri"/>
      <family val="2"/>
    </font>
    <font>
      <u val="single"/>
      <sz val="11"/>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color indexed="55"/>
      <name val="Times New Roman"/>
      <family val="1"/>
    </font>
    <font>
      <b/>
      <sz val="12"/>
      <color indexed="8"/>
      <name val="Times New Roman"/>
      <family val="1"/>
    </font>
    <font>
      <b/>
      <sz val="11"/>
      <name val="Calibri"/>
      <family val="2"/>
    </font>
    <font>
      <b/>
      <sz val="1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s>
  <borders count="88">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6" fillId="21" borderId="0" applyNumberFormat="0" applyBorder="0" applyAlignment="0" applyProtection="0"/>
    <xf numFmtId="0" fontId="57" fillId="22" borderId="4" applyNumberFormat="0" applyAlignment="0" applyProtection="0"/>
    <xf numFmtId="0" fontId="58" fillId="23" borderId="5" applyNumberFormat="0" applyAlignment="0" applyProtection="0"/>
    <xf numFmtId="0" fontId="59" fillId="0" borderId="6" applyNumberFormat="0" applyFill="0" applyAlignment="0" applyProtection="0"/>
    <xf numFmtId="0" fontId="60" fillId="0" borderId="7" applyNumberFormat="0" applyFill="0" applyAlignment="0" applyProtection="0"/>
    <xf numFmtId="0" fontId="61" fillId="24" borderId="0" applyNumberFormat="0" applyProtection="0">
      <alignment horizontal="left" wrapText="1" indent="4"/>
    </xf>
    <xf numFmtId="0" fontId="62" fillId="24" borderId="0" applyNumberFormat="0" applyProtection="0">
      <alignment horizontal="left" wrapText="1" indent="4"/>
    </xf>
    <xf numFmtId="0" fontId="63"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8" fillId="30" borderId="0" applyNumberFormat="0" applyBorder="0" applyAlignment="0" applyProtection="0"/>
    <xf numFmtId="0" fontId="64" fillId="31" borderId="4" applyNumberFormat="0" applyAlignment="0" applyProtection="0"/>
    <xf numFmtId="16" fontId="33" fillId="0" borderId="0" applyFont="0" applyFill="0" applyBorder="0" applyAlignment="0">
      <protection/>
    </xf>
    <xf numFmtId="0" fontId="65" fillId="32" borderId="0" applyNumberFormat="0" applyBorder="0" applyProtection="0">
      <alignment horizontal="center" vertical="center"/>
    </xf>
    <xf numFmtId="0" fontId="66" fillId="0" borderId="0" applyNumberFormat="0" applyFill="0" applyBorder="0" applyAlignment="0" applyProtection="0"/>
    <xf numFmtId="0" fontId="67" fillId="0" borderId="0" applyNumberFormat="0" applyFill="0" applyBorder="0" applyAlignment="0" applyProtection="0"/>
    <xf numFmtId="0" fontId="68"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69" fillId="34" borderId="0" applyNumberFormat="0" applyBorder="0" applyAlignment="0" applyProtection="0"/>
    <xf numFmtId="0" fontId="7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1" fillId="22" borderId="9" applyNumberFormat="0" applyAlignment="0" applyProtection="0"/>
    <xf numFmtId="0" fontId="72" fillId="0" borderId="0" applyNumberFormat="0" applyFill="0" applyBorder="0" applyAlignment="0" applyProtection="0"/>
    <xf numFmtId="0" fontId="62" fillId="0" borderId="0" applyFill="0" applyBorder="0">
      <alignment wrapText="1"/>
      <protection/>
    </xf>
    <xf numFmtId="0" fontId="54"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63" fillId="0" borderId="11" applyNumberFormat="0" applyFill="0" applyAlignment="0" applyProtection="0"/>
    <xf numFmtId="0" fontId="76" fillId="24" borderId="0" applyNumberFormat="0" applyBorder="0" applyProtection="0">
      <alignment horizontal="left" indent="1"/>
    </xf>
    <xf numFmtId="0" fontId="77" fillId="0" borderId="12" applyNumberFormat="0" applyFill="0" applyAlignment="0" applyProtection="0"/>
  </cellStyleXfs>
  <cellXfs count="719">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7"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78" fillId="38" borderId="28" xfId="0" applyFont="1" applyFill="1" applyBorder="1" applyAlignment="1">
      <alignment vertical="center"/>
    </xf>
    <xf numFmtId="0" fontId="78" fillId="38" borderId="0" xfId="0" applyFont="1" applyFill="1" applyBorder="1" applyAlignment="1">
      <alignment vertical="center"/>
    </xf>
    <xf numFmtId="0" fontId="78"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79"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7"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7"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78" fillId="0" borderId="0" xfId="0" applyFont="1" applyAlignment="1">
      <alignment vertical="center"/>
    </xf>
    <xf numFmtId="0" fontId="80" fillId="11" borderId="41" xfId="0" applyFont="1" applyFill="1" applyBorder="1" applyAlignment="1">
      <alignment vertical="center"/>
    </xf>
    <xf numFmtId="0" fontId="80" fillId="11" borderId="0" xfId="0" applyFont="1" applyFill="1" applyBorder="1" applyAlignment="1">
      <alignment vertical="center"/>
    </xf>
    <xf numFmtId="0" fontId="80" fillId="11" borderId="15" xfId="0" applyFont="1" applyFill="1" applyBorder="1" applyAlignment="1">
      <alignment vertical="center"/>
    </xf>
    <xf numFmtId="0" fontId="80" fillId="11" borderId="13" xfId="0" applyFont="1" applyFill="1" applyBorder="1" applyAlignment="1">
      <alignment horizontal="center" vertical="center" wrapText="1"/>
    </xf>
    <xf numFmtId="0" fontId="78" fillId="0" borderId="13" xfId="0" applyFont="1" applyBorder="1" applyAlignment="1">
      <alignment horizontal="center" vertical="center"/>
    </xf>
    <xf numFmtId="0" fontId="78" fillId="0" borderId="13" xfId="0" applyFont="1" applyBorder="1" applyAlignment="1">
      <alignment horizontal="center" vertical="center" wrapText="1"/>
    </xf>
    <xf numFmtId="183" fontId="78" fillId="0" borderId="13" xfId="59" applyFont="1" applyBorder="1" applyAlignment="1">
      <alignment horizontal="center" vertical="center" wrapText="1"/>
    </xf>
    <xf numFmtId="0" fontId="78" fillId="0" borderId="13" xfId="0" applyFont="1" applyBorder="1" applyAlignment="1">
      <alignment vertical="center"/>
    </xf>
    <xf numFmtId="9" fontId="78" fillId="0" borderId="13" xfId="79" applyFont="1" applyBorder="1" applyAlignment="1">
      <alignment vertical="center"/>
    </xf>
    <xf numFmtId="0" fontId="11" fillId="11" borderId="22" xfId="0" applyFont="1" applyFill="1" applyBorder="1" applyAlignment="1">
      <alignment horizontal="center" vertical="center" wrapText="1"/>
    </xf>
    <xf numFmtId="0" fontId="81" fillId="11" borderId="13" xfId="0" applyFont="1" applyFill="1" applyBorder="1" applyAlignment="1">
      <alignment horizontal="center" vertical="center"/>
    </xf>
    <xf numFmtId="0" fontId="78" fillId="0" borderId="0" xfId="0" applyFont="1" applyAlignment="1">
      <alignment horizontal="center" vertical="center"/>
    </xf>
    <xf numFmtId="0" fontId="82" fillId="0" borderId="13" xfId="0" applyFont="1" applyBorder="1" applyAlignment="1">
      <alignment vertical="center"/>
    </xf>
    <xf numFmtId="0" fontId="81" fillId="11" borderId="13" xfId="0" applyFont="1" applyFill="1" applyBorder="1" applyAlignment="1">
      <alignment horizontal="left" vertical="center"/>
    </xf>
    <xf numFmtId="0" fontId="78" fillId="0" borderId="13" xfId="0" applyFont="1" applyBorder="1" applyAlignment="1">
      <alignment horizontal="left" vertical="center"/>
    </xf>
    <xf numFmtId="0" fontId="78" fillId="0" borderId="14" xfId="0" applyFont="1" applyFill="1" applyBorder="1" applyAlignment="1">
      <alignment horizontal="left" vertical="center"/>
    </xf>
    <xf numFmtId="0" fontId="78" fillId="0" borderId="13" xfId="0" applyFont="1" applyFill="1" applyBorder="1" applyAlignment="1">
      <alignment horizontal="left" vertical="center"/>
    </xf>
    <xf numFmtId="41" fontId="78" fillId="0" borderId="13" xfId="60" applyFont="1" applyFill="1" applyBorder="1" applyAlignment="1">
      <alignment vertical="center"/>
    </xf>
    <xf numFmtId="0" fontId="82" fillId="0" borderId="0" xfId="0" applyFont="1" applyAlignment="1">
      <alignment vertical="center"/>
    </xf>
    <xf numFmtId="0" fontId="16" fillId="0" borderId="13" xfId="0" applyFont="1" applyBorder="1" applyAlignment="1">
      <alignment horizontal="center" vertical="center" wrapText="1"/>
    </xf>
    <xf numFmtId="0" fontId="80" fillId="0" borderId="0" xfId="0" applyFont="1" applyAlignment="1">
      <alignment horizontal="left" vertical="center"/>
    </xf>
    <xf numFmtId="0" fontId="80" fillId="11" borderId="13" xfId="0" applyFont="1" applyFill="1" applyBorder="1" applyAlignment="1">
      <alignment vertical="center"/>
    </xf>
    <xf numFmtId="41" fontId="78" fillId="0" borderId="14" xfId="60" applyFont="1" applyFill="1" applyBorder="1" applyAlignment="1">
      <alignment vertical="center"/>
    </xf>
    <xf numFmtId="49" fontId="78" fillId="0" borderId="14" xfId="60" applyNumberFormat="1" applyFont="1" applyFill="1" applyBorder="1" applyAlignment="1">
      <alignment vertical="center"/>
    </xf>
    <xf numFmtId="49" fontId="78" fillId="0" borderId="13" xfId="60" applyNumberFormat="1" applyFont="1" applyFill="1" applyBorder="1" applyAlignment="1">
      <alignment vertical="center"/>
    </xf>
    <xf numFmtId="0" fontId="78" fillId="0" borderId="0" xfId="0" applyFont="1" applyAlignment="1">
      <alignment horizontal="left" vertical="center"/>
    </xf>
    <xf numFmtId="0" fontId="78" fillId="0" borderId="0" xfId="0" applyFont="1" applyFill="1" applyAlignment="1">
      <alignment horizontal="left" vertical="center"/>
    </xf>
    <xf numFmtId="0" fontId="80" fillId="17" borderId="13" xfId="0" applyFont="1" applyFill="1" applyBorder="1" applyAlignment="1">
      <alignment horizontal="center" vertical="center"/>
    </xf>
    <xf numFmtId="0" fontId="78" fillId="0" borderId="16"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3" xfId="0" applyFont="1" applyFill="1" applyBorder="1" applyAlignment="1">
      <alignment vertical="center" wrapText="1"/>
    </xf>
    <xf numFmtId="0" fontId="80" fillId="0" borderId="13" xfId="0" applyFont="1" applyFill="1" applyBorder="1" applyAlignment="1">
      <alignment vertical="center" wrapText="1"/>
    </xf>
    <xf numFmtId="0" fontId="7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78"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6"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7" xfId="72" applyFont="1" applyFill="1" applyBorder="1" applyAlignment="1" applyProtection="1">
      <alignment horizontal="center" vertical="center" wrapText="1"/>
      <protection/>
    </xf>
    <xf numFmtId="0" fontId="83"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8"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9"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0"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80" fillId="11" borderId="13" xfId="79" applyFont="1" applyFill="1" applyBorder="1" applyAlignment="1">
      <alignment horizontal="center" vertical="center" wrapText="1"/>
    </xf>
    <xf numFmtId="9" fontId="78" fillId="0" borderId="0" xfId="79" applyFont="1" applyAlignment="1">
      <alignment vertical="center"/>
    </xf>
    <xf numFmtId="0" fontId="80" fillId="17" borderId="13" xfId="0" applyFont="1" applyFill="1" applyBorder="1" applyAlignment="1">
      <alignment horizontal="left" vertical="center"/>
    </xf>
    <xf numFmtId="0" fontId="80" fillId="0" borderId="13" xfId="0" applyFont="1" applyFill="1" applyBorder="1" applyAlignment="1">
      <alignment horizontal="left" vertical="center"/>
    </xf>
    <xf numFmtId="0" fontId="80"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0" fontId="80" fillId="0" borderId="13" xfId="0" applyFont="1" applyFill="1" applyBorder="1" applyAlignment="1">
      <alignment horizontal="center" vertical="center" wrapText="1"/>
    </xf>
    <xf numFmtId="0" fontId="11" fillId="38" borderId="52" xfId="72" applyFont="1" applyFill="1" applyBorder="1" applyAlignment="1" applyProtection="1">
      <alignment vertical="center" wrapText="1"/>
      <protection/>
    </xf>
    <xf numFmtId="0" fontId="11" fillId="38" borderId="53"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78" fillId="0" borderId="13" xfId="0" applyFont="1" applyBorder="1" applyAlignment="1">
      <alignment vertical="center" wrapText="1"/>
    </xf>
    <xf numFmtId="0" fontId="78" fillId="0" borderId="54" xfId="0" applyFont="1" applyBorder="1" applyAlignment="1">
      <alignment horizontal="left" vertical="center" wrapText="1"/>
    </xf>
    <xf numFmtId="0" fontId="4" fillId="0" borderId="16" xfId="0" applyFont="1" applyBorder="1" applyAlignment="1">
      <alignment horizontal="left" vertical="center" wrapText="1"/>
    </xf>
    <xf numFmtId="0" fontId="78" fillId="0" borderId="16" xfId="0" applyFont="1" applyBorder="1" applyAlignment="1">
      <alignment horizontal="center" vertical="center" wrapText="1"/>
    </xf>
    <xf numFmtId="0" fontId="4" fillId="0" borderId="13" xfId="0" applyFont="1" applyBorder="1" applyAlignment="1">
      <alignment vertical="center" wrapText="1"/>
    </xf>
    <xf numFmtId="0" fontId="78" fillId="0" borderId="13" xfId="0" applyFont="1" applyFill="1" applyBorder="1" applyAlignment="1">
      <alignment horizontal="center" vertical="center" wrapText="1"/>
    </xf>
    <xf numFmtId="0" fontId="78" fillId="0" borderId="0" xfId="0" applyFont="1" applyAlignment="1">
      <alignment vertical="center" wrapText="1"/>
    </xf>
    <xf numFmtId="0" fontId="84" fillId="0" borderId="13" xfId="0" applyFont="1" applyBorder="1" applyAlignment="1">
      <alignment horizontal="center" vertical="center" wrapText="1"/>
    </xf>
    <xf numFmtId="0" fontId="84"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78" fillId="0" borderId="13" xfId="0" applyNumberFormat="1" applyFont="1" applyBorder="1" applyAlignment="1">
      <alignment horizontal="center" vertical="center" wrapText="1"/>
    </xf>
    <xf numFmtId="9" fontId="78" fillId="0" borderId="13" xfId="0" applyNumberFormat="1" applyFont="1" applyBorder="1" applyAlignment="1">
      <alignment vertical="center"/>
    </xf>
    <xf numFmtId="0" fontId="84" fillId="0" borderId="13" xfId="0" applyFont="1" applyBorder="1" applyAlignment="1">
      <alignment horizontal="left" vertical="center" wrapText="1"/>
    </xf>
    <xf numFmtId="0" fontId="84" fillId="0" borderId="13" xfId="0" applyFont="1" applyBorder="1" applyAlignment="1">
      <alignment horizontal="left" wrapText="1"/>
    </xf>
    <xf numFmtId="0" fontId="84" fillId="0" borderId="16" xfId="0" applyFont="1" applyBorder="1" applyAlignment="1">
      <alignment horizontal="left" vertical="center" wrapText="1"/>
    </xf>
    <xf numFmtId="0" fontId="11" fillId="5" borderId="55"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195" fontId="0" fillId="0" borderId="58" xfId="58" applyNumberFormat="1" applyFont="1" applyBorder="1" applyAlignment="1">
      <alignment vertical="center"/>
    </xf>
    <xf numFmtId="195" fontId="0" fillId="0" borderId="59" xfId="58" applyNumberFormat="1" applyFont="1" applyBorder="1" applyAlignment="1">
      <alignment vertical="center"/>
    </xf>
    <xf numFmtId="9" fontId="0" fillId="0" borderId="60"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80"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78" fillId="0" borderId="13" xfId="0" applyFont="1" applyFill="1" applyBorder="1" applyAlignment="1">
      <alignment horizontal="center" vertical="center"/>
    </xf>
    <xf numFmtId="9" fontId="78"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195" fontId="0" fillId="0" borderId="61"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78" fillId="0" borderId="0" xfId="0" applyFont="1" applyBorder="1" applyAlignment="1">
      <alignment vertical="center"/>
    </xf>
    <xf numFmtId="0" fontId="85" fillId="0" borderId="0" xfId="0" applyFont="1" applyFill="1" applyBorder="1" applyAlignment="1">
      <alignment horizontal="center" vertical="center"/>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198" fontId="78" fillId="0" borderId="0" xfId="0" applyNumberFormat="1" applyFont="1" applyBorder="1" applyAlignment="1">
      <alignment vertical="center"/>
    </xf>
    <xf numFmtId="198" fontId="78" fillId="0" borderId="0" xfId="63" applyNumberFormat="1" applyFont="1" applyBorder="1" applyAlignment="1">
      <alignment vertical="center"/>
    </xf>
    <xf numFmtId="195" fontId="78" fillId="0" borderId="61" xfId="58" applyNumberFormat="1" applyFont="1" applyBorder="1" applyAlignment="1">
      <alignment vertical="center"/>
    </xf>
    <xf numFmtId="195" fontId="78" fillId="0" borderId="59" xfId="58" applyNumberFormat="1" applyFont="1" applyBorder="1" applyAlignment="1">
      <alignment vertical="center"/>
    </xf>
    <xf numFmtId="9" fontId="78" fillId="0" borderId="60" xfId="79" applyFont="1" applyBorder="1" applyAlignment="1">
      <alignment vertical="center"/>
    </xf>
    <xf numFmtId="195" fontId="78" fillId="0" borderId="20" xfId="58" applyNumberFormat="1" applyFont="1" applyBorder="1" applyAlignment="1">
      <alignment vertical="center"/>
    </xf>
    <xf numFmtId="195" fontId="78" fillId="0" borderId="13" xfId="58" applyNumberFormat="1" applyFont="1" applyBorder="1" applyAlignment="1">
      <alignment vertical="center"/>
    </xf>
    <xf numFmtId="9" fontId="78" fillId="0" borderId="21" xfId="79" applyFont="1" applyBorder="1" applyAlignment="1">
      <alignment vertical="center"/>
    </xf>
    <xf numFmtId="195" fontId="78" fillId="0" borderId="48" xfId="58" applyNumberFormat="1" applyFont="1" applyBorder="1" applyAlignment="1">
      <alignment vertical="center"/>
    </xf>
    <xf numFmtId="195" fontId="78" fillId="0" borderId="38" xfId="58" applyNumberFormat="1" applyFont="1" applyBorder="1" applyAlignment="1">
      <alignment vertical="center"/>
    </xf>
    <xf numFmtId="9" fontId="78" fillId="0" borderId="50" xfId="79" applyFont="1" applyBorder="1" applyAlignment="1">
      <alignment vertical="center"/>
    </xf>
    <xf numFmtId="182" fontId="78" fillId="0" borderId="0" xfId="64" applyFont="1" applyAlignment="1">
      <alignment vertical="center"/>
    </xf>
    <xf numFmtId="9" fontId="80" fillId="0" borderId="0" xfId="79" applyFont="1" applyBorder="1" applyAlignment="1">
      <alignment horizontal="center" vertical="center"/>
    </xf>
    <xf numFmtId="0" fontId="78" fillId="0" borderId="0" xfId="0" applyFont="1" applyFill="1" applyAlignment="1">
      <alignment vertical="center"/>
    </xf>
    <xf numFmtId="182" fontId="80" fillId="0" borderId="0" xfId="64" applyFont="1" applyAlignment="1">
      <alignment vertical="center"/>
    </xf>
    <xf numFmtId="0" fontId="80"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78" fillId="0" borderId="13" xfId="0" applyFont="1" applyFill="1" applyBorder="1" applyAlignment="1">
      <alignment vertical="center"/>
    </xf>
    <xf numFmtId="9" fontId="78" fillId="0" borderId="13" xfId="0" applyNumberFormat="1" applyFont="1" applyFill="1" applyBorder="1" applyAlignment="1">
      <alignment vertical="center"/>
    </xf>
    <xf numFmtId="0" fontId="7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78"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60" xfId="58" applyNumberFormat="1" applyFont="1" applyBorder="1" applyAlignment="1">
      <alignment vertical="center"/>
    </xf>
    <xf numFmtId="195" fontId="78" fillId="0" borderId="60" xfId="58" applyNumberFormat="1" applyFont="1" applyBorder="1" applyAlignment="1">
      <alignment vertical="center"/>
    </xf>
    <xf numFmtId="195" fontId="78"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9" xfId="58" applyNumberFormat="1" applyFont="1" applyFill="1" applyBorder="1" applyAlignment="1">
      <alignment vertical="center"/>
    </xf>
    <xf numFmtId="195" fontId="78" fillId="0" borderId="59" xfId="58" applyNumberFormat="1" applyFont="1" applyFill="1" applyBorder="1" applyAlignment="1">
      <alignment vertical="center"/>
    </xf>
    <xf numFmtId="195" fontId="78" fillId="0" borderId="13" xfId="58" applyNumberFormat="1" applyFont="1" applyFill="1" applyBorder="1" applyAlignment="1">
      <alignment vertical="center"/>
    </xf>
    <xf numFmtId="195" fontId="78" fillId="0" borderId="38" xfId="58" applyNumberFormat="1" applyFont="1" applyFill="1" applyBorder="1" applyAlignment="1">
      <alignment vertical="center"/>
    </xf>
    <xf numFmtId="198" fontId="0" fillId="0" borderId="0" xfId="63" applyNumberFormat="1" applyFont="1" applyFill="1" applyBorder="1" applyAlignment="1">
      <alignment vertical="center"/>
    </xf>
    <xf numFmtId="9" fontId="0" fillId="0" borderId="40" xfId="79" applyFont="1" applyFill="1" applyBorder="1" applyAlignment="1">
      <alignment vertical="center"/>
    </xf>
    <xf numFmtId="198" fontId="0" fillId="42" borderId="0" xfId="63" applyNumberFormat="1" applyFont="1" applyFill="1" applyBorder="1" applyAlignment="1">
      <alignment vertical="center"/>
    </xf>
    <xf numFmtId="198" fontId="0" fillId="42" borderId="0" xfId="0" applyNumberFormat="1" applyFont="1" applyFill="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9" fontId="10" fillId="0" borderId="0" xfId="72" applyNumberFormat="1" applyFont="1" applyFill="1" applyBorder="1" applyAlignment="1" applyProtection="1">
      <alignment vertical="center" wrapText="1"/>
      <protection/>
    </xf>
    <xf numFmtId="0" fontId="10" fillId="0" borderId="13" xfId="0" applyFont="1" applyFill="1" applyBorder="1" applyAlignment="1">
      <alignment vertical="center" wrapText="1"/>
    </xf>
    <xf numFmtId="9" fontId="10" fillId="0" borderId="13" xfId="79" applyFont="1" applyFill="1" applyBorder="1" applyAlignment="1">
      <alignment vertical="center"/>
    </xf>
    <xf numFmtId="0" fontId="14" fillId="0" borderId="62" xfId="72" applyFont="1" applyFill="1" applyBorder="1" applyAlignment="1">
      <alignment horizontal="center" vertical="center" wrapText="1"/>
      <protection/>
    </xf>
    <xf numFmtId="0" fontId="14" fillId="0" borderId="63" xfId="72" applyFont="1" applyFill="1" applyBorder="1" applyAlignment="1">
      <alignment horizontal="center" vertical="center" wrapText="1"/>
      <protection/>
    </xf>
    <xf numFmtId="0" fontId="14" fillId="0" borderId="64" xfId="72" applyFont="1" applyFill="1" applyBorder="1" applyAlignment="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65"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0" fontId="11" fillId="5" borderId="61" xfId="72" applyFont="1" applyFill="1" applyBorder="1" applyAlignment="1" applyProtection="1">
      <alignment horizontal="center" vertical="center" wrapText="1"/>
      <protection/>
    </xf>
    <xf numFmtId="0" fontId="11" fillId="5" borderId="66" xfId="72" applyFont="1" applyFill="1" applyBorder="1" applyAlignment="1" applyProtection="1">
      <alignment horizontal="center" vertical="center" wrapText="1"/>
      <protection/>
    </xf>
    <xf numFmtId="9" fontId="11" fillId="0" borderId="62" xfId="72" applyNumberFormat="1" applyFont="1" applyFill="1" applyBorder="1" applyAlignment="1" applyProtection="1">
      <alignment horizontal="center" vertical="center" wrapText="1"/>
      <protection/>
    </xf>
    <xf numFmtId="9" fontId="11" fillId="0" borderId="64"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5"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52" fillId="0" borderId="68" xfId="0" applyFont="1" applyFill="1" applyBorder="1" applyAlignment="1">
      <alignment horizontal="center" vertical="center"/>
    </xf>
    <xf numFmtId="0" fontId="52" fillId="0" borderId="69" xfId="0" applyFont="1" applyFill="1" applyBorder="1" applyAlignment="1">
      <alignment horizontal="center" vertical="center"/>
    </xf>
    <xf numFmtId="0" fontId="52" fillId="0" borderId="70" xfId="0" applyFont="1" applyFill="1" applyBorder="1" applyAlignment="1">
      <alignment horizontal="center" vertical="center"/>
    </xf>
    <xf numFmtId="0" fontId="11" fillId="0" borderId="67"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5"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0" fillId="0" borderId="67"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1" fillId="0" borderId="43" xfId="72" applyFont="1" applyFill="1" applyBorder="1" applyAlignment="1" applyProtection="1">
      <alignment horizontal="center" vertical="center"/>
      <protection/>
    </xf>
    <xf numFmtId="0" fontId="11" fillId="0" borderId="44" xfId="72" applyFont="1" applyFill="1" applyBorder="1" applyAlignment="1" applyProtection="1">
      <alignment horizontal="center" vertical="center"/>
      <protection/>
    </xf>
    <xf numFmtId="0" fontId="11" fillId="0" borderId="45" xfId="72" applyFont="1" applyFill="1" applyBorder="1" applyAlignment="1" applyProtection="1">
      <alignment horizontal="center" vertical="center"/>
      <protection/>
    </xf>
    <xf numFmtId="0" fontId="18" fillId="0" borderId="71" xfId="0" applyFont="1" applyFill="1" applyBorder="1" applyAlignment="1">
      <alignment horizontal="left" vertical="center" wrapText="1"/>
    </xf>
    <xf numFmtId="0" fontId="18" fillId="0" borderId="59"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61" xfId="72" applyFont="1" applyFill="1" applyBorder="1" applyAlignment="1" applyProtection="1">
      <alignment horizontal="center" vertical="center" wrapText="1"/>
      <protection/>
    </xf>
    <xf numFmtId="0" fontId="11" fillId="0" borderId="59" xfId="72" applyFont="1" applyFill="1" applyBorder="1" applyAlignment="1" applyProtection="1">
      <alignment horizontal="center" vertical="center" wrapText="1"/>
      <protection/>
    </xf>
    <xf numFmtId="0" fontId="11" fillId="0" borderId="60" xfId="72" applyFont="1" applyFill="1" applyBorder="1" applyAlignment="1" applyProtection="1">
      <alignment horizontal="center" vertical="center" wrapText="1"/>
      <protection/>
    </xf>
    <xf numFmtId="0" fontId="11" fillId="0" borderId="48"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86" fillId="0" borderId="72" xfId="0" applyFont="1" applyBorder="1" applyAlignment="1">
      <alignment horizontal="left" vertical="center" wrapText="1"/>
    </xf>
    <xf numFmtId="0" fontId="86" fillId="0" borderId="38" xfId="0" applyFont="1" applyBorder="1" applyAlignment="1">
      <alignment horizontal="left" vertical="center" wrapText="1"/>
    </xf>
    <xf numFmtId="0" fontId="86" fillId="0" borderId="50" xfId="0" applyFont="1" applyBorder="1" applyAlignment="1">
      <alignment horizontal="left" vertical="center" wrapText="1"/>
    </xf>
    <xf numFmtId="0" fontId="11" fillId="5" borderId="67"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5"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51" fillId="0" borderId="67" xfId="0" applyNumberFormat="1"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35" xfId="0" applyFont="1" applyFill="1" applyBorder="1" applyAlignment="1">
      <alignment horizontal="center" vertical="center"/>
    </xf>
    <xf numFmtId="0" fontId="77" fillId="0" borderId="58" xfId="0" applyFont="1" applyFill="1" applyBorder="1" applyAlignment="1">
      <alignment horizontal="center" vertical="center"/>
    </xf>
    <xf numFmtId="0" fontId="77" fillId="0" borderId="73" xfId="0" applyFont="1" applyFill="1" applyBorder="1" applyAlignment="1">
      <alignment horizontal="center" vertical="center"/>
    </xf>
    <xf numFmtId="0" fontId="77" fillId="0" borderId="74"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42" xfId="0" applyFont="1" applyFill="1" applyBorder="1" applyAlignment="1">
      <alignment horizontal="center" vertical="center"/>
    </xf>
    <xf numFmtId="0" fontId="77" fillId="0" borderId="75" xfId="0" applyFont="1" applyFill="1" applyBorder="1" applyAlignment="1">
      <alignment horizontal="center" vertical="center" wrapText="1"/>
    </xf>
    <xf numFmtId="0" fontId="77" fillId="0" borderId="76" xfId="0" applyFont="1" applyFill="1" applyBorder="1" applyAlignment="1">
      <alignment horizontal="center" vertical="center" wrapText="1"/>
    </xf>
    <xf numFmtId="0" fontId="77" fillId="0" borderId="75" xfId="0" applyFont="1" applyFill="1" applyBorder="1" applyAlignment="1">
      <alignment horizontal="center" vertical="center"/>
    </xf>
    <xf numFmtId="0" fontId="77" fillId="0" borderId="76" xfId="0" applyFont="1" applyFill="1" applyBorder="1" applyAlignment="1">
      <alignment horizontal="center" vertical="center"/>
    </xf>
    <xf numFmtId="0" fontId="77" fillId="0" borderId="58" xfId="0" applyFont="1" applyFill="1" applyBorder="1" applyAlignment="1">
      <alignment horizontal="center" vertical="center" wrapText="1"/>
    </xf>
    <xf numFmtId="0" fontId="77" fillId="0" borderId="73" xfId="0" applyFont="1" applyFill="1" applyBorder="1" applyAlignment="1">
      <alignment horizontal="center" vertical="center" wrapText="1"/>
    </xf>
    <xf numFmtId="0" fontId="11" fillId="38" borderId="61" xfId="72" applyFont="1" applyFill="1" applyBorder="1" applyAlignment="1" applyProtection="1">
      <alignment horizontal="center" vertical="center" wrapText="1"/>
      <protection/>
    </xf>
    <xf numFmtId="0" fontId="11" fillId="38" borderId="71" xfId="72" applyFont="1" applyFill="1" applyBorder="1" applyAlignment="1" applyProtection="1">
      <alignment horizontal="center" vertical="center" wrapText="1"/>
      <protection/>
    </xf>
    <xf numFmtId="0" fontId="11" fillId="38" borderId="59" xfId="72" applyFont="1" applyFill="1" applyBorder="1" applyAlignment="1" applyProtection="1">
      <alignment horizontal="center" vertical="center" wrapText="1"/>
      <protection/>
    </xf>
    <xf numFmtId="0" fontId="11" fillId="38" borderId="60"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62" xfId="72" applyFont="1" applyFill="1" applyBorder="1" applyAlignment="1">
      <alignment horizontal="center" vertical="center" wrapText="1"/>
      <protection/>
    </xf>
    <xf numFmtId="0" fontId="11" fillId="0" borderId="63" xfId="72" applyFont="1" applyFill="1" applyBorder="1" applyAlignment="1">
      <alignment horizontal="center" vertical="center" wrapText="1"/>
      <protection/>
    </xf>
    <xf numFmtId="0" fontId="11" fillId="0" borderId="6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1" fillId="5" borderId="62" xfId="72" applyFont="1" applyFill="1" applyBorder="1" applyAlignment="1">
      <alignment horizontal="left" vertical="center" wrapText="1"/>
      <protection/>
    </xf>
    <xf numFmtId="0" fontId="11" fillId="5" borderId="64" xfId="72" applyFont="1" applyFill="1" applyBorder="1" applyAlignment="1">
      <alignment horizontal="left" vertical="center" wrapText="1"/>
      <protection/>
    </xf>
    <xf numFmtId="0" fontId="10" fillId="0" borderId="62" xfId="72"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54" xfId="72" applyFont="1" applyFill="1" applyBorder="1" applyAlignment="1" applyProtection="1">
      <alignment horizontal="center" vertical="center" wrapText="1"/>
      <protection/>
    </xf>
    <xf numFmtId="0" fontId="11" fillId="5" borderId="78"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43" xfId="72" applyFont="1" applyFill="1" applyBorder="1" applyAlignment="1">
      <alignment horizontal="center" vertical="center" wrapText="1"/>
      <protection/>
    </xf>
    <xf numFmtId="0" fontId="11" fillId="0" borderId="44" xfId="72" applyFont="1" applyFill="1" applyBorder="1" applyAlignment="1">
      <alignment horizontal="center" vertical="center" wrapText="1"/>
      <protection/>
    </xf>
    <xf numFmtId="0" fontId="11" fillId="0" borderId="45" xfId="72" applyFont="1" applyFill="1" applyBorder="1" applyAlignment="1">
      <alignment horizontal="center" vertical="center" wrapText="1"/>
      <protection/>
    </xf>
    <xf numFmtId="1" fontId="11" fillId="0" borderId="62" xfId="79" applyNumberFormat="1" applyFont="1" applyFill="1" applyBorder="1" applyAlignment="1" applyProtection="1">
      <alignment horizontal="center" vertical="center" wrapText="1"/>
      <protection/>
    </xf>
    <xf numFmtId="1" fontId="11" fillId="0" borderId="64" xfId="79" applyNumberFormat="1" applyFont="1" applyFill="1" applyBorder="1" applyAlignment="1" applyProtection="1">
      <alignment horizontal="center" vertical="center" wrapText="1"/>
      <protection/>
    </xf>
    <xf numFmtId="3" fontId="11" fillId="0" borderId="77" xfId="72" applyNumberFormat="1" applyFont="1" applyFill="1" applyBorder="1" applyAlignment="1" applyProtection="1">
      <alignment horizontal="center" vertical="center" wrapText="1"/>
      <protection/>
    </xf>
    <xf numFmtId="3" fontId="11" fillId="0" borderId="47" xfId="72" applyNumberFormat="1" applyFont="1" applyFill="1" applyBorder="1" applyAlignment="1" applyProtection="1">
      <alignment horizontal="center" vertical="center" wrapText="1"/>
      <protection/>
    </xf>
    <xf numFmtId="0" fontId="79" fillId="0" borderId="13" xfId="72" applyFont="1" applyFill="1" applyBorder="1" applyAlignment="1" applyProtection="1">
      <alignment horizontal="left" vertical="center" wrapText="1"/>
      <protection/>
    </xf>
    <xf numFmtId="0" fontId="79" fillId="0" borderId="21" xfId="72" applyFont="1" applyFill="1" applyBorder="1" applyAlignment="1" applyProtection="1">
      <alignment horizontal="left" vertical="center" wrapText="1"/>
      <protection/>
    </xf>
    <xf numFmtId="0" fontId="10" fillId="5" borderId="13"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0" borderId="37" xfId="72" applyFont="1" applyFill="1" applyBorder="1" applyAlignment="1" applyProtection="1">
      <alignment horizontal="center" vertical="center" wrapText="1"/>
      <protection/>
    </xf>
    <xf numFmtId="0" fontId="11" fillId="0" borderId="79"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7" xfId="81" applyFont="1" applyFill="1" applyBorder="1" applyAlignment="1" applyProtection="1">
      <alignment horizontal="center" vertical="center" wrapText="1"/>
      <protection/>
    </xf>
    <xf numFmtId="9" fontId="10" fillId="0" borderId="81"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7" xfId="81" applyFont="1" applyFill="1" applyBorder="1" applyAlignment="1" applyProtection="1">
      <alignment horizontal="left" vertical="center" wrapText="1"/>
      <protection/>
    </xf>
    <xf numFmtId="9" fontId="10" fillId="0" borderId="81"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0" fontId="11" fillId="5" borderId="55"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7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9" fontId="10" fillId="0" borderId="51"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2" fontId="10" fillId="38" borderId="37" xfId="72" applyNumberFormat="1" applyFont="1" applyFill="1" applyBorder="1" applyAlignment="1" applyProtection="1">
      <alignment horizontal="left" vertical="center" wrapText="1"/>
      <protection/>
    </xf>
    <xf numFmtId="2" fontId="10" fillId="38" borderId="79" xfId="72" applyNumberFormat="1" applyFont="1" applyFill="1" applyBorder="1" applyAlignment="1" applyProtection="1">
      <alignment horizontal="left" vertical="center" wrapText="1"/>
      <protection/>
    </xf>
    <xf numFmtId="9" fontId="10" fillId="0" borderId="80" xfId="79" applyFont="1" applyFill="1" applyBorder="1" applyAlignment="1" applyProtection="1">
      <alignment horizontal="center" vertical="center" wrapText="1"/>
      <protection/>
    </xf>
    <xf numFmtId="2" fontId="10" fillId="38" borderId="20" xfId="72" applyNumberFormat="1" applyFont="1" applyFill="1" applyBorder="1" applyAlignment="1" applyProtection="1">
      <alignment vertical="center" wrapText="1"/>
      <protection/>
    </xf>
    <xf numFmtId="2" fontId="10" fillId="38" borderId="48" xfId="72" applyNumberFormat="1" applyFont="1" applyFill="1" applyBorder="1" applyAlignment="1" applyProtection="1">
      <alignment vertical="center" wrapText="1"/>
      <protection/>
    </xf>
    <xf numFmtId="9" fontId="10" fillId="0" borderId="77"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83" xfId="72" applyNumberFormat="1" applyFont="1" applyFill="1" applyBorder="1" applyAlignment="1" applyProtection="1">
      <alignment horizontal="left" vertical="center" wrapText="1"/>
      <protection/>
    </xf>
    <xf numFmtId="9" fontId="10" fillId="0" borderId="81"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9" fontId="10" fillId="0" borderId="85"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9" fontId="79" fillId="0" borderId="77" xfId="81" applyFont="1" applyFill="1" applyBorder="1" applyAlignment="1" applyProtection="1">
      <alignment horizontal="center" vertical="center" wrapText="1"/>
      <protection/>
    </xf>
    <xf numFmtId="9" fontId="79" fillId="0" borderId="41" xfId="81" applyFont="1" applyFill="1" applyBorder="1" applyAlignment="1" applyProtection="1">
      <alignment horizontal="center" vertical="center" wrapText="1"/>
      <protection/>
    </xf>
    <xf numFmtId="9" fontId="79" fillId="0" borderId="47" xfId="81" applyFont="1" applyFill="1" applyBorder="1" applyAlignment="1" applyProtection="1">
      <alignment horizontal="center" vertical="center" wrapText="1"/>
      <protection/>
    </xf>
    <xf numFmtId="9" fontId="79" fillId="0" borderId="81" xfId="81" applyFont="1" applyFill="1" applyBorder="1" applyAlignment="1" applyProtection="1">
      <alignment horizontal="center" vertical="center" wrapText="1"/>
      <protection/>
    </xf>
    <xf numFmtId="9" fontId="79" fillId="0" borderId="34" xfId="81" applyFont="1" applyFill="1" applyBorder="1" applyAlignment="1" applyProtection="1">
      <alignment horizontal="center" vertical="center" wrapText="1"/>
      <protection/>
    </xf>
    <xf numFmtId="9" fontId="79" fillId="0" borderId="82" xfId="81" applyFont="1" applyFill="1" applyBorder="1" applyAlignment="1" applyProtection="1">
      <alignment horizontal="center" vertical="center" wrapText="1"/>
      <protection/>
    </xf>
    <xf numFmtId="0" fontId="11" fillId="0" borderId="58" xfId="72" applyFont="1" applyFill="1" applyBorder="1" applyAlignment="1" applyProtection="1">
      <alignment horizontal="center" vertical="center" wrapText="1"/>
      <protection/>
    </xf>
    <xf numFmtId="0" fontId="11" fillId="0" borderId="84" xfId="72" applyFont="1" applyFill="1" applyBorder="1" applyAlignment="1" applyProtection="1">
      <alignment horizontal="center" vertical="center" wrapText="1"/>
      <protection/>
    </xf>
    <xf numFmtId="0" fontId="11" fillId="0" borderId="73"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73" xfId="0" applyFont="1" applyFill="1" applyBorder="1" applyAlignment="1">
      <alignment horizontal="center" vertical="center"/>
    </xf>
    <xf numFmtId="0" fontId="80" fillId="0" borderId="74" xfId="0" applyFont="1" applyFill="1" applyBorder="1" applyAlignment="1">
      <alignment horizontal="center" vertical="center" wrapText="1"/>
    </xf>
    <xf numFmtId="0" fontId="80" fillId="0" borderId="42" xfId="0" applyFont="1" applyFill="1" applyBorder="1" applyAlignment="1">
      <alignment horizontal="center" vertical="center" wrapText="1"/>
    </xf>
    <xf numFmtId="0" fontId="78" fillId="0" borderId="74" xfId="0" applyFont="1" applyFill="1" applyBorder="1" applyAlignment="1">
      <alignment horizontal="center" vertical="center"/>
    </xf>
    <xf numFmtId="0" fontId="78" fillId="0" borderId="42" xfId="0" applyFont="1" applyFill="1" applyBorder="1" applyAlignment="1">
      <alignment horizontal="center" vertical="center"/>
    </xf>
    <xf numFmtId="0" fontId="80" fillId="0" borderId="75" xfId="0" applyFont="1" applyFill="1" applyBorder="1" applyAlignment="1">
      <alignment horizontal="center" vertical="center" wrapText="1"/>
    </xf>
    <xf numFmtId="0" fontId="80" fillId="0" borderId="76" xfId="0" applyFont="1" applyFill="1" applyBorder="1" applyAlignment="1">
      <alignment horizontal="center" vertical="center" wrapText="1"/>
    </xf>
    <xf numFmtId="0" fontId="80" fillId="0" borderId="75" xfId="0" applyFont="1" applyFill="1" applyBorder="1" applyAlignment="1">
      <alignment horizontal="center" vertical="center"/>
    </xf>
    <xf numFmtId="0" fontId="80" fillId="0" borderId="76" xfId="0" applyFont="1" applyFill="1" applyBorder="1" applyAlignment="1">
      <alignment horizontal="center" vertical="center"/>
    </xf>
    <xf numFmtId="14" fontId="11" fillId="0" borderId="67" xfId="0" applyNumberFormat="1"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35" xfId="0" applyFont="1" applyFill="1" applyBorder="1" applyAlignment="1">
      <alignment horizontal="center" vertical="center"/>
    </xf>
    <xf numFmtId="0" fontId="80" fillId="0" borderId="58" xfId="0" applyFont="1" applyFill="1" applyBorder="1" applyAlignment="1">
      <alignment horizontal="center" vertical="center" wrapText="1"/>
    </xf>
    <xf numFmtId="0" fontId="80" fillId="0" borderId="73" xfId="0" applyFont="1" applyFill="1" applyBorder="1" applyAlignment="1">
      <alignment horizontal="center" vertical="center" wrapText="1"/>
    </xf>
    <xf numFmtId="9" fontId="11" fillId="0" borderId="22" xfId="72" applyNumberFormat="1" applyFont="1" applyBorder="1" applyAlignment="1">
      <alignment horizontal="center" vertical="center" wrapText="1"/>
      <protection/>
    </xf>
    <xf numFmtId="9" fontId="11" fillId="0" borderId="80" xfId="72" applyNumberFormat="1" applyFont="1" applyBorder="1" applyAlignment="1">
      <alignment horizontal="center" vertical="center" wrapText="1"/>
      <protection/>
    </xf>
    <xf numFmtId="9" fontId="11" fillId="0" borderId="62" xfId="79" applyFont="1" applyFill="1" applyBorder="1" applyAlignment="1" applyProtection="1">
      <alignment horizontal="center" vertical="center" wrapText="1"/>
      <protection/>
    </xf>
    <xf numFmtId="9" fontId="11" fillId="0" borderId="64" xfId="79"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left" vertical="center" wrapText="1"/>
      <protection/>
    </xf>
    <xf numFmtId="2" fontId="10" fillId="0" borderId="79" xfId="72" applyNumberFormat="1" applyFont="1" applyFill="1" applyBorder="1" applyAlignment="1" applyProtection="1">
      <alignment horizontal="left"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9" fontId="10" fillId="0" borderId="38" xfId="72" applyNumberFormat="1" applyFont="1" applyFill="1" applyBorder="1" applyAlignment="1" applyProtection="1">
      <alignment horizontal="left" vertical="center" wrapText="1"/>
      <protection/>
    </xf>
    <xf numFmtId="9" fontId="10" fillId="0" borderId="50" xfId="72" applyNumberFormat="1" applyFont="1" applyFill="1" applyBorder="1" applyAlignment="1" applyProtection="1">
      <alignment horizontal="left"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8"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5"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2" xfId="66" applyNumberFormat="1" applyFont="1" applyFill="1" applyBorder="1" applyAlignment="1" applyProtection="1">
      <alignment horizontal="center" vertical="center" wrapText="1"/>
      <protection/>
    </xf>
    <xf numFmtId="0" fontId="11" fillId="38" borderId="74" xfId="72" applyFont="1" applyFill="1" applyBorder="1" applyAlignment="1" applyProtection="1">
      <alignment horizontal="center" vertical="center" wrapText="1"/>
      <protection/>
    </xf>
    <xf numFmtId="0" fontId="11" fillId="38" borderId="78"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0" fillId="0" borderId="70"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0" fillId="0" borderId="72" xfId="0" applyFont="1" applyBorder="1" applyAlignment="1">
      <alignment horizontal="left" vertical="center" wrapText="1"/>
    </xf>
    <xf numFmtId="0" fontId="80" fillId="0" borderId="38" xfId="0" applyFont="1" applyBorder="1" applyAlignment="1">
      <alignment horizontal="left" vertical="center" wrapText="1"/>
    </xf>
    <xf numFmtId="0" fontId="80" fillId="0" borderId="50" xfId="0" applyFont="1" applyBorder="1" applyAlignment="1">
      <alignment horizontal="left" vertical="center" wrapText="1"/>
    </xf>
    <xf numFmtId="0" fontId="11" fillId="5" borderId="67"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5"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0" fillId="0" borderId="58" xfId="0" applyFont="1" applyFill="1" applyBorder="1" applyAlignment="1">
      <alignment horizontal="center" vertical="center"/>
    </xf>
    <xf numFmtId="0" fontId="0" fillId="0" borderId="73"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79" xfId="0" applyFont="1" applyFill="1" applyBorder="1" applyAlignment="1">
      <alignment vertical="center" wrapText="1"/>
    </xf>
    <xf numFmtId="0" fontId="11" fillId="38" borderId="0"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79" fillId="0" borderId="77" xfId="72" applyNumberFormat="1" applyFont="1" applyFill="1" applyBorder="1" applyAlignment="1" applyProtection="1">
      <alignment horizontal="left" vertical="center" wrapText="1"/>
      <protection/>
    </xf>
    <xf numFmtId="9" fontId="79" fillId="0" borderId="41" xfId="72" applyNumberFormat="1" applyFont="1" applyFill="1" applyBorder="1" applyAlignment="1" applyProtection="1">
      <alignment horizontal="left" vertical="center" wrapText="1"/>
      <protection/>
    </xf>
    <xf numFmtId="9" fontId="79" fillId="0" borderId="83" xfId="72" applyNumberFormat="1" applyFont="1" applyFill="1" applyBorder="1" applyAlignment="1" applyProtection="1">
      <alignment horizontal="left" vertical="center" wrapText="1"/>
      <protection/>
    </xf>
    <xf numFmtId="9" fontId="79" fillId="0" borderId="85" xfId="72" applyNumberFormat="1" applyFont="1" applyFill="1" applyBorder="1" applyAlignment="1" applyProtection="1">
      <alignment horizontal="left" vertical="center" wrapText="1"/>
      <protection/>
    </xf>
    <xf numFmtId="9" fontId="79" fillId="0" borderId="0" xfId="72" applyNumberFormat="1" applyFont="1" applyFill="1" applyBorder="1" applyAlignment="1" applyProtection="1">
      <alignment horizontal="left" vertical="center" wrapText="1"/>
      <protection/>
    </xf>
    <xf numFmtId="9" fontId="79" fillId="0" borderId="29" xfId="72" applyNumberFormat="1" applyFont="1" applyFill="1" applyBorder="1" applyAlignment="1" applyProtection="1">
      <alignment horizontal="left" vertical="center" wrapText="1"/>
      <protection/>
    </xf>
    <xf numFmtId="0" fontId="83" fillId="0" borderId="68" xfId="0" applyFont="1" applyFill="1" applyBorder="1" applyAlignment="1">
      <alignment horizontal="center" vertical="center"/>
    </xf>
    <xf numFmtId="0" fontId="83" fillId="0" borderId="70"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5"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80" xfId="72" applyNumberFormat="1" applyFont="1" applyFill="1" applyBorder="1" applyAlignment="1" applyProtection="1">
      <alignment horizontal="center" vertical="center" wrapText="1"/>
      <protection/>
    </xf>
    <xf numFmtId="9" fontId="79" fillId="0" borderId="77" xfId="72" applyNumberFormat="1" applyFont="1" applyFill="1" applyBorder="1" applyAlignment="1" applyProtection="1">
      <alignment horizontal="center" vertical="center" wrapText="1"/>
      <protection/>
    </xf>
    <xf numFmtId="9" fontId="79" fillId="0" borderId="41" xfId="72" applyNumberFormat="1" applyFont="1" applyFill="1" applyBorder="1" applyAlignment="1" applyProtection="1">
      <alignment horizontal="center" vertical="center" wrapText="1"/>
      <protection/>
    </xf>
    <xf numFmtId="9" fontId="79" fillId="0" borderId="83" xfId="72" applyNumberFormat="1" applyFont="1" applyFill="1" applyBorder="1" applyAlignment="1" applyProtection="1">
      <alignment horizontal="center" vertical="center" wrapText="1"/>
      <protection/>
    </xf>
    <xf numFmtId="9" fontId="79" fillId="0" borderId="81" xfId="72" applyNumberFormat="1" applyFont="1" applyFill="1" applyBorder="1" applyAlignment="1" applyProtection="1">
      <alignment horizontal="center" vertical="center" wrapText="1"/>
      <protection/>
    </xf>
    <xf numFmtId="9" fontId="79" fillId="0" borderId="34" xfId="72" applyNumberFormat="1" applyFont="1" applyFill="1" applyBorder="1" applyAlignment="1" applyProtection="1">
      <alignment horizontal="center" vertical="center" wrapText="1"/>
      <protection/>
    </xf>
    <xf numFmtId="9" fontId="79" fillId="0" borderId="35" xfId="72" applyNumberFormat="1" applyFont="1" applyFill="1" applyBorder="1" applyAlignment="1" applyProtection="1">
      <alignment horizontal="center" vertical="center" wrapText="1"/>
      <protection/>
    </xf>
    <xf numFmtId="9" fontId="79" fillId="0" borderId="85" xfId="72" applyNumberFormat="1" applyFont="1" applyFill="1" applyBorder="1" applyAlignment="1" applyProtection="1">
      <alignment horizontal="center" vertical="center" wrapText="1"/>
      <protection/>
    </xf>
    <xf numFmtId="9" fontId="79" fillId="0" borderId="0" xfId="72" applyNumberFormat="1" applyFont="1" applyFill="1" applyBorder="1" applyAlignment="1" applyProtection="1">
      <alignment horizontal="center" vertical="center" wrapText="1"/>
      <protection/>
    </xf>
    <xf numFmtId="9" fontId="79" fillId="0" borderId="29"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0" fontId="11" fillId="0" borderId="71"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67"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79" fillId="0" borderId="83" xfId="81" applyFont="1" applyFill="1" applyBorder="1" applyAlignment="1" applyProtection="1">
      <alignment horizontal="center" vertical="center" wrapText="1"/>
      <protection/>
    </xf>
    <xf numFmtId="9" fontId="79"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3" fillId="0" borderId="67" xfId="0" applyFont="1" applyFill="1" applyBorder="1" applyAlignment="1">
      <alignment horizontal="center" vertical="center"/>
    </xf>
    <xf numFmtId="0" fontId="83" fillId="0" borderId="27"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35" xfId="0" applyFont="1" applyFill="1" applyBorder="1" applyAlignment="1">
      <alignment horizontal="center" vertical="center"/>
    </xf>
    <xf numFmtId="2" fontId="10" fillId="0" borderId="48"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80" xfId="72"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11" fillId="11" borderId="51"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80" fillId="11" borderId="14" xfId="0" applyFont="1" applyFill="1" applyBorder="1" applyAlignment="1">
      <alignment horizontal="center" vertical="center"/>
    </xf>
    <xf numFmtId="0" fontId="80" fillId="11" borderId="78" xfId="0" applyFont="1" applyFill="1" applyBorder="1" applyAlignment="1">
      <alignment horizontal="center" vertical="center"/>
    </xf>
    <xf numFmtId="0" fontId="80" fillId="11" borderId="17" xfId="0" applyFont="1" applyFill="1" applyBorder="1" applyAlignment="1">
      <alignment horizontal="center" vertical="center"/>
    </xf>
    <xf numFmtId="0" fontId="80" fillId="11" borderId="13" xfId="0" applyFont="1" applyFill="1" applyBorder="1" applyAlignment="1">
      <alignment horizontal="center" vertical="center"/>
    </xf>
    <xf numFmtId="14" fontId="85" fillId="0" borderId="13" xfId="0" applyNumberFormat="1" applyFont="1" applyFill="1" applyBorder="1" applyAlignment="1">
      <alignment horizontal="center" vertical="center"/>
    </xf>
    <xf numFmtId="0" fontId="85" fillId="0" borderId="13" xfId="0" applyFont="1" applyFill="1" applyBorder="1" applyAlignment="1">
      <alignment horizontal="center" vertical="center"/>
    </xf>
    <xf numFmtId="0" fontId="80" fillId="11" borderId="77" xfId="0" applyFont="1" applyFill="1" applyBorder="1" applyAlignment="1">
      <alignment horizontal="center" vertical="center"/>
    </xf>
    <xf numFmtId="0" fontId="80" fillId="11" borderId="47" xfId="0" applyFont="1" applyFill="1" applyBorder="1" applyAlignment="1">
      <alignment horizontal="center" vertical="center"/>
    </xf>
    <xf numFmtId="0" fontId="80" fillId="11" borderId="85" xfId="0" applyFont="1" applyFill="1" applyBorder="1" applyAlignment="1">
      <alignment horizontal="center" vertical="center"/>
    </xf>
    <xf numFmtId="0" fontId="80" fillId="11" borderId="87" xfId="0" applyFont="1" applyFill="1" applyBorder="1" applyAlignment="1">
      <alignment horizontal="center" vertical="center"/>
    </xf>
    <xf numFmtId="0" fontId="80" fillId="11" borderId="39" xfId="0" applyFont="1" applyFill="1" applyBorder="1" applyAlignment="1">
      <alignment horizontal="center" vertical="center"/>
    </xf>
    <xf numFmtId="0" fontId="80" fillId="11" borderId="54" xfId="0" applyFont="1" applyFill="1" applyBorder="1" applyAlignment="1">
      <alignment horizontal="center" vertical="center"/>
    </xf>
    <xf numFmtId="0" fontId="80" fillId="0" borderId="13" xfId="0" applyFont="1" applyFill="1" applyBorder="1" applyAlignment="1">
      <alignment horizontal="center" vertical="center" wrapText="1"/>
    </xf>
    <xf numFmtId="0" fontId="80" fillId="11" borderId="14" xfId="0" applyFont="1" applyFill="1" applyBorder="1" applyAlignment="1">
      <alignment horizontal="left" vertical="center"/>
    </xf>
    <xf numFmtId="0" fontId="80" fillId="11" borderId="78" xfId="0" applyFont="1" applyFill="1" applyBorder="1" applyAlignment="1">
      <alignment horizontal="left" vertical="center"/>
    </xf>
    <xf numFmtId="0" fontId="80" fillId="11" borderId="17" xfId="0" applyFont="1" applyFill="1" applyBorder="1" applyAlignment="1">
      <alignment horizontal="left" vertical="center"/>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78" fillId="0" borderId="78" xfId="0" applyFont="1" applyBorder="1" applyAlignment="1">
      <alignment horizontal="center" vertical="center"/>
    </xf>
    <xf numFmtId="0" fontId="78" fillId="0" borderId="17" xfId="0" applyFont="1" applyBorder="1" applyAlignment="1">
      <alignment horizontal="center" vertical="center"/>
    </xf>
    <xf numFmtId="0" fontId="78" fillId="0" borderId="14" xfId="0" applyFont="1" applyBorder="1" applyAlignment="1">
      <alignment horizontal="center" vertical="center"/>
    </xf>
    <xf numFmtId="0" fontId="80" fillId="11" borderId="22" xfId="0" applyFont="1" applyFill="1" applyBorder="1" applyAlignment="1">
      <alignment horizontal="center" vertical="center" wrapText="1"/>
    </xf>
    <xf numFmtId="0" fontId="80" fillId="11" borderId="16" xfId="0" applyFont="1" applyFill="1" applyBorder="1" applyAlignment="1">
      <alignment horizontal="center" vertical="center" wrapText="1"/>
    </xf>
    <xf numFmtId="0" fontId="11" fillId="41" borderId="13" xfId="72" applyFont="1" applyFill="1" applyBorder="1" applyAlignment="1">
      <alignment horizontal="center" vertical="center" wrapText="1"/>
      <protection/>
    </xf>
    <xf numFmtId="0" fontId="80" fillId="11" borderId="51"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80" fillId="11" borderId="41" xfId="0" applyFont="1" applyFill="1" applyBorder="1" applyAlignment="1">
      <alignment horizontal="center" vertical="center"/>
    </xf>
    <xf numFmtId="0" fontId="80" fillId="11" borderId="0" xfId="0" applyFont="1" applyFill="1" applyBorder="1" applyAlignment="1">
      <alignment horizontal="center" vertical="center"/>
    </xf>
    <xf numFmtId="0" fontId="80" fillId="11" borderId="15" xfId="0" applyFont="1" applyFill="1" applyBorder="1" applyAlignment="1">
      <alignment horizontal="center" vertical="center"/>
    </xf>
    <xf numFmtId="0" fontId="80" fillId="41" borderId="13" xfId="72" applyFont="1" applyFill="1" applyBorder="1" applyAlignment="1">
      <alignment horizontal="center" vertical="center" wrapText="1"/>
      <protection/>
    </xf>
    <xf numFmtId="0" fontId="78" fillId="0" borderId="14" xfId="0" applyFont="1" applyBorder="1" applyAlignment="1">
      <alignment horizontal="left" vertical="center"/>
    </xf>
    <xf numFmtId="0" fontId="78" fillId="0" borderId="78" xfId="0" applyFont="1" applyBorder="1" applyAlignment="1">
      <alignment horizontal="left" vertical="center"/>
    </xf>
    <xf numFmtId="0" fontId="78" fillId="0" borderId="17" xfId="0" applyFont="1" applyBorder="1" applyAlignment="1">
      <alignment horizontal="left" vertical="center"/>
    </xf>
    <xf numFmtId="0" fontId="80" fillId="11" borderId="14" xfId="0" applyFont="1" applyFill="1" applyBorder="1" applyAlignment="1">
      <alignment horizontal="center" vertical="center" wrapText="1"/>
    </xf>
    <xf numFmtId="0" fontId="80" fillId="11" borderId="78" xfId="0" applyFont="1" applyFill="1" applyBorder="1" applyAlignment="1">
      <alignment horizontal="center" vertical="center" wrapText="1"/>
    </xf>
    <xf numFmtId="0" fontId="80"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0" fillId="0" borderId="13" xfId="0" applyFont="1" applyBorder="1" applyAlignment="1">
      <alignment horizontal="left" vertical="center" wrapText="1"/>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54" xfId="0" applyFont="1" applyBorder="1" applyAlignment="1">
      <alignment horizontal="center" vertical="center"/>
    </xf>
    <xf numFmtId="0" fontId="80" fillId="11" borderId="39" xfId="0" applyFont="1" applyFill="1" applyBorder="1" applyAlignment="1">
      <alignment horizontal="left" vertical="center"/>
    </xf>
    <xf numFmtId="0" fontId="80" fillId="11" borderId="15" xfId="0" applyFont="1" applyFill="1" applyBorder="1" applyAlignment="1">
      <alignment horizontal="left" vertical="center"/>
    </xf>
    <xf numFmtId="0" fontId="80" fillId="11" borderId="54" xfId="0" applyFont="1" applyFill="1" applyBorder="1" applyAlignment="1">
      <alignment horizontal="left" vertical="center"/>
    </xf>
    <xf numFmtId="0" fontId="80" fillId="0" borderId="14" xfId="0" applyFont="1" applyFill="1" applyBorder="1" applyAlignment="1">
      <alignment horizontal="center" vertical="center"/>
    </xf>
    <xf numFmtId="0" fontId="80" fillId="0" borderId="78"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77" xfId="0" applyFont="1" applyBorder="1" applyAlignment="1">
      <alignment horizontal="center" vertical="center"/>
    </xf>
    <xf numFmtId="0" fontId="80" fillId="0" borderId="41" xfId="0" applyFont="1" applyBorder="1" applyAlignment="1">
      <alignment horizontal="center" vertical="center"/>
    </xf>
    <xf numFmtId="0" fontId="80" fillId="0" borderId="47"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8" xfId="0" applyFont="1" applyFill="1" applyBorder="1" applyAlignment="1">
      <alignment horizontal="center" vertical="center" wrapText="1"/>
    </xf>
    <xf numFmtId="0" fontId="80" fillId="0" borderId="13" xfId="0" applyFont="1" applyBorder="1" applyAlignment="1">
      <alignment horizontal="center" vertical="center"/>
    </xf>
    <xf numFmtId="0" fontId="80" fillId="0" borderId="77" xfId="0" applyFont="1" applyBorder="1" applyAlignment="1">
      <alignment vertical="center" wrapText="1"/>
    </xf>
    <xf numFmtId="0" fontId="80" fillId="0" borderId="41" xfId="0" applyFont="1" applyBorder="1" applyAlignment="1">
      <alignment vertical="center" wrapText="1"/>
    </xf>
    <xf numFmtId="0" fontId="80" fillId="0" borderId="47"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0" fillId="17" borderId="14" xfId="0" applyFont="1" applyFill="1" applyBorder="1" applyAlignment="1">
      <alignment horizontal="center" vertical="center"/>
    </xf>
    <xf numFmtId="0" fontId="80" fillId="17" borderId="17" xfId="0" applyFont="1" applyFill="1" applyBorder="1" applyAlignment="1">
      <alignment horizontal="center" vertical="center"/>
    </xf>
    <xf numFmtId="0" fontId="80" fillId="0" borderId="14"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51" xfId="0" applyFont="1" applyFill="1" applyBorder="1" applyAlignment="1">
      <alignment horizontal="left" vertical="center" wrapText="1"/>
    </xf>
    <xf numFmtId="0" fontId="78" fillId="0" borderId="16" xfId="0" applyFont="1" applyFill="1" applyBorder="1" applyAlignment="1">
      <alignment horizontal="left" vertical="center" wrapText="1"/>
    </xf>
    <xf numFmtId="41" fontId="78" fillId="0" borderId="77" xfId="60" applyFont="1" applyFill="1" applyBorder="1" applyAlignment="1">
      <alignment horizontal="left" vertical="center"/>
    </xf>
    <xf numFmtId="41" fontId="78" fillId="0" borderId="85" xfId="60" applyFont="1" applyFill="1" applyBorder="1" applyAlignment="1">
      <alignment horizontal="left" vertical="center"/>
    </xf>
    <xf numFmtId="41" fontId="78" fillId="0" borderId="39" xfId="60" applyFont="1" applyFill="1" applyBorder="1" applyAlignment="1">
      <alignment horizontal="left" vertical="center"/>
    </xf>
    <xf numFmtId="0" fontId="0" fillId="0" borderId="87" xfId="0" applyBorder="1" applyAlignment="1">
      <alignment horizontal="center"/>
    </xf>
    <xf numFmtId="0" fontId="0" fillId="37" borderId="87"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7"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22110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85725"/>
          <a:ext cx="11715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542925</xdr:colOff>
      <xdr:row>30</xdr:row>
      <xdr:rowOff>28575</xdr:rowOff>
    </xdr:from>
    <xdr:to>
      <xdr:col>6</xdr:col>
      <xdr:colOff>219075</xdr:colOff>
      <xdr:row>30</xdr:row>
      <xdr:rowOff>504825</xdr:rowOff>
    </xdr:to>
    <xdr:pic>
      <xdr:nvPicPr>
        <xdr:cNvPr id="1" name="Imagen 1"/>
        <xdr:cNvPicPr preferRelativeResize="1">
          <a:picLocks noChangeAspect="1"/>
        </xdr:cNvPicPr>
      </xdr:nvPicPr>
      <xdr:blipFill>
        <a:blip r:embed="rId1"/>
        <a:stretch>
          <a:fillRect/>
        </a:stretch>
      </xdr:blipFill>
      <xdr:spPr>
        <a:xfrm>
          <a:off x="3038475" y="35785425"/>
          <a:ext cx="1333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tabSelected="1" zoomScale="65" zoomScaleNormal="65" workbookViewId="0" topLeftCell="A1">
      <selection activeCell="Q38" sqref="Q38:AD4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hidden="1" customWidth="1"/>
    <col min="33" max="33" width="18.421875" style="52" hidden="1" customWidth="1"/>
    <col min="34" max="34" width="8.421875" style="52" customWidth="1"/>
    <col min="35" max="35" width="18.421875" style="52" bestFit="1" customWidth="1"/>
    <col min="36" max="36" width="17.14062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345" t="s">
        <v>45</v>
      </c>
      <c r="D7" s="381" t="s">
        <v>71</v>
      </c>
      <c r="E7" s="387"/>
      <c r="F7" s="387"/>
      <c r="G7" s="387"/>
      <c r="H7" s="382"/>
      <c r="I7" s="390">
        <v>45141</v>
      </c>
      <c r="J7" s="391"/>
      <c r="K7" s="381" t="s">
        <v>67</v>
      </c>
      <c r="L7" s="382"/>
      <c r="M7" s="406" t="s">
        <v>70</v>
      </c>
      <c r="N7" s="407"/>
      <c r="O7" s="396"/>
      <c r="P7" s="397"/>
      <c r="Q7" s="56"/>
      <c r="R7" s="56"/>
      <c r="S7" s="56"/>
      <c r="T7" s="56"/>
      <c r="U7" s="56"/>
      <c r="V7" s="56"/>
      <c r="W7" s="56"/>
      <c r="X7" s="56"/>
      <c r="Y7" s="56"/>
      <c r="Z7" s="57"/>
      <c r="AA7" s="56"/>
      <c r="AB7" s="56"/>
      <c r="AC7" s="62"/>
      <c r="AD7" s="63"/>
    </row>
    <row r="8" spans="1:30" ht="15">
      <c r="A8" s="341"/>
      <c r="B8" s="342"/>
      <c r="C8" s="346"/>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343"/>
      <c r="B9" s="344"/>
      <c r="C9" s="347"/>
      <c r="D9" s="385"/>
      <c r="E9" s="389"/>
      <c r="F9" s="389"/>
      <c r="G9" s="389"/>
      <c r="H9" s="386"/>
      <c r="I9" s="394"/>
      <c r="J9" s="395"/>
      <c r="K9" s="385"/>
      <c r="L9" s="386"/>
      <c r="M9" s="402" t="s">
        <v>69</v>
      </c>
      <c r="N9" s="403"/>
      <c r="O9" s="404" t="s">
        <v>420</v>
      </c>
      <c r="P9" s="405"/>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78" customFormat="1" ht="37.5" customHeight="1" thickBot="1">
      <c r="A17" s="418" t="s">
        <v>79</v>
      </c>
      <c r="B17" s="419"/>
      <c r="C17" s="420" t="s">
        <v>533</v>
      </c>
      <c r="D17" s="421"/>
      <c r="E17" s="421"/>
      <c r="F17" s="421"/>
      <c r="G17" s="421"/>
      <c r="H17" s="421"/>
      <c r="I17" s="421"/>
      <c r="J17" s="421"/>
      <c r="K17" s="421"/>
      <c r="L17" s="421"/>
      <c r="M17" s="421"/>
      <c r="N17" s="421"/>
      <c r="O17" s="421"/>
      <c r="P17" s="421"/>
      <c r="Q17" s="422"/>
      <c r="R17" s="326" t="s">
        <v>374</v>
      </c>
      <c r="S17" s="327"/>
      <c r="T17" s="327"/>
      <c r="U17" s="327"/>
      <c r="V17" s="328"/>
      <c r="W17" s="436">
        <v>9941</v>
      </c>
      <c r="X17" s="437"/>
      <c r="Y17" s="327" t="s">
        <v>15</v>
      </c>
      <c r="Z17" s="327"/>
      <c r="AA17" s="327"/>
      <c r="AB17" s="328"/>
      <c r="AC17" s="337">
        <v>0.35</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86"/>
      <c r="AF19" s="86"/>
    </row>
    <row r="20" spans="1:32"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86"/>
      <c r="AF20" s="86"/>
    </row>
    <row r="21" spans="1:33" ht="32.25" customHeight="1" thickBot="1">
      <c r="A21" s="61"/>
      <c r="B21" s="56"/>
      <c r="C21" s="168" t="s">
        <v>39</v>
      </c>
      <c r="D21" s="169" t="s">
        <v>40</v>
      </c>
      <c r="E21" s="169" t="s">
        <v>41</v>
      </c>
      <c r="F21" s="169" t="s">
        <v>42</v>
      </c>
      <c r="G21" s="169" t="s">
        <v>43</v>
      </c>
      <c r="H21" s="169" t="s">
        <v>44</v>
      </c>
      <c r="I21" s="169" t="s">
        <v>45</v>
      </c>
      <c r="J21" s="169" t="s">
        <v>46</v>
      </c>
      <c r="K21" s="169" t="s">
        <v>47</v>
      </c>
      <c r="L21" s="169" t="s">
        <v>48</v>
      </c>
      <c r="M21" s="169" t="s">
        <v>49</v>
      </c>
      <c r="N21" s="169" t="s">
        <v>50</v>
      </c>
      <c r="O21" s="169" t="s">
        <v>8</v>
      </c>
      <c r="P21" s="170" t="s">
        <v>382</v>
      </c>
      <c r="Q21" s="168" t="s">
        <v>39</v>
      </c>
      <c r="R21" s="169" t="s">
        <v>40</v>
      </c>
      <c r="S21" s="169" t="s">
        <v>41</v>
      </c>
      <c r="T21" s="169" t="s">
        <v>42</v>
      </c>
      <c r="U21" s="169" t="s">
        <v>43</v>
      </c>
      <c r="V21" s="169" t="s">
        <v>44</v>
      </c>
      <c r="W21" s="169" t="s">
        <v>45</v>
      </c>
      <c r="X21" s="169" t="s">
        <v>46</v>
      </c>
      <c r="Y21" s="169" t="s">
        <v>47</v>
      </c>
      <c r="Z21" s="169" t="s">
        <v>48</v>
      </c>
      <c r="AA21" s="169" t="s">
        <v>49</v>
      </c>
      <c r="AB21" s="169" t="s">
        <v>50</v>
      </c>
      <c r="AC21" s="169" t="s">
        <v>8</v>
      </c>
      <c r="AD21" s="170" t="s">
        <v>382</v>
      </c>
      <c r="AE21" s="4"/>
      <c r="AF21" s="312"/>
      <c r="AG21" s="97"/>
    </row>
    <row r="22" spans="1:35" ht="32.25" customHeight="1">
      <c r="A22" s="335" t="s">
        <v>378</v>
      </c>
      <c r="B22" s="336"/>
      <c r="C22" s="191">
        <f>36333117</f>
        <v>36333117</v>
      </c>
      <c r="D22" s="189"/>
      <c r="E22" s="189"/>
      <c r="F22" s="189"/>
      <c r="G22" s="189">
        <v>-21353546</v>
      </c>
      <c r="H22" s="189"/>
      <c r="I22" s="189"/>
      <c r="J22" s="189"/>
      <c r="K22" s="189"/>
      <c r="L22" s="189"/>
      <c r="M22" s="189"/>
      <c r="N22" s="189"/>
      <c r="O22" s="249">
        <f>SUM(C22:N22)</f>
        <v>14979571</v>
      </c>
      <c r="P22" s="192"/>
      <c r="Q22" s="264">
        <f>1371995649-R22-U22-T22</f>
        <v>445827140</v>
      </c>
      <c r="R22" s="247">
        <v>863772000</v>
      </c>
      <c r="S22" s="247"/>
      <c r="T22" s="247">
        <f>41781637+906</f>
        <v>41782543</v>
      </c>
      <c r="U22" s="247">
        <f>20613966</f>
        <v>20613966</v>
      </c>
      <c r="V22" s="247"/>
      <c r="W22" s="247">
        <v>24787375</v>
      </c>
      <c r="X22" s="247">
        <v>15994011</v>
      </c>
      <c r="Y22" s="247"/>
      <c r="Z22" s="247"/>
      <c r="AA22" s="247"/>
      <c r="AB22" s="247"/>
      <c r="AC22" s="308">
        <f>SUM(Q22:AB22)</f>
        <v>1412777035</v>
      </c>
      <c r="AD22" s="248"/>
      <c r="AE22" s="4"/>
      <c r="AF22" s="314">
        <v>430293012.15</v>
      </c>
      <c r="AG22" s="315">
        <v>9388891000</v>
      </c>
      <c r="AI22" s="4"/>
    </row>
    <row r="23" spans="1:35" ht="32.25" customHeight="1">
      <c r="A23" s="324" t="s">
        <v>379</v>
      </c>
      <c r="B23" s="325"/>
      <c r="C23" s="186">
        <f>+C22</f>
        <v>36333117</v>
      </c>
      <c r="D23" s="185"/>
      <c r="E23" s="185"/>
      <c r="F23" s="185"/>
      <c r="G23" s="185">
        <v>-21353546</v>
      </c>
      <c r="H23" s="185"/>
      <c r="I23" s="185"/>
      <c r="J23" s="185"/>
      <c r="K23" s="185"/>
      <c r="L23" s="185"/>
      <c r="M23" s="185"/>
      <c r="N23" s="185"/>
      <c r="O23" s="250">
        <f>SUM(C23:N23)</f>
        <v>14979571</v>
      </c>
      <c r="P23" s="203">
        <f>_xlfn.IFERROR(O23/(SUMIF(C23:N23,"&gt;0",C22:N22))," ")</f>
        <v>0.412284225435434</v>
      </c>
      <c r="Q23" s="186">
        <v>378911235</v>
      </c>
      <c r="R23" s="185">
        <v>792866330</v>
      </c>
      <c r="S23" s="185"/>
      <c r="T23" s="185">
        <f>88592000-4471965.25</f>
        <v>84120034.75</v>
      </c>
      <c r="U23" s="185">
        <v>31413264.94</v>
      </c>
      <c r="V23" s="185">
        <f>21768027.75-843733.75</f>
        <v>20924294</v>
      </c>
      <c r="W23" s="185">
        <f>-131497.39</f>
        <v>-131497.39</v>
      </c>
      <c r="X23" s="185"/>
      <c r="Y23" s="185"/>
      <c r="Z23" s="185"/>
      <c r="AA23" s="185"/>
      <c r="AB23" s="185"/>
      <c r="AC23" s="250">
        <f>SUM(Q23:AB23)</f>
        <v>1308103661.3</v>
      </c>
      <c r="AD23" s="194">
        <f>_xlfn.IFERROR(AC23/(SUMIF(Q23:AB23,"&gt;0",Q22:AB22))," ")</f>
        <v>0.9534313481631165</v>
      </c>
      <c r="AE23" s="4"/>
      <c r="AF23" s="314">
        <v>430293012.15</v>
      </c>
      <c r="AG23" s="315">
        <v>8786673558.95</v>
      </c>
      <c r="AI23" s="304"/>
    </row>
    <row r="24" spans="1:35" ht="32.25" customHeight="1">
      <c r="A24" s="324" t="s">
        <v>380</v>
      </c>
      <c r="B24" s="325"/>
      <c r="C24" s="186">
        <v>3476029</v>
      </c>
      <c r="D24" s="185">
        <v>5363818</v>
      </c>
      <c r="E24" s="185">
        <v>4140868</v>
      </c>
      <c r="F24" s="185">
        <v>1998856</v>
      </c>
      <c r="G24" s="185">
        <f>21353546-21353546</f>
        <v>0</v>
      </c>
      <c r="H24" s="185"/>
      <c r="I24" s="185"/>
      <c r="J24" s="185"/>
      <c r="K24" s="185"/>
      <c r="L24" s="185"/>
      <c r="M24" s="185"/>
      <c r="N24" s="185"/>
      <c r="O24" s="250">
        <f>SUM(C24:N24)</f>
        <v>14979571</v>
      </c>
      <c r="P24" s="190"/>
      <c r="Q24" s="186"/>
      <c r="R24" s="185">
        <v>4886725</v>
      </c>
      <c r="S24" s="185">
        <v>125872930</v>
      </c>
      <c r="T24" s="185">
        <f>167654567+906</f>
        <v>167655473</v>
      </c>
      <c r="U24" s="185">
        <v>127590761</v>
      </c>
      <c r="V24" s="185">
        <v>127590761</v>
      </c>
      <c r="W24" s="185">
        <v>127590761</v>
      </c>
      <c r="X24" s="185">
        <v>127590761</v>
      </c>
      <c r="Y24" s="185">
        <v>126272261</v>
      </c>
      <c r="Z24" s="185">
        <f>126272261+1318500</f>
        <v>127590761</v>
      </c>
      <c r="AA24" s="185">
        <f>126272261</f>
        <v>126272261</v>
      </c>
      <c r="AB24" s="185">
        <f>184400694+23468875+15994011</f>
        <v>223863580</v>
      </c>
      <c r="AC24" s="250">
        <f>SUM(Q24:AB24)</f>
        <v>1412777035</v>
      </c>
      <c r="AD24" s="296"/>
      <c r="AE24" s="4"/>
      <c r="AF24" s="314">
        <v>430293012.65</v>
      </c>
      <c r="AG24" s="315">
        <v>9388891000</v>
      </c>
      <c r="AI24" s="4"/>
    </row>
    <row r="25" spans="1:36" ht="32.25" customHeight="1" thickBot="1">
      <c r="A25" s="412" t="s">
        <v>381</v>
      </c>
      <c r="B25" s="413"/>
      <c r="C25" s="187">
        <v>2917918</v>
      </c>
      <c r="D25" s="188">
        <v>5921928.4</v>
      </c>
      <c r="E25" s="188">
        <v>4140868.4</v>
      </c>
      <c r="F25" s="188"/>
      <c r="G25" s="188">
        <f>1998856</f>
        <v>1998856</v>
      </c>
      <c r="H25" s="188"/>
      <c r="I25" s="188"/>
      <c r="J25" s="188"/>
      <c r="K25" s="188"/>
      <c r="L25" s="188"/>
      <c r="M25" s="188"/>
      <c r="N25" s="188"/>
      <c r="O25" s="307">
        <f>SUM(C25:N25)</f>
        <v>14979570.8</v>
      </c>
      <c r="P25" s="313">
        <f>_xlfn.IFERROR(O25/(SUMIF(C25:N25,"&gt;0",C24:N24))," ")</f>
        <v>1.1539865716179734</v>
      </c>
      <c r="Q25" s="187"/>
      <c r="R25" s="188">
        <v>6802902</v>
      </c>
      <c r="S25" s="188">
        <v>90427511.02</v>
      </c>
      <c r="T25" s="188">
        <v>112334487</v>
      </c>
      <c r="U25" s="188">
        <v>114461437.5</v>
      </c>
      <c r="V25" s="188">
        <v>125064970.5</v>
      </c>
      <c r="W25" s="317">
        <v>159435042.37</v>
      </c>
      <c r="X25" s="188"/>
      <c r="Y25" s="188"/>
      <c r="Z25" s="188"/>
      <c r="AA25" s="188"/>
      <c r="AB25" s="188"/>
      <c r="AC25" s="307">
        <f>SUM(Q25:AB25)</f>
        <v>608526350.39</v>
      </c>
      <c r="AD25" s="195">
        <f>_xlfn.IFERROR(AC25/(SUMIF(Q25:AB25,"&gt;0",Q24:AB24))," ")</f>
        <v>0.8933317623951215</v>
      </c>
      <c r="AE25" s="4"/>
      <c r="AF25" s="314">
        <v>428193588.2</v>
      </c>
      <c r="AG25" s="315">
        <v>3026779436.82</v>
      </c>
      <c r="AI25" s="304"/>
      <c r="AJ25" s="304"/>
    </row>
    <row r="26" spans="1:33"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c r="AF26" s="97"/>
      <c r="AG26" s="97"/>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167" t="s">
        <v>39</v>
      </c>
      <c r="E29" s="167" t="s">
        <v>40</v>
      </c>
      <c r="F29" s="167" t="s">
        <v>41</v>
      </c>
      <c r="G29" s="167" t="s">
        <v>42</v>
      </c>
      <c r="H29" s="167" t="s">
        <v>43</v>
      </c>
      <c r="I29" s="167" t="s">
        <v>44</v>
      </c>
      <c r="J29" s="167" t="s">
        <v>45</v>
      </c>
      <c r="K29" s="167" t="s">
        <v>46</v>
      </c>
      <c r="L29" s="167" t="s">
        <v>47</v>
      </c>
      <c r="M29" s="167" t="s">
        <v>48</v>
      </c>
      <c r="N29" s="167" t="s">
        <v>49</v>
      </c>
      <c r="O29" s="167"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24" t="s">
        <v>190</v>
      </c>
      <c r="B32" s="431" t="s">
        <v>62</v>
      </c>
      <c r="C32" s="431" t="s">
        <v>6</v>
      </c>
      <c r="D32" s="431" t="s">
        <v>60</v>
      </c>
      <c r="E32" s="431"/>
      <c r="F32" s="431"/>
      <c r="G32" s="431"/>
      <c r="H32" s="431"/>
      <c r="I32" s="431"/>
      <c r="J32" s="431"/>
      <c r="K32" s="431"/>
      <c r="L32" s="431"/>
      <c r="M32" s="431"/>
      <c r="N32" s="431"/>
      <c r="O32" s="431"/>
      <c r="P32" s="431"/>
      <c r="Q32" s="431" t="s">
        <v>85</v>
      </c>
      <c r="R32" s="431"/>
      <c r="S32" s="431"/>
      <c r="T32" s="431"/>
      <c r="U32" s="431"/>
      <c r="V32" s="431"/>
      <c r="W32" s="431"/>
      <c r="X32" s="431"/>
      <c r="Y32" s="431"/>
      <c r="Z32" s="431"/>
      <c r="AA32" s="431"/>
      <c r="AB32" s="431"/>
      <c r="AC32" s="431"/>
      <c r="AD32" s="432"/>
      <c r="AG32" s="90"/>
      <c r="AH32" s="90"/>
      <c r="AI32" s="90"/>
      <c r="AJ32" s="90"/>
      <c r="AK32" s="90"/>
      <c r="AL32" s="90"/>
      <c r="AM32" s="90"/>
      <c r="AN32" s="90"/>
      <c r="AO32" s="90"/>
    </row>
    <row r="33" spans="1:41" ht="27" customHeight="1">
      <c r="A33" s="324"/>
      <c r="B33" s="431"/>
      <c r="C33" s="442"/>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431" t="s">
        <v>402</v>
      </c>
      <c r="R33" s="431"/>
      <c r="S33" s="431"/>
      <c r="T33" s="431" t="s">
        <v>403</v>
      </c>
      <c r="U33" s="431"/>
      <c r="V33" s="431"/>
      <c r="W33" s="427" t="s">
        <v>81</v>
      </c>
      <c r="X33" s="443"/>
      <c r="Y33" s="443"/>
      <c r="Z33" s="428"/>
      <c r="AA33" s="427" t="s">
        <v>82</v>
      </c>
      <c r="AB33" s="443"/>
      <c r="AC33" s="443"/>
      <c r="AD33" s="444"/>
      <c r="AG33" s="90"/>
      <c r="AH33" s="90"/>
      <c r="AI33" s="90"/>
      <c r="AJ33" s="90"/>
      <c r="AK33" s="90"/>
      <c r="AL33" s="90"/>
      <c r="AM33" s="90"/>
      <c r="AN33" s="90"/>
      <c r="AO33" s="90"/>
    </row>
    <row r="34" spans="1:41" ht="84" customHeight="1">
      <c r="A34" s="445" t="s">
        <v>531</v>
      </c>
      <c r="B34" s="447">
        <v>0.35</v>
      </c>
      <c r="C34" s="93" t="s">
        <v>9</v>
      </c>
      <c r="D34" s="298">
        <v>300</v>
      </c>
      <c r="E34" s="298">
        <v>600</v>
      </c>
      <c r="F34" s="298">
        <v>750</v>
      </c>
      <c r="G34" s="298">
        <v>750</v>
      </c>
      <c r="H34" s="298">
        <v>950</v>
      </c>
      <c r="I34" s="298">
        <v>950</v>
      </c>
      <c r="J34" s="298">
        <v>950</v>
      </c>
      <c r="K34" s="298">
        <v>950</v>
      </c>
      <c r="L34" s="298">
        <v>950</v>
      </c>
      <c r="M34" s="298">
        <v>950</v>
      </c>
      <c r="N34" s="298">
        <v>950</v>
      </c>
      <c r="O34" s="298">
        <v>891</v>
      </c>
      <c r="P34" s="220">
        <f>SUM(D34:O34)</f>
        <v>9941</v>
      </c>
      <c r="Q34" s="457" t="s">
        <v>575</v>
      </c>
      <c r="R34" s="458"/>
      <c r="S34" s="459"/>
      <c r="T34" s="449" t="s">
        <v>576</v>
      </c>
      <c r="U34" s="450"/>
      <c r="V34" s="451"/>
      <c r="W34" s="449" t="s">
        <v>530</v>
      </c>
      <c r="X34" s="450"/>
      <c r="Y34" s="450"/>
      <c r="Z34" s="451"/>
      <c r="AA34" s="449" t="s">
        <v>525</v>
      </c>
      <c r="AB34" s="450"/>
      <c r="AC34" s="450"/>
      <c r="AD34" s="455"/>
      <c r="AG34" s="90"/>
      <c r="AH34" s="90"/>
      <c r="AI34" s="90"/>
      <c r="AJ34" s="90"/>
      <c r="AK34" s="90"/>
      <c r="AL34" s="90"/>
      <c r="AM34" s="90"/>
      <c r="AN34" s="90"/>
      <c r="AO34" s="90"/>
    </row>
    <row r="35" spans="1:41" ht="96.75" customHeight="1" thickBot="1">
      <c r="A35" s="446"/>
      <c r="B35" s="448"/>
      <c r="C35" s="94" t="s">
        <v>10</v>
      </c>
      <c r="D35" s="253">
        <v>165</v>
      </c>
      <c r="E35" s="253">
        <v>742</v>
      </c>
      <c r="F35" s="253">
        <v>1106</v>
      </c>
      <c r="G35" s="252">
        <v>855</v>
      </c>
      <c r="H35" s="252">
        <f>1058+137</f>
        <v>1195</v>
      </c>
      <c r="I35" s="252">
        <v>1077</v>
      </c>
      <c r="J35" s="252">
        <v>1044</v>
      </c>
      <c r="K35" s="252"/>
      <c r="L35" s="252"/>
      <c r="M35" s="252"/>
      <c r="N35" s="252"/>
      <c r="O35" s="252"/>
      <c r="P35" s="252">
        <f>SUM(D35:O35)</f>
        <v>6184</v>
      </c>
      <c r="Q35" s="460"/>
      <c r="R35" s="461"/>
      <c r="S35" s="462"/>
      <c r="T35" s="452"/>
      <c r="U35" s="453"/>
      <c r="V35" s="454"/>
      <c r="W35" s="452"/>
      <c r="X35" s="453"/>
      <c r="Y35" s="453"/>
      <c r="Z35" s="454"/>
      <c r="AA35" s="452"/>
      <c r="AB35" s="453"/>
      <c r="AC35" s="453"/>
      <c r="AD35" s="456"/>
      <c r="AE35" s="50"/>
      <c r="AF35" s="97"/>
      <c r="AG35" s="90"/>
      <c r="AH35" s="90"/>
      <c r="AI35" s="90"/>
      <c r="AJ35" s="90"/>
      <c r="AK35" s="90"/>
      <c r="AL35" s="90"/>
      <c r="AM35" s="90"/>
      <c r="AN35" s="90"/>
      <c r="AO35" s="90"/>
    </row>
    <row r="36" spans="1:41"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G36" s="90"/>
      <c r="AH36" s="90"/>
      <c r="AI36" s="90"/>
      <c r="AJ36" s="90"/>
      <c r="AK36" s="90"/>
      <c r="AL36" s="90"/>
      <c r="AM36" s="90"/>
      <c r="AN36" s="90"/>
      <c r="AO36" s="90"/>
    </row>
    <row r="37" spans="1:41" ht="26.25" customHeight="1">
      <c r="A37" s="324"/>
      <c r="B37" s="46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25" t="s">
        <v>83</v>
      </c>
      <c r="R37" s="429"/>
      <c r="S37" s="429"/>
      <c r="T37" s="429"/>
      <c r="U37" s="429"/>
      <c r="V37" s="429"/>
      <c r="W37" s="429"/>
      <c r="X37" s="429"/>
      <c r="Y37" s="429"/>
      <c r="Z37" s="429"/>
      <c r="AA37" s="429"/>
      <c r="AB37" s="429"/>
      <c r="AC37" s="429"/>
      <c r="AD37" s="468"/>
      <c r="AG37" s="98"/>
      <c r="AH37" s="98"/>
      <c r="AI37" s="98"/>
      <c r="AJ37" s="98"/>
      <c r="AK37" s="98"/>
      <c r="AL37" s="98"/>
      <c r="AM37" s="98"/>
      <c r="AN37" s="98"/>
      <c r="AO37" s="98"/>
    </row>
    <row r="38" spans="1:41" ht="70.5" customHeight="1">
      <c r="A38" s="469" t="s">
        <v>425</v>
      </c>
      <c r="B38" s="471">
        <v>0.13</v>
      </c>
      <c r="C38" s="93" t="s">
        <v>9</v>
      </c>
      <c r="D38" s="219">
        <v>0.08</v>
      </c>
      <c r="E38" s="219">
        <v>0.08</v>
      </c>
      <c r="F38" s="219">
        <v>0.08</v>
      </c>
      <c r="G38" s="219">
        <v>0.08</v>
      </c>
      <c r="H38" s="219">
        <v>0.08</v>
      </c>
      <c r="I38" s="219">
        <v>0.08</v>
      </c>
      <c r="J38" s="219">
        <v>0.08</v>
      </c>
      <c r="K38" s="219">
        <v>0.09</v>
      </c>
      <c r="L38" s="219">
        <v>0.09</v>
      </c>
      <c r="M38" s="219">
        <v>0.09</v>
      </c>
      <c r="N38" s="219">
        <v>0.09</v>
      </c>
      <c r="O38" s="219">
        <v>0.08</v>
      </c>
      <c r="P38" s="100">
        <f aca="true" t="shared" si="0" ref="P38:P43">SUM(D38:O38)</f>
        <v>0.9999999999999999</v>
      </c>
      <c r="Q38" s="478" t="s">
        <v>596</v>
      </c>
      <c r="R38" s="479"/>
      <c r="S38" s="479"/>
      <c r="T38" s="479"/>
      <c r="U38" s="479"/>
      <c r="V38" s="479"/>
      <c r="W38" s="479"/>
      <c r="X38" s="479"/>
      <c r="Y38" s="479"/>
      <c r="Z38" s="479"/>
      <c r="AA38" s="479"/>
      <c r="AB38" s="479"/>
      <c r="AC38" s="479"/>
      <c r="AD38" s="480"/>
      <c r="AE38" s="101"/>
      <c r="AG38" s="102"/>
      <c r="AH38" s="102"/>
      <c r="AI38" s="102"/>
      <c r="AJ38" s="102"/>
      <c r="AK38" s="102"/>
      <c r="AL38" s="102"/>
      <c r="AM38" s="102"/>
      <c r="AN38" s="102"/>
      <c r="AO38" s="102"/>
    </row>
    <row r="39" spans="1:31" ht="81.75" customHeight="1">
      <c r="A39" s="470"/>
      <c r="B39" s="472"/>
      <c r="C39" s="103" t="s">
        <v>10</v>
      </c>
      <c r="D39" s="104">
        <v>0.04</v>
      </c>
      <c r="E39" s="104">
        <v>0.08</v>
      </c>
      <c r="F39" s="104">
        <v>0.08</v>
      </c>
      <c r="G39" s="104">
        <v>0.12</v>
      </c>
      <c r="H39" s="104">
        <v>0.08</v>
      </c>
      <c r="I39" s="104">
        <v>0.08</v>
      </c>
      <c r="J39" s="104">
        <v>0.08</v>
      </c>
      <c r="K39" s="104"/>
      <c r="L39" s="104"/>
      <c r="M39" s="104"/>
      <c r="N39" s="104"/>
      <c r="O39" s="104"/>
      <c r="P39" s="105">
        <f t="shared" si="0"/>
        <v>0.56</v>
      </c>
      <c r="Q39" s="484"/>
      <c r="R39" s="485"/>
      <c r="S39" s="485"/>
      <c r="T39" s="485"/>
      <c r="U39" s="485"/>
      <c r="V39" s="485"/>
      <c r="W39" s="485"/>
      <c r="X39" s="485"/>
      <c r="Y39" s="485"/>
      <c r="Z39" s="485"/>
      <c r="AA39" s="485"/>
      <c r="AB39" s="485"/>
      <c r="AC39" s="485"/>
      <c r="AD39" s="486"/>
      <c r="AE39" s="101"/>
    </row>
    <row r="40" spans="1:31" ht="114" customHeight="1">
      <c r="A40" s="470" t="s">
        <v>426</v>
      </c>
      <c r="B40" s="471">
        <v>0.13</v>
      </c>
      <c r="C40" s="106" t="s">
        <v>9</v>
      </c>
      <c r="D40" s="219">
        <v>0.08</v>
      </c>
      <c r="E40" s="219">
        <v>0.08</v>
      </c>
      <c r="F40" s="219">
        <v>0.08</v>
      </c>
      <c r="G40" s="219">
        <v>0.08</v>
      </c>
      <c r="H40" s="219">
        <v>0.08</v>
      </c>
      <c r="I40" s="219">
        <v>0.08</v>
      </c>
      <c r="J40" s="219">
        <v>0.08</v>
      </c>
      <c r="K40" s="219">
        <v>0.09</v>
      </c>
      <c r="L40" s="219">
        <v>0.09</v>
      </c>
      <c r="M40" s="219">
        <v>0.09</v>
      </c>
      <c r="N40" s="219">
        <v>0.09</v>
      </c>
      <c r="O40" s="219">
        <v>0.08</v>
      </c>
      <c r="P40" s="105">
        <f t="shared" si="0"/>
        <v>0.9999999999999999</v>
      </c>
      <c r="Q40" s="478" t="s">
        <v>597</v>
      </c>
      <c r="R40" s="479"/>
      <c r="S40" s="479"/>
      <c r="T40" s="479"/>
      <c r="U40" s="479"/>
      <c r="V40" s="479"/>
      <c r="W40" s="479"/>
      <c r="X40" s="479"/>
      <c r="Y40" s="479"/>
      <c r="Z40" s="479"/>
      <c r="AA40" s="479"/>
      <c r="AB40" s="479"/>
      <c r="AC40" s="479"/>
      <c r="AD40" s="480"/>
      <c r="AE40" s="101"/>
    </row>
    <row r="41" spans="1:31" ht="114" customHeight="1">
      <c r="A41" s="470"/>
      <c r="B41" s="472"/>
      <c r="C41" s="103" t="s">
        <v>10</v>
      </c>
      <c r="D41" s="104">
        <v>0.04</v>
      </c>
      <c r="E41" s="104">
        <v>0.08</v>
      </c>
      <c r="F41" s="104">
        <v>0.08</v>
      </c>
      <c r="G41" s="104">
        <v>0.12</v>
      </c>
      <c r="H41" s="104">
        <v>0.08</v>
      </c>
      <c r="I41" s="104">
        <v>0.08</v>
      </c>
      <c r="J41" s="104">
        <v>0.08</v>
      </c>
      <c r="K41" s="104"/>
      <c r="L41" s="108"/>
      <c r="M41" s="108"/>
      <c r="N41" s="108"/>
      <c r="O41" s="108"/>
      <c r="P41" s="105">
        <f t="shared" si="0"/>
        <v>0.56</v>
      </c>
      <c r="Q41" s="484"/>
      <c r="R41" s="485"/>
      <c r="S41" s="485"/>
      <c r="T41" s="485"/>
      <c r="U41" s="485"/>
      <c r="V41" s="485"/>
      <c r="W41" s="485"/>
      <c r="X41" s="485"/>
      <c r="Y41" s="485"/>
      <c r="Z41" s="485"/>
      <c r="AA41" s="485"/>
      <c r="AB41" s="485"/>
      <c r="AC41" s="485"/>
      <c r="AD41" s="486"/>
      <c r="AE41" s="101"/>
    </row>
    <row r="42" spans="1:31" ht="36" customHeight="1">
      <c r="A42" s="473" t="s">
        <v>427</v>
      </c>
      <c r="B42" s="471">
        <v>0.09</v>
      </c>
      <c r="C42" s="106" t="s">
        <v>9</v>
      </c>
      <c r="D42" s="219">
        <v>0.08</v>
      </c>
      <c r="E42" s="219">
        <v>0.08</v>
      </c>
      <c r="F42" s="219">
        <v>0.08</v>
      </c>
      <c r="G42" s="219">
        <v>0.08</v>
      </c>
      <c r="H42" s="219">
        <v>0.08</v>
      </c>
      <c r="I42" s="219">
        <v>0.08</v>
      </c>
      <c r="J42" s="219">
        <v>0.08</v>
      </c>
      <c r="K42" s="219">
        <v>0.09</v>
      </c>
      <c r="L42" s="219">
        <v>0.09</v>
      </c>
      <c r="M42" s="219">
        <v>0.09</v>
      </c>
      <c r="N42" s="219">
        <v>0.09</v>
      </c>
      <c r="O42" s="219">
        <v>0.08</v>
      </c>
      <c r="P42" s="105">
        <f t="shared" si="0"/>
        <v>0.9999999999999999</v>
      </c>
      <c r="Q42" s="478" t="s">
        <v>598</v>
      </c>
      <c r="R42" s="479"/>
      <c r="S42" s="479"/>
      <c r="T42" s="479"/>
      <c r="U42" s="479"/>
      <c r="V42" s="479"/>
      <c r="W42" s="479"/>
      <c r="X42" s="479"/>
      <c r="Y42" s="479"/>
      <c r="Z42" s="479"/>
      <c r="AA42" s="479"/>
      <c r="AB42" s="479"/>
      <c r="AC42" s="479"/>
      <c r="AD42" s="480"/>
      <c r="AE42" s="101"/>
    </row>
    <row r="43" spans="1:31" ht="102" customHeight="1" thickBot="1">
      <c r="A43" s="474"/>
      <c r="B43" s="475"/>
      <c r="C43" s="94" t="s">
        <v>10</v>
      </c>
      <c r="D43" s="110">
        <v>0.08</v>
      </c>
      <c r="E43" s="110">
        <v>0.08</v>
      </c>
      <c r="F43" s="110">
        <v>0.08</v>
      </c>
      <c r="G43" s="243">
        <v>0.08</v>
      </c>
      <c r="H43" s="110">
        <v>0.08</v>
      </c>
      <c r="I43" s="110">
        <v>0.08</v>
      </c>
      <c r="J43" s="110">
        <v>0.08</v>
      </c>
      <c r="K43" s="110"/>
      <c r="L43" s="111"/>
      <c r="M43" s="111"/>
      <c r="N43" s="111"/>
      <c r="O43" s="111"/>
      <c r="P43" s="112">
        <f t="shared" si="0"/>
        <v>0.56</v>
      </c>
      <c r="Q43" s="530"/>
      <c r="R43" s="531"/>
      <c r="S43" s="531"/>
      <c r="T43" s="531"/>
      <c r="U43" s="531"/>
      <c r="V43" s="531"/>
      <c r="W43" s="531"/>
      <c r="X43" s="531"/>
      <c r="Y43" s="531"/>
      <c r="Z43" s="531"/>
      <c r="AA43" s="531"/>
      <c r="AB43" s="531"/>
      <c r="AC43" s="531"/>
      <c r="AD43" s="532"/>
      <c r="AE43" s="101"/>
    </row>
    <row r="44" spans="1:30" ht="15">
      <c r="A44" s="52" t="s">
        <v>294</v>
      </c>
      <c r="Q44" s="97"/>
      <c r="R44" s="97"/>
      <c r="S44" s="97"/>
      <c r="T44" s="97"/>
      <c r="U44" s="97"/>
      <c r="V44" s="97"/>
      <c r="W44" s="97"/>
      <c r="X44" s="97"/>
      <c r="Y44" s="97"/>
      <c r="Z44" s="97"/>
      <c r="AA44" s="97"/>
      <c r="AB44" s="97"/>
      <c r="AC44" s="97"/>
      <c r="AD44" s="97"/>
    </row>
    <row r="45" spans="17:30" ht="15">
      <c r="Q45" s="97"/>
      <c r="R45" s="97"/>
      <c r="S45" s="97"/>
      <c r="T45" s="97"/>
      <c r="U45" s="97"/>
      <c r="V45" s="97"/>
      <c r="W45" s="97"/>
      <c r="X45" s="97"/>
      <c r="Y45" s="97"/>
      <c r="Z45" s="97"/>
      <c r="AA45" s="97"/>
      <c r="AB45" s="97"/>
      <c r="AC45" s="97"/>
      <c r="AD45" s="97"/>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20"/>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8515625" defaultRowHeight="15"/>
  <cols>
    <col min="1" max="1" width="72.00390625" style="139" bestFit="1" customWidth="1"/>
    <col min="2" max="2" width="73.421875" style="139" customWidth="1"/>
    <col min="3" max="3" width="10.8515625" style="139" customWidth="1"/>
    <col min="4" max="4" width="31.140625" style="139" customWidth="1"/>
    <col min="5" max="5" width="70.140625" style="139" customWidth="1"/>
    <col min="6" max="6" width="17.28125" style="139" customWidth="1"/>
    <col min="7" max="8" width="21.8515625" style="139" customWidth="1"/>
    <col min="9" max="9" width="19.28125" style="139" customWidth="1"/>
    <col min="10" max="10" width="42.00390625" style="139" customWidth="1"/>
    <col min="11" max="16384" width="10.8515625" style="139" customWidth="1"/>
  </cols>
  <sheetData>
    <row r="1" spans="1:2" ht="25.5" customHeight="1">
      <c r="A1" s="701" t="s">
        <v>195</v>
      </c>
      <c r="B1" s="702"/>
    </row>
    <row r="2" spans="1:2" ht="25.5" customHeight="1">
      <c r="A2" s="703" t="s">
        <v>400</v>
      </c>
      <c r="B2" s="704"/>
    </row>
    <row r="3" spans="1:2" ht="15">
      <c r="A3" s="206" t="s">
        <v>324</v>
      </c>
      <c r="B3" s="141" t="s">
        <v>325</v>
      </c>
    </row>
    <row r="4" spans="1:2" ht="15">
      <c r="A4" s="207" t="s">
        <v>71</v>
      </c>
      <c r="B4" s="149" t="s">
        <v>357</v>
      </c>
    </row>
    <row r="5" spans="1:2" ht="105">
      <c r="A5" s="207" t="s">
        <v>67</v>
      </c>
      <c r="B5" s="211" t="s">
        <v>417</v>
      </c>
    </row>
    <row r="6" spans="1:2" s="140" customFormat="1" ht="15">
      <c r="A6" s="207" t="s">
        <v>0</v>
      </c>
      <c r="B6" s="705" t="s">
        <v>352</v>
      </c>
    </row>
    <row r="7" spans="1:2" s="140" customFormat="1" ht="15">
      <c r="A7" s="207" t="s">
        <v>77</v>
      </c>
      <c r="B7" s="706"/>
    </row>
    <row r="8" spans="1:2" s="140" customFormat="1" ht="15">
      <c r="A8" s="207" t="s">
        <v>73</v>
      </c>
      <c r="B8" s="706"/>
    </row>
    <row r="9" spans="1:2" s="140" customFormat="1" ht="15">
      <c r="A9" s="207" t="s">
        <v>333</v>
      </c>
      <c r="B9" s="707"/>
    </row>
    <row r="10" spans="1:2" s="140" customFormat="1" ht="30">
      <c r="A10" s="207" t="s">
        <v>293</v>
      </c>
      <c r="B10" s="142" t="s">
        <v>359</v>
      </c>
    </row>
    <row r="11" spans="1:2" s="140" customFormat="1" ht="45">
      <c r="A11" s="207" t="s">
        <v>1</v>
      </c>
      <c r="B11" s="142" t="s">
        <v>375</v>
      </c>
    </row>
    <row r="12" spans="1:2" s="140" customFormat="1" ht="60">
      <c r="A12" s="207" t="s">
        <v>15</v>
      </c>
      <c r="B12" s="143" t="s">
        <v>353</v>
      </c>
    </row>
    <row r="13" spans="1:2" s="140" customFormat="1" ht="30">
      <c r="A13" s="207" t="s">
        <v>331</v>
      </c>
      <c r="B13" s="143" t="s">
        <v>354</v>
      </c>
    </row>
    <row r="14" spans="1:2" s="140" customFormat="1" ht="45">
      <c r="A14" s="207" t="s">
        <v>332</v>
      </c>
      <c r="B14" s="143" t="s">
        <v>360</v>
      </c>
    </row>
    <row r="15" spans="1:2" ht="72" customHeight="1">
      <c r="A15" s="208" t="s">
        <v>329</v>
      </c>
      <c r="B15" s="144" t="s">
        <v>355</v>
      </c>
    </row>
    <row r="16" spans="1:2" ht="194.25">
      <c r="A16" s="208" t="s">
        <v>330</v>
      </c>
      <c r="B16" s="145" t="s">
        <v>356</v>
      </c>
    </row>
    <row r="17" spans="1:2" ht="25.5" customHeight="1">
      <c r="A17" s="703" t="s">
        <v>401</v>
      </c>
      <c r="B17" s="704"/>
    </row>
    <row r="18" spans="1:2" ht="15">
      <c r="A18" s="206" t="s">
        <v>324</v>
      </c>
      <c r="B18" s="141" t="s">
        <v>325</v>
      </c>
    </row>
    <row r="19" spans="1:2" ht="15">
      <c r="A19" s="207" t="s">
        <v>71</v>
      </c>
      <c r="B19" s="149" t="s">
        <v>357</v>
      </c>
    </row>
    <row r="20" spans="1:2" ht="105">
      <c r="A20" s="207" t="s">
        <v>67</v>
      </c>
      <c r="B20" s="148" t="s">
        <v>358</v>
      </c>
    </row>
    <row r="21" spans="1:2" ht="30">
      <c r="A21" s="207" t="s">
        <v>334</v>
      </c>
      <c r="B21" s="143" t="s">
        <v>335</v>
      </c>
    </row>
    <row r="22" spans="1:2" ht="45">
      <c r="A22" s="207" t="s">
        <v>327</v>
      </c>
      <c r="B22" s="143" t="s">
        <v>361</v>
      </c>
    </row>
    <row r="23" spans="1:2" ht="75">
      <c r="A23" s="207" t="s">
        <v>336</v>
      </c>
      <c r="B23" s="143" t="s">
        <v>337</v>
      </c>
    </row>
    <row r="24" spans="1:2" ht="30">
      <c r="A24" s="207" t="s">
        <v>326</v>
      </c>
      <c r="B24" s="146" t="s">
        <v>362</v>
      </c>
    </row>
    <row r="25" spans="1:2" ht="15">
      <c r="A25" s="207" t="s">
        <v>301</v>
      </c>
      <c r="B25" s="146" t="s">
        <v>406</v>
      </c>
    </row>
    <row r="26" spans="1:2" ht="45.75" customHeight="1">
      <c r="A26" s="207" t="s">
        <v>338</v>
      </c>
      <c r="B26" s="147" t="s">
        <v>371</v>
      </c>
    </row>
    <row r="27" spans="1:2" ht="75">
      <c r="A27" s="207" t="s">
        <v>279</v>
      </c>
      <c r="B27" s="147" t="s">
        <v>365</v>
      </c>
    </row>
    <row r="28" spans="1:2" ht="45">
      <c r="A28" s="207" t="s">
        <v>339</v>
      </c>
      <c r="B28" s="147" t="s">
        <v>340</v>
      </c>
    </row>
    <row r="29" spans="1:2" ht="45">
      <c r="A29" s="207" t="s">
        <v>364</v>
      </c>
      <c r="B29" s="147" t="s">
        <v>366</v>
      </c>
    </row>
    <row r="30" spans="1:2" ht="45">
      <c r="A30" s="207" t="s">
        <v>116</v>
      </c>
      <c r="B30" s="147" t="s">
        <v>367</v>
      </c>
    </row>
    <row r="31" spans="1:2" ht="144" customHeight="1">
      <c r="A31" s="207" t="s">
        <v>341</v>
      </c>
      <c r="B31" s="147" t="s">
        <v>368</v>
      </c>
    </row>
    <row r="32" spans="1:2" ht="30">
      <c r="A32" s="207" t="s">
        <v>342</v>
      </c>
      <c r="B32" s="147" t="s">
        <v>345</v>
      </c>
    </row>
    <row r="33" spans="1:2" ht="30">
      <c r="A33" s="207" t="s">
        <v>343</v>
      </c>
      <c r="B33" s="147" t="s">
        <v>344</v>
      </c>
    </row>
    <row r="34" spans="1:2" ht="30">
      <c r="A34" s="207" t="s">
        <v>322</v>
      </c>
      <c r="B34" s="147" t="s">
        <v>369</v>
      </c>
    </row>
    <row r="35" spans="1:2" ht="30">
      <c r="A35" s="207" t="s">
        <v>349</v>
      </c>
      <c r="B35" s="147" t="s">
        <v>346</v>
      </c>
    </row>
    <row r="36" spans="1:2" ht="75">
      <c r="A36" s="207" t="s">
        <v>407</v>
      </c>
      <c r="B36" s="147" t="s">
        <v>409</v>
      </c>
    </row>
    <row r="37" spans="1:2" ht="15">
      <c r="A37" s="207" t="s">
        <v>404</v>
      </c>
      <c r="B37" s="147" t="s">
        <v>411</v>
      </c>
    </row>
    <row r="38" spans="1:2" ht="30">
      <c r="A38" s="207" t="s">
        <v>410</v>
      </c>
      <c r="B38" s="147" t="s">
        <v>412</v>
      </c>
    </row>
    <row r="39" spans="1:2" ht="45">
      <c r="A39" s="207" t="s">
        <v>328</v>
      </c>
      <c r="B39" s="147" t="s">
        <v>347</v>
      </c>
    </row>
    <row r="40" spans="1:2" ht="28.5">
      <c r="A40" s="208" t="s">
        <v>299</v>
      </c>
      <c r="B40" s="147" t="s">
        <v>348</v>
      </c>
    </row>
    <row r="41" spans="1:2" ht="25.5" customHeight="1">
      <c r="A41" s="703" t="s">
        <v>350</v>
      </c>
      <c r="B41" s="704"/>
    </row>
    <row r="42" spans="1:2" ht="15">
      <c r="A42" s="701" t="s">
        <v>351</v>
      </c>
      <c r="B42" s="702"/>
    </row>
    <row r="43" spans="1:2" ht="72" customHeight="1">
      <c r="A43" s="699" t="s">
        <v>397</v>
      </c>
      <c r="B43" s="700"/>
    </row>
    <row r="44" spans="1:2" ht="30">
      <c r="A44" s="207" t="s">
        <v>364</v>
      </c>
      <c r="B44" s="147" t="s">
        <v>414</v>
      </c>
    </row>
    <row r="45" spans="1:2" ht="45">
      <c r="A45" s="208"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708" t="s">
        <v>222</v>
      </c>
      <c r="E27" s="128" t="s">
        <v>223</v>
      </c>
    </row>
    <row r="28" spans="4:5" ht="15">
      <c r="D28" s="709"/>
      <c r="E28" s="128" t="s">
        <v>224</v>
      </c>
    </row>
    <row r="29" spans="4:5" ht="15">
      <c r="D29" s="709"/>
      <c r="E29" s="128" t="s">
        <v>225</v>
      </c>
    </row>
    <row r="30" spans="4:5" ht="15">
      <c r="D30" s="710"/>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15" t="s">
        <v>20</v>
      </c>
      <c r="D1" s="715"/>
      <c r="E1" s="715"/>
      <c r="F1" s="715"/>
      <c r="G1" s="716" t="s">
        <v>22</v>
      </c>
      <c r="H1" s="717"/>
      <c r="I1" s="717"/>
      <c r="J1" s="718"/>
      <c r="K1" s="714" t="s">
        <v>23</v>
      </c>
      <c r="L1" s="714"/>
      <c r="M1" s="714"/>
      <c r="N1" s="714"/>
    </row>
    <row r="2" spans="3:14" ht="15">
      <c r="C2" s="5"/>
      <c r="D2" s="5"/>
      <c r="E2" s="5"/>
      <c r="F2" s="5" t="s">
        <v>21</v>
      </c>
      <c r="G2" s="31"/>
      <c r="H2" s="5"/>
      <c r="I2" s="5"/>
      <c r="J2" s="32" t="s">
        <v>21</v>
      </c>
      <c r="K2" s="5"/>
      <c r="L2" s="5"/>
      <c r="M2" s="5"/>
      <c r="N2" s="5" t="s">
        <v>21</v>
      </c>
    </row>
    <row r="3" spans="1:14" ht="15">
      <c r="A3" s="711"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11"/>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11"/>
      <c r="B5" s="6">
        <v>3</v>
      </c>
      <c r="C5" s="7">
        <v>0.05</v>
      </c>
      <c r="D5" s="7">
        <v>0.05</v>
      </c>
      <c r="E5" s="7">
        <v>0.1</v>
      </c>
      <c r="F5" s="8">
        <f>(C5+D5+E5)</f>
        <v>0.2</v>
      </c>
      <c r="G5" s="33">
        <v>0.1</v>
      </c>
      <c r="H5" s="7">
        <v>0.1</v>
      </c>
      <c r="I5" s="7">
        <v>0.1</v>
      </c>
      <c r="J5" s="34">
        <f>(G5+H5+I5)</f>
        <v>0.30000000000000004</v>
      </c>
      <c r="K5" s="25"/>
      <c r="L5" s="6"/>
      <c r="M5" s="6"/>
      <c r="N5" s="6"/>
    </row>
    <row r="6" spans="1:14" ht="15">
      <c r="A6" s="711"/>
      <c r="B6" s="6">
        <v>4</v>
      </c>
      <c r="C6" s="7">
        <v>0.1</v>
      </c>
      <c r="D6" s="7">
        <v>0.1</v>
      </c>
      <c r="E6" s="7">
        <v>0.2</v>
      </c>
      <c r="F6" s="8">
        <f>(C6+D6+E6)</f>
        <v>0.4</v>
      </c>
      <c r="G6" s="33">
        <v>0</v>
      </c>
      <c r="H6" s="7">
        <v>0</v>
      </c>
      <c r="I6" s="7">
        <v>0.1</v>
      </c>
      <c r="J6" s="34">
        <f>(G6+H6+I6)</f>
        <v>0.1</v>
      </c>
      <c r="K6" s="25"/>
      <c r="L6" s="6"/>
      <c r="M6" s="6"/>
      <c r="N6" s="6"/>
    </row>
    <row r="7" spans="1:14" ht="15">
      <c r="A7" s="711"/>
      <c r="B7" s="6">
        <v>5</v>
      </c>
      <c r="C7" s="7">
        <v>0</v>
      </c>
      <c r="D7" s="7">
        <v>0</v>
      </c>
      <c r="E7" s="7">
        <v>0</v>
      </c>
      <c r="F7" s="8">
        <f>(C7+D7+E7)</f>
        <v>0</v>
      </c>
      <c r="G7" s="33">
        <v>0</v>
      </c>
      <c r="H7" s="7">
        <v>0</v>
      </c>
      <c r="I7" s="7">
        <v>0</v>
      </c>
      <c r="J7" s="34">
        <f>(G7+H7+I7)</f>
        <v>0</v>
      </c>
      <c r="K7" s="25"/>
      <c r="L7" s="6"/>
      <c r="M7" s="6"/>
      <c r="N7" s="6"/>
    </row>
    <row r="8" spans="1:14" ht="15">
      <c r="A8" s="711" t="s">
        <v>25</v>
      </c>
      <c r="B8" s="10">
        <v>6</v>
      </c>
      <c r="C8" s="11">
        <v>0.1</v>
      </c>
      <c r="D8" s="11">
        <v>0.1</v>
      </c>
      <c r="E8" s="11">
        <v>0.1</v>
      </c>
      <c r="F8" s="12">
        <f>C8+D8+E8</f>
        <v>0.30000000000000004</v>
      </c>
      <c r="G8" s="35"/>
      <c r="H8" s="10"/>
      <c r="I8" s="10"/>
      <c r="J8" s="36"/>
      <c r="K8" s="26"/>
      <c r="L8" s="10"/>
      <c r="M8" s="10"/>
      <c r="N8" s="10"/>
    </row>
    <row r="9" spans="1:14" ht="15">
      <c r="A9" s="711"/>
      <c r="B9" s="10">
        <v>7</v>
      </c>
      <c r="C9" s="10"/>
      <c r="D9" s="10"/>
      <c r="E9" s="10"/>
      <c r="F9" s="20"/>
      <c r="G9" s="37"/>
      <c r="H9" s="10"/>
      <c r="I9" s="10"/>
      <c r="J9" s="36"/>
      <c r="K9" s="26"/>
      <c r="L9" s="10"/>
      <c r="M9" s="10"/>
      <c r="N9" s="10"/>
    </row>
    <row r="10" spans="1:14" ht="15">
      <c r="A10" s="711"/>
      <c r="B10" s="10">
        <v>8</v>
      </c>
      <c r="C10" s="10"/>
      <c r="D10" s="10"/>
      <c r="E10" s="10"/>
      <c r="F10" s="20"/>
      <c r="G10" s="37"/>
      <c r="H10" s="10"/>
      <c r="I10" s="10"/>
      <c r="J10" s="36"/>
      <c r="K10" s="26"/>
      <c r="L10" s="10"/>
      <c r="M10" s="10"/>
      <c r="N10" s="10"/>
    </row>
    <row r="11" spans="1:14" ht="15">
      <c r="A11" s="711"/>
      <c r="B11" s="10">
        <v>9</v>
      </c>
      <c r="C11" s="10"/>
      <c r="D11" s="10"/>
      <c r="E11" s="10"/>
      <c r="F11" s="20"/>
      <c r="G11" s="37"/>
      <c r="H11" s="10"/>
      <c r="I11" s="10"/>
      <c r="J11" s="36"/>
      <c r="K11" s="26"/>
      <c r="L11" s="10"/>
      <c r="M11" s="10"/>
      <c r="N11" s="10"/>
    </row>
    <row r="12" spans="1:14" ht="15">
      <c r="A12" s="711" t="s">
        <v>26</v>
      </c>
      <c r="B12" s="15">
        <v>10</v>
      </c>
      <c r="C12" s="15"/>
      <c r="D12" s="15"/>
      <c r="E12" s="15"/>
      <c r="F12" s="21"/>
      <c r="G12" s="38"/>
      <c r="H12" s="15"/>
      <c r="I12" s="15"/>
      <c r="J12" s="39"/>
      <c r="K12" s="27"/>
      <c r="L12" s="15"/>
      <c r="M12" s="15"/>
      <c r="N12" s="15"/>
    </row>
    <row r="13" spans="1:14" ht="15">
      <c r="A13" s="711"/>
      <c r="B13" s="15">
        <v>11</v>
      </c>
      <c r="C13" s="15"/>
      <c r="D13" s="15"/>
      <c r="E13" s="15"/>
      <c r="F13" s="21"/>
      <c r="G13" s="38"/>
      <c r="H13" s="15"/>
      <c r="I13" s="15"/>
      <c r="J13" s="39"/>
      <c r="K13" s="27"/>
      <c r="L13" s="15"/>
      <c r="M13" s="15"/>
      <c r="N13" s="15"/>
    </row>
    <row r="14" spans="1:14" ht="15">
      <c r="A14" s="711"/>
      <c r="B14" s="15">
        <v>12</v>
      </c>
      <c r="C14" s="15"/>
      <c r="D14" s="15"/>
      <c r="E14" s="15"/>
      <c r="F14" s="21"/>
      <c r="G14" s="38"/>
      <c r="H14" s="15"/>
      <c r="I14" s="15"/>
      <c r="J14" s="39"/>
      <c r="K14" s="27"/>
      <c r="L14" s="15"/>
      <c r="M14" s="15"/>
      <c r="N14" s="15"/>
    </row>
    <row r="15" spans="1:14" ht="15">
      <c r="A15" s="711"/>
      <c r="B15" s="15">
        <v>13</v>
      </c>
      <c r="C15" s="15"/>
      <c r="D15" s="15"/>
      <c r="E15" s="15"/>
      <c r="F15" s="21"/>
      <c r="G15" s="38"/>
      <c r="H15" s="15"/>
      <c r="I15" s="15"/>
      <c r="J15" s="39"/>
      <c r="K15" s="27"/>
      <c r="L15" s="15"/>
      <c r="M15" s="15"/>
      <c r="N15" s="15"/>
    </row>
    <row r="16" spans="1:14" ht="15">
      <c r="A16" s="711" t="s">
        <v>27</v>
      </c>
      <c r="B16" s="16">
        <v>14</v>
      </c>
      <c r="C16" s="16"/>
      <c r="D16" s="16"/>
      <c r="E16" s="16"/>
      <c r="F16" s="22"/>
      <c r="G16" s="40"/>
      <c r="H16" s="16"/>
      <c r="I16" s="16"/>
      <c r="J16" s="41"/>
      <c r="K16" s="28"/>
      <c r="L16" s="16"/>
      <c r="M16" s="16"/>
      <c r="N16" s="16"/>
    </row>
    <row r="17" spans="1:14" ht="15">
      <c r="A17" s="711"/>
      <c r="B17" s="16">
        <v>15</v>
      </c>
      <c r="C17" s="16"/>
      <c r="D17" s="16"/>
      <c r="E17" s="16"/>
      <c r="F17" s="22"/>
      <c r="G17" s="40"/>
      <c r="H17" s="16"/>
      <c r="I17" s="16"/>
      <c r="J17" s="41"/>
      <c r="K17" s="28"/>
      <c r="L17" s="16"/>
      <c r="M17" s="16"/>
      <c r="N17" s="16"/>
    </row>
    <row r="18" spans="1:14" ht="15">
      <c r="A18" s="711"/>
      <c r="B18" s="16">
        <v>16</v>
      </c>
      <c r="C18" s="16"/>
      <c r="D18" s="16"/>
      <c r="E18" s="16"/>
      <c r="F18" s="22"/>
      <c r="G18" s="40"/>
      <c r="H18" s="16"/>
      <c r="I18" s="16"/>
      <c r="J18" s="41"/>
      <c r="K18" s="28"/>
      <c r="L18" s="16"/>
      <c r="M18" s="16"/>
      <c r="N18" s="16"/>
    </row>
    <row r="19" spans="1:14" ht="15">
      <c r="A19" s="711" t="s">
        <v>28</v>
      </c>
      <c r="B19" s="19">
        <v>17</v>
      </c>
      <c r="C19" s="19"/>
      <c r="D19" s="19"/>
      <c r="E19" s="19"/>
      <c r="F19" s="23"/>
      <c r="G19" s="42"/>
      <c r="H19" s="19"/>
      <c r="I19" s="19"/>
      <c r="J19" s="43"/>
      <c r="K19" s="29"/>
      <c r="L19" s="19"/>
      <c r="M19" s="19"/>
      <c r="N19" s="19"/>
    </row>
    <row r="20" spans="1:14" ht="15">
      <c r="A20" s="711"/>
      <c r="B20" s="19">
        <v>18</v>
      </c>
      <c r="C20" s="19"/>
      <c r="D20" s="19"/>
      <c r="E20" s="19"/>
      <c r="F20" s="23"/>
      <c r="G20" s="42"/>
      <c r="H20" s="19"/>
      <c r="I20" s="19"/>
      <c r="J20" s="43"/>
      <c r="K20" s="29"/>
      <c r="L20" s="19"/>
      <c r="M20" s="19"/>
      <c r="N20" s="19"/>
    </row>
    <row r="21" spans="1:14" ht="15">
      <c r="A21" s="711"/>
      <c r="B21" s="19">
        <v>19</v>
      </c>
      <c r="C21" s="19"/>
      <c r="D21" s="19"/>
      <c r="E21" s="19"/>
      <c r="F21" s="23"/>
      <c r="G21" s="42"/>
      <c r="H21" s="19"/>
      <c r="I21" s="19"/>
      <c r="J21" s="43"/>
      <c r="K21" s="29"/>
      <c r="L21" s="19"/>
      <c r="M21" s="19"/>
      <c r="N21" s="19"/>
    </row>
    <row r="22" spans="1:14" ht="15">
      <c r="A22" s="711"/>
      <c r="B22" s="19">
        <v>20</v>
      </c>
      <c r="C22" s="19"/>
      <c r="D22" s="19"/>
      <c r="E22" s="19"/>
      <c r="F22" s="23"/>
      <c r="G22" s="42"/>
      <c r="H22" s="19"/>
      <c r="I22" s="19"/>
      <c r="J22" s="43"/>
      <c r="K22" s="29"/>
      <c r="L22" s="19"/>
      <c r="M22" s="19"/>
      <c r="N22" s="19"/>
    </row>
    <row r="23" spans="1:14" ht="15">
      <c r="A23" s="711" t="s">
        <v>29</v>
      </c>
      <c r="B23" s="14">
        <v>21</v>
      </c>
      <c r="C23" s="14"/>
      <c r="D23" s="14"/>
      <c r="E23" s="14"/>
      <c r="F23" s="24"/>
      <c r="G23" s="44"/>
      <c r="H23" s="14"/>
      <c r="I23" s="14"/>
      <c r="J23" s="45"/>
      <c r="K23" s="30"/>
      <c r="L23" s="14"/>
      <c r="M23" s="14"/>
      <c r="N23" s="14"/>
    </row>
    <row r="24" spans="1:14" ht="15">
      <c r="A24" s="711"/>
      <c r="B24" s="14">
        <v>22</v>
      </c>
      <c r="C24" s="14"/>
      <c r="D24" s="14"/>
      <c r="E24" s="14"/>
      <c r="F24" s="24"/>
      <c r="G24" s="44"/>
      <c r="H24" s="14"/>
      <c r="I24" s="14"/>
      <c r="J24" s="45"/>
      <c r="K24" s="30"/>
      <c r="L24" s="14"/>
      <c r="M24" s="14"/>
      <c r="N24" s="14"/>
    </row>
    <row r="25" spans="1:14" ht="15">
      <c r="A25" s="711"/>
      <c r="B25" s="14">
        <v>23</v>
      </c>
      <c r="C25" s="14"/>
      <c r="D25" s="14"/>
      <c r="E25" s="14"/>
      <c r="F25" s="24"/>
      <c r="G25" s="44"/>
      <c r="H25" s="14"/>
      <c r="I25" s="14"/>
      <c r="J25" s="45"/>
      <c r="K25" s="30"/>
      <c r="L25" s="14"/>
      <c r="M25" s="14"/>
      <c r="N25" s="14"/>
    </row>
    <row r="26" spans="1:14" ht="15">
      <c r="A26" s="711"/>
      <c r="B26" s="14">
        <v>24</v>
      </c>
      <c r="C26" s="14"/>
      <c r="D26" s="14"/>
      <c r="E26" s="14"/>
      <c r="F26" s="24"/>
      <c r="G26" s="44"/>
      <c r="H26" s="14"/>
      <c r="I26" s="14"/>
      <c r="J26" s="45"/>
      <c r="K26" s="30"/>
      <c r="L26" s="14"/>
      <c r="M26" s="14"/>
      <c r="N26" s="14"/>
    </row>
    <row r="27" spans="1:14" ht="15">
      <c r="A27" s="711" t="s">
        <v>30</v>
      </c>
      <c r="B27" s="10">
        <v>25</v>
      </c>
      <c r="C27" s="10"/>
      <c r="D27" s="10"/>
      <c r="E27" s="10"/>
      <c r="F27" s="10"/>
      <c r="G27" s="10"/>
      <c r="H27" s="10"/>
      <c r="I27" s="10"/>
      <c r="J27" s="10"/>
      <c r="K27" s="10"/>
      <c r="L27" s="10"/>
      <c r="M27" s="10"/>
      <c r="N27" s="10"/>
    </row>
    <row r="28" spans="1:14" ht="15">
      <c r="A28" s="711"/>
      <c r="B28" s="10">
        <v>26</v>
      </c>
      <c r="C28" s="10"/>
      <c r="D28" s="10"/>
      <c r="E28" s="10"/>
      <c r="F28" s="10"/>
      <c r="G28" s="10"/>
      <c r="H28" s="10"/>
      <c r="I28" s="10"/>
      <c r="J28" s="10"/>
      <c r="K28" s="10"/>
      <c r="L28" s="10"/>
      <c r="M28" s="10"/>
      <c r="N28" s="10"/>
    </row>
    <row r="29" spans="1:14" ht="15">
      <c r="A29" s="711"/>
      <c r="B29" s="10">
        <v>27</v>
      </c>
      <c r="C29" s="10"/>
      <c r="D29" s="10"/>
      <c r="E29" s="10"/>
      <c r="F29" s="10"/>
      <c r="G29" s="10"/>
      <c r="H29" s="10"/>
      <c r="I29" s="10"/>
      <c r="J29" s="10"/>
      <c r="K29" s="10"/>
      <c r="L29" s="10"/>
      <c r="M29" s="10"/>
      <c r="N29" s="10"/>
    </row>
    <row r="30" spans="1:14" ht="15">
      <c r="A30" s="711"/>
      <c r="B30" s="10">
        <v>28</v>
      </c>
      <c r="C30" s="10"/>
      <c r="D30" s="10"/>
      <c r="E30" s="10"/>
      <c r="F30" s="10"/>
      <c r="G30" s="10"/>
      <c r="H30" s="10"/>
      <c r="I30" s="10"/>
      <c r="J30" s="10"/>
      <c r="K30" s="10"/>
      <c r="L30" s="10"/>
      <c r="M30" s="10"/>
      <c r="N30" s="10"/>
    </row>
    <row r="31" spans="1:14" ht="15">
      <c r="A31" s="711"/>
      <c r="B31" s="10">
        <v>29</v>
      </c>
      <c r="C31" s="10"/>
      <c r="D31" s="10"/>
      <c r="E31" s="10"/>
      <c r="F31" s="10"/>
      <c r="G31" s="10"/>
      <c r="H31" s="10"/>
      <c r="I31" s="10"/>
      <c r="J31" s="10"/>
      <c r="K31" s="10"/>
      <c r="L31" s="10"/>
      <c r="M31" s="10"/>
      <c r="N31" s="10"/>
    </row>
    <row r="32" spans="1:14" ht="15">
      <c r="A32" s="711" t="s">
        <v>31</v>
      </c>
      <c r="B32" s="17">
        <v>30</v>
      </c>
      <c r="C32" s="17"/>
      <c r="D32" s="17"/>
      <c r="E32" s="17"/>
      <c r="F32" s="17"/>
      <c r="G32" s="17"/>
      <c r="H32" s="17"/>
      <c r="I32" s="17"/>
      <c r="J32" s="17"/>
      <c r="K32" s="17"/>
      <c r="L32" s="17"/>
      <c r="M32" s="17"/>
      <c r="N32" s="17"/>
    </row>
    <row r="33" spans="1:14" ht="15">
      <c r="A33" s="711"/>
      <c r="B33" s="17">
        <v>31</v>
      </c>
      <c r="C33" s="17"/>
      <c r="D33" s="17"/>
      <c r="E33" s="17"/>
      <c r="F33" s="17"/>
      <c r="G33" s="17"/>
      <c r="H33" s="17"/>
      <c r="I33" s="17"/>
      <c r="J33" s="17"/>
      <c r="K33" s="17"/>
      <c r="L33" s="17"/>
      <c r="M33" s="17"/>
      <c r="N33" s="17"/>
    </row>
    <row r="34" spans="1:14" ht="15">
      <c r="A34" s="711"/>
      <c r="B34" s="17">
        <v>32</v>
      </c>
      <c r="C34" s="17"/>
      <c r="D34" s="17"/>
      <c r="E34" s="17"/>
      <c r="F34" s="17"/>
      <c r="G34" s="17"/>
      <c r="H34" s="17"/>
      <c r="I34" s="17"/>
      <c r="J34" s="17"/>
      <c r="K34" s="17"/>
      <c r="L34" s="17"/>
      <c r="M34" s="17"/>
      <c r="N34" s="17"/>
    </row>
    <row r="35" spans="1:14" ht="15">
      <c r="A35" s="711" t="s">
        <v>32</v>
      </c>
      <c r="B35" s="18">
        <v>33</v>
      </c>
      <c r="C35" s="15"/>
      <c r="D35" s="15"/>
      <c r="E35" s="15"/>
      <c r="F35" s="15"/>
      <c r="G35" s="15"/>
      <c r="H35" s="15"/>
      <c r="I35" s="15"/>
      <c r="J35" s="15"/>
      <c r="K35" s="15"/>
      <c r="L35" s="15"/>
      <c r="M35" s="15"/>
      <c r="N35" s="15"/>
    </row>
    <row r="36" spans="1:14" ht="15">
      <c r="A36" s="711"/>
      <c r="B36" s="15">
        <v>34</v>
      </c>
      <c r="C36" s="15"/>
      <c r="D36" s="15"/>
      <c r="E36" s="15"/>
      <c r="F36" s="15"/>
      <c r="G36" s="15"/>
      <c r="H36" s="15"/>
      <c r="I36" s="15"/>
      <c r="J36" s="15"/>
      <c r="K36" s="15"/>
      <c r="L36" s="15"/>
      <c r="M36" s="15"/>
      <c r="N36" s="15"/>
    </row>
    <row r="37" spans="1:14" ht="15">
      <c r="A37" s="711"/>
      <c r="B37" s="46">
        <v>35</v>
      </c>
      <c r="C37" s="15"/>
      <c r="D37" s="15"/>
      <c r="E37" s="15"/>
      <c r="F37" s="15"/>
      <c r="G37" s="15"/>
      <c r="H37" s="15"/>
      <c r="I37" s="15"/>
      <c r="J37" s="15"/>
      <c r="K37" s="15"/>
      <c r="L37" s="15"/>
      <c r="M37" s="15"/>
      <c r="N37" s="15"/>
    </row>
    <row r="38" spans="1:14" ht="15">
      <c r="A38" s="711" t="s">
        <v>33</v>
      </c>
      <c r="B38" s="9">
        <v>36</v>
      </c>
      <c r="C38" s="9"/>
      <c r="D38" s="9"/>
      <c r="E38" s="9"/>
      <c r="F38" s="9"/>
      <c r="G38" s="9"/>
      <c r="H38" s="9"/>
      <c r="I38" s="9"/>
      <c r="J38" s="9"/>
      <c r="K38" s="9"/>
      <c r="L38" s="9"/>
      <c r="M38" s="9"/>
      <c r="N38" s="9"/>
    </row>
    <row r="39" spans="1:14" ht="15">
      <c r="A39" s="711"/>
      <c r="B39" s="9">
        <v>37</v>
      </c>
      <c r="C39" s="9"/>
      <c r="D39" s="9"/>
      <c r="E39" s="9"/>
      <c r="F39" s="9"/>
      <c r="G39" s="9"/>
      <c r="H39" s="9"/>
      <c r="I39" s="9"/>
      <c r="J39" s="9"/>
      <c r="K39" s="9"/>
      <c r="L39" s="9"/>
      <c r="M39" s="9"/>
      <c r="N39" s="9"/>
    </row>
    <row r="40" spans="1:14" ht="15">
      <c r="A40" s="711"/>
      <c r="B40" s="9">
        <v>38</v>
      </c>
      <c r="C40" s="9"/>
      <c r="D40" s="9"/>
      <c r="E40" s="9"/>
      <c r="F40" s="9"/>
      <c r="G40" s="9"/>
      <c r="H40" s="9"/>
      <c r="I40" s="9"/>
      <c r="J40" s="9"/>
      <c r="K40" s="9"/>
      <c r="L40" s="9"/>
      <c r="M40" s="9"/>
      <c r="N40" s="9"/>
    </row>
    <row r="41" spans="1:14" ht="15">
      <c r="A41" s="712" t="s">
        <v>34</v>
      </c>
      <c r="B41" s="47">
        <v>39</v>
      </c>
      <c r="C41" s="48"/>
      <c r="D41" s="48"/>
      <c r="E41" s="48"/>
      <c r="F41" s="48"/>
      <c r="G41" s="48"/>
      <c r="H41" s="48"/>
      <c r="I41" s="48"/>
      <c r="J41" s="48"/>
      <c r="K41" s="48"/>
      <c r="L41" s="48"/>
      <c r="M41" s="48"/>
      <c r="N41" s="48"/>
    </row>
    <row r="42" spans="1:14" ht="15">
      <c r="A42" s="712"/>
      <c r="B42" s="48">
        <v>40</v>
      </c>
      <c r="C42" s="48"/>
      <c r="D42" s="48"/>
      <c r="E42" s="48"/>
      <c r="F42" s="48"/>
      <c r="G42" s="48"/>
      <c r="H42" s="48"/>
      <c r="I42" s="48"/>
      <c r="J42" s="48"/>
      <c r="K42" s="48"/>
      <c r="L42" s="48"/>
      <c r="M42" s="48"/>
      <c r="N42" s="48"/>
    </row>
    <row r="43" spans="1:14" ht="15">
      <c r="A43" s="712"/>
      <c r="B43" s="48">
        <v>41</v>
      </c>
      <c r="C43" s="48"/>
      <c r="D43" s="48"/>
      <c r="E43" s="48"/>
      <c r="F43" s="48"/>
      <c r="G43" s="48"/>
      <c r="H43" s="48"/>
      <c r="I43" s="48"/>
      <c r="J43" s="48"/>
      <c r="K43" s="48"/>
      <c r="L43" s="48"/>
      <c r="M43" s="48"/>
      <c r="N43" s="48"/>
    </row>
    <row r="44" spans="1:14" ht="15">
      <c r="A44" s="712"/>
      <c r="B44" s="49">
        <v>42</v>
      </c>
      <c r="C44" s="48"/>
      <c r="D44" s="48"/>
      <c r="E44" s="48"/>
      <c r="F44" s="48"/>
      <c r="G44" s="48"/>
      <c r="H44" s="48"/>
      <c r="I44" s="48"/>
      <c r="J44" s="48"/>
      <c r="K44" s="48"/>
      <c r="L44" s="48"/>
      <c r="M44" s="48"/>
      <c r="N44" s="48"/>
    </row>
    <row r="45" spans="1:14" ht="15">
      <c r="A45" s="713" t="s">
        <v>35</v>
      </c>
      <c r="B45" s="13">
        <v>43</v>
      </c>
      <c r="C45" s="13"/>
      <c r="D45" s="13"/>
      <c r="E45" s="13"/>
      <c r="F45" s="13"/>
      <c r="G45" s="13"/>
      <c r="H45" s="13"/>
      <c r="I45" s="13"/>
      <c r="J45" s="13"/>
      <c r="K45" s="13"/>
      <c r="L45" s="13"/>
      <c r="M45" s="13"/>
      <c r="N45" s="13"/>
    </row>
    <row r="46" spans="1:14" ht="15">
      <c r="A46" s="71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5" zoomScaleNormal="75" workbookViewId="0" topLeftCell="A1">
      <selection activeCell="W25" sqref="W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345" t="s">
        <v>45</v>
      </c>
      <c r="D7" s="381" t="s">
        <v>71</v>
      </c>
      <c r="E7" s="387"/>
      <c r="F7" s="387"/>
      <c r="G7" s="387"/>
      <c r="H7" s="382"/>
      <c r="I7" s="390">
        <v>45141</v>
      </c>
      <c r="J7" s="391"/>
      <c r="K7" s="381" t="s">
        <v>67</v>
      </c>
      <c r="L7" s="382"/>
      <c r="M7" s="406" t="s">
        <v>70</v>
      </c>
      <c r="N7" s="407"/>
      <c r="O7" s="396"/>
      <c r="P7" s="397"/>
      <c r="Q7" s="56"/>
      <c r="R7" s="56"/>
      <c r="S7" s="56"/>
      <c r="T7" s="56"/>
      <c r="U7" s="56"/>
      <c r="V7" s="56"/>
      <c r="W7" s="56"/>
      <c r="X7" s="56"/>
      <c r="Y7" s="56"/>
      <c r="Z7" s="57"/>
      <c r="AA7" s="56"/>
      <c r="AB7" s="56"/>
      <c r="AC7" s="62"/>
      <c r="AD7" s="63"/>
    </row>
    <row r="8" spans="1:30" ht="15">
      <c r="A8" s="341"/>
      <c r="B8" s="342"/>
      <c r="C8" s="346"/>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343"/>
      <c r="B9" s="344"/>
      <c r="C9" s="347"/>
      <c r="D9" s="385"/>
      <c r="E9" s="389"/>
      <c r="F9" s="389"/>
      <c r="G9" s="389"/>
      <c r="H9" s="386"/>
      <c r="I9" s="394"/>
      <c r="J9" s="395"/>
      <c r="K9" s="385"/>
      <c r="L9" s="386"/>
      <c r="M9" s="402" t="s">
        <v>69</v>
      </c>
      <c r="N9" s="403"/>
      <c r="O9" s="404" t="s">
        <v>420</v>
      </c>
      <c r="P9" s="405"/>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78" customFormat="1" ht="37.5" customHeight="1" thickBot="1">
      <c r="A17" s="418" t="s">
        <v>79</v>
      </c>
      <c r="B17" s="419"/>
      <c r="C17" s="420" t="s">
        <v>534</v>
      </c>
      <c r="D17" s="421"/>
      <c r="E17" s="421"/>
      <c r="F17" s="421"/>
      <c r="G17" s="421"/>
      <c r="H17" s="421"/>
      <c r="I17" s="421"/>
      <c r="J17" s="421"/>
      <c r="K17" s="421"/>
      <c r="L17" s="421"/>
      <c r="M17" s="421"/>
      <c r="N17" s="421"/>
      <c r="O17" s="421"/>
      <c r="P17" s="421"/>
      <c r="Q17" s="422"/>
      <c r="R17" s="326" t="s">
        <v>374</v>
      </c>
      <c r="S17" s="327"/>
      <c r="T17" s="327"/>
      <c r="U17" s="327"/>
      <c r="V17" s="328"/>
      <c r="W17" s="436">
        <v>1050</v>
      </c>
      <c r="X17" s="437"/>
      <c r="Y17" s="327" t="s">
        <v>15</v>
      </c>
      <c r="Z17" s="327"/>
      <c r="AA17" s="327"/>
      <c r="AB17" s="328"/>
      <c r="AC17" s="337">
        <v>0.4</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86"/>
      <c r="AF19" s="86"/>
    </row>
    <row r="20" spans="1:32"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5" t="s">
        <v>378</v>
      </c>
      <c r="B22" s="336"/>
      <c r="C22" s="264">
        <f>63439925</f>
        <v>63439925</v>
      </c>
      <c r="D22" s="247"/>
      <c r="E22" s="247"/>
      <c r="F22" s="247"/>
      <c r="G22" s="247">
        <v>-14814614.35</v>
      </c>
      <c r="H22" s="247"/>
      <c r="I22" s="247"/>
      <c r="J22" s="247"/>
      <c r="K22" s="247"/>
      <c r="L22" s="247"/>
      <c r="M22" s="247"/>
      <c r="N22" s="247"/>
      <c r="O22" s="247">
        <f>SUM(C22:N22)</f>
        <v>48625310.65</v>
      </c>
      <c r="P22" s="299"/>
      <c r="Q22" s="264">
        <f>2911724847-T22-R22</f>
        <v>2471279210</v>
      </c>
      <c r="R22" s="247">
        <v>398664000</v>
      </c>
      <c r="S22" s="247"/>
      <c r="T22" s="247">
        <v>41781637</v>
      </c>
      <c r="U22" s="247"/>
      <c r="V22" s="247"/>
      <c r="W22" s="247">
        <v>41746558</v>
      </c>
      <c r="X22" s="247">
        <v>74605298</v>
      </c>
      <c r="Y22" s="247"/>
      <c r="Z22" s="247"/>
      <c r="AA22" s="247"/>
      <c r="AB22" s="247"/>
      <c r="AC22" s="247">
        <f>SUM(Q22:AB22)</f>
        <v>3028076703</v>
      </c>
      <c r="AD22" s="248"/>
      <c r="AE22" s="4"/>
      <c r="AF22" s="4"/>
    </row>
    <row r="23" spans="1:31" ht="32.25" customHeight="1">
      <c r="A23" s="324" t="s">
        <v>379</v>
      </c>
      <c r="B23" s="325"/>
      <c r="C23" s="186">
        <f>+C22</f>
        <v>63439925</v>
      </c>
      <c r="D23" s="185"/>
      <c r="E23" s="185"/>
      <c r="F23" s="185"/>
      <c r="G23" s="185">
        <v>-14814614.35</v>
      </c>
      <c r="H23" s="185"/>
      <c r="I23" s="185"/>
      <c r="J23" s="185"/>
      <c r="K23" s="185"/>
      <c r="L23" s="185"/>
      <c r="M23" s="185"/>
      <c r="N23" s="185"/>
      <c r="O23" s="250">
        <f>SUM(C23:N23)</f>
        <v>48625310.65</v>
      </c>
      <c r="P23" s="194">
        <f>_xlfn.IFERROR(O23/(SUMIF(C23:N23,"&gt;0",C22:N22))," ")</f>
        <v>0.7664780601490307</v>
      </c>
      <c r="Q23" s="186">
        <v>2135097765</v>
      </c>
      <c r="R23" s="185">
        <v>403661057</v>
      </c>
      <c r="S23" s="185"/>
      <c r="T23" s="185">
        <f>272104000-5649674.25</f>
        <v>266454325.75</v>
      </c>
      <c r="U23" s="185">
        <v>70647264.94</v>
      </c>
      <c r="V23" s="185">
        <v>-6960800.33</v>
      </c>
      <c r="W23" s="185">
        <f>-3585867-131497.39</f>
        <v>-3717364.39</v>
      </c>
      <c r="X23" s="185"/>
      <c r="Y23" s="185"/>
      <c r="Z23" s="185"/>
      <c r="AA23" s="185"/>
      <c r="AB23" s="185"/>
      <c r="AC23" s="250">
        <f>SUM(Q23:AB23)</f>
        <v>2865182247.9700003</v>
      </c>
      <c r="AD23" s="194">
        <f>_xlfn.IFERROR(AC23/(SUMIF(Q23:AB23,"&gt;0",Q22:AB22))," ")</f>
        <v>0.9840154542494105</v>
      </c>
      <c r="AE23" s="304"/>
    </row>
    <row r="24" spans="1:32" ht="32.25" customHeight="1">
      <c r="A24" s="324" t="s">
        <v>380</v>
      </c>
      <c r="B24" s="325"/>
      <c r="C24" s="186">
        <f>3304659-1</f>
        <v>3304658</v>
      </c>
      <c r="D24" s="185">
        <v>31508238</v>
      </c>
      <c r="E24" s="185">
        <v>12313273</v>
      </c>
      <c r="F24" s="185">
        <v>1499142</v>
      </c>
      <c r="G24" s="185">
        <f>14814613-14814613</f>
        <v>0</v>
      </c>
      <c r="H24" s="185"/>
      <c r="I24" s="185"/>
      <c r="J24" s="185"/>
      <c r="K24" s="185"/>
      <c r="L24" s="185"/>
      <c r="M24" s="185"/>
      <c r="N24" s="185"/>
      <c r="O24" s="250">
        <f>SUM(C24:N24)</f>
        <v>48625311</v>
      </c>
      <c r="P24" s="194"/>
      <c r="Q24" s="186"/>
      <c r="R24" s="185">
        <v>39268856</v>
      </c>
      <c r="S24" s="185">
        <v>274890870</v>
      </c>
      <c r="T24" s="185">
        <v>316672507</v>
      </c>
      <c r="U24" s="185">
        <v>274890870</v>
      </c>
      <c r="V24" s="185">
        <v>274890870</v>
      </c>
      <c r="W24" s="185">
        <v>274890870</v>
      </c>
      <c r="X24" s="185">
        <v>274890870</v>
      </c>
      <c r="Y24" s="185">
        <v>273572370</v>
      </c>
      <c r="Z24" s="185">
        <v>273572370</v>
      </c>
      <c r="AA24" s="185">
        <f>273572370+1318500</f>
        <v>274890870</v>
      </c>
      <c r="AB24" s="185">
        <f>360612024+115033356</f>
        <v>475645380</v>
      </c>
      <c r="AC24" s="250">
        <f>SUM(Q24:AB24)</f>
        <v>3028076703</v>
      </c>
      <c r="AD24" s="194"/>
      <c r="AE24" s="4"/>
      <c r="AF24" s="4"/>
    </row>
    <row r="25" spans="1:33" ht="32.25" customHeight="1" thickBot="1">
      <c r="A25" s="412" t="s">
        <v>381</v>
      </c>
      <c r="B25" s="413"/>
      <c r="C25" s="187">
        <v>16742838</v>
      </c>
      <c r="D25" s="188">
        <v>20812192</v>
      </c>
      <c r="E25" s="188">
        <v>9571139</v>
      </c>
      <c r="F25" s="188"/>
      <c r="G25" s="188">
        <f>1499141.7</f>
        <v>1499141.7</v>
      </c>
      <c r="H25" s="188"/>
      <c r="I25" s="188"/>
      <c r="J25" s="188"/>
      <c r="K25" s="188"/>
      <c r="L25" s="188"/>
      <c r="M25" s="188"/>
      <c r="N25" s="188"/>
      <c r="O25" s="307">
        <f>SUM(C25:N25)</f>
        <v>48625310.7</v>
      </c>
      <c r="P25" s="195">
        <f>_xlfn.IFERROR(O25/(SUMIF(C25:N25,"&gt;0",C24:N24))," ")</f>
        <v>1.0318112363430179</v>
      </c>
      <c r="Q25" s="187"/>
      <c r="R25" s="317">
        <v>55249850.25</v>
      </c>
      <c r="S25" s="317">
        <v>215368965.28</v>
      </c>
      <c r="T25" s="317">
        <v>243887146.5</v>
      </c>
      <c r="U25" s="317">
        <v>251287429</v>
      </c>
      <c r="V25" s="317">
        <v>271649496</v>
      </c>
      <c r="W25" s="317">
        <v>321404896.88</v>
      </c>
      <c r="X25" s="317"/>
      <c r="Y25" s="317"/>
      <c r="Z25" s="317"/>
      <c r="AA25" s="317"/>
      <c r="AB25" s="317"/>
      <c r="AC25" s="307">
        <f>SUM(Q25:AB25)</f>
        <v>1358847783.9099998</v>
      </c>
      <c r="AD25" s="195">
        <f>_xlfn.IFERROR(AC25/(SUMIF(Q25:AB25,"&gt;0",Q24:AB24))," ")</f>
        <v>0.9335920731869388</v>
      </c>
      <c r="AE25" s="4"/>
      <c r="AF25" s="30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212" t="s">
        <v>39</v>
      </c>
      <c r="E29" s="212" t="s">
        <v>40</v>
      </c>
      <c r="F29" s="212" t="s">
        <v>41</v>
      </c>
      <c r="G29" s="212" t="s">
        <v>42</v>
      </c>
      <c r="H29" s="212" t="s">
        <v>43</v>
      </c>
      <c r="I29" s="212" t="s">
        <v>44</v>
      </c>
      <c r="J29" s="212" t="s">
        <v>45</v>
      </c>
      <c r="K29" s="212" t="s">
        <v>46</v>
      </c>
      <c r="L29" s="212" t="s">
        <v>47</v>
      </c>
      <c r="M29" s="212" t="s">
        <v>48</v>
      </c>
      <c r="N29" s="212" t="s">
        <v>49</v>
      </c>
      <c r="O29" s="212"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24" t="s">
        <v>190</v>
      </c>
      <c r="B32" s="431" t="s">
        <v>62</v>
      </c>
      <c r="C32" s="431" t="s">
        <v>6</v>
      </c>
      <c r="D32" s="431" t="s">
        <v>60</v>
      </c>
      <c r="E32" s="431"/>
      <c r="F32" s="431"/>
      <c r="G32" s="431"/>
      <c r="H32" s="431"/>
      <c r="I32" s="431"/>
      <c r="J32" s="431"/>
      <c r="K32" s="431"/>
      <c r="L32" s="431"/>
      <c r="M32" s="431"/>
      <c r="N32" s="431"/>
      <c r="O32" s="431"/>
      <c r="P32" s="431"/>
      <c r="Q32" s="431" t="s">
        <v>85</v>
      </c>
      <c r="R32" s="431"/>
      <c r="S32" s="431"/>
      <c r="T32" s="431"/>
      <c r="U32" s="431"/>
      <c r="V32" s="431"/>
      <c r="W32" s="431"/>
      <c r="X32" s="431"/>
      <c r="Y32" s="431"/>
      <c r="Z32" s="431"/>
      <c r="AA32" s="431"/>
      <c r="AB32" s="431"/>
      <c r="AC32" s="431"/>
      <c r="AD32" s="432"/>
      <c r="AG32" s="90"/>
      <c r="AH32" s="90"/>
      <c r="AI32" s="90"/>
      <c r="AJ32" s="90"/>
      <c r="AK32" s="90"/>
      <c r="AL32" s="90"/>
      <c r="AM32" s="90"/>
      <c r="AN32" s="90"/>
      <c r="AO32" s="90"/>
    </row>
    <row r="33" spans="1:41" ht="27" customHeight="1">
      <c r="A33" s="324"/>
      <c r="B33" s="431"/>
      <c r="C33" s="442"/>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431" t="s">
        <v>402</v>
      </c>
      <c r="R33" s="431"/>
      <c r="S33" s="431"/>
      <c r="T33" s="431" t="s">
        <v>403</v>
      </c>
      <c r="U33" s="431"/>
      <c r="V33" s="431"/>
      <c r="W33" s="427" t="s">
        <v>81</v>
      </c>
      <c r="X33" s="443"/>
      <c r="Y33" s="443"/>
      <c r="Z33" s="428"/>
      <c r="AA33" s="427" t="s">
        <v>82</v>
      </c>
      <c r="AB33" s="443"/>
      <c r="AC33" s="443"/>
      <c r="AD33" s="444"/>
      <c r="AG33" s="90"/>
      <c r="AH33" s="90"/>
      <c r="AI33" s="90"/>
      <c r="AJ33" s="90"/>
      <c r="AK33" s="90"/>
      <c r="AL33" s="90"/>
      <c r="AM33" s="90"/>
      <c r="AN33" s="90"/>
      <c r="AO33" s="90"/>
    </row>
    <row r="34" spans="1:41" ht="147" customHeight="1">
      <c r="A34" s="445" t="s">
        <v>534</v>
      </c>
      <c r="B34" s="447">
        <v>0.4</v>
      </c>
      <c r="C34" s="93" t="s">
        <v>9</v>
      </c>
      <c r="D34" s="298">
        <v>15</v>
      </c>
      <c r="E34" s="298">
        <v>35</v>
      </c>
      <c r="F34" s="298">
        <v>40</v>
      </c>
      <c r="G34" s="298">
        <v>40</v>
      </c>
      <c r="H34" s="298">
        <v>115</v>
      </c>
      <c r="I34" s="298">
        <v>115</v>
      </c>
      <c r="J34" s="298">
        <v>115</v>
      </c>
      <c r="K34" s="298">
        <v>115</v>
      </c>
      <c r="L34" s="298">
        <v>115</v>
      </c>
      <c r="M34" s="298">
        <v>115</v>
      </c>
      <c r="N34" s="298">
        <v>115</v>
      </c>
      <c r="O34" s="298">
        <v>115</v>
      </c>
      <c r="P34" s="254">
        <f>SUM(D34:O34)</f>
        <v>1050</v>
      </c>
      <c r="Q34" s="457" t="s">
        <v>577</v>
      </c>
      <c r="R34" s="458"/>
      <c r="S34" s="459"/>
      <c r="T34" s="457" t="s">
        <v>552</v>
      </c>
      <c r="U34" s="458"/>
      <c r="V34" s="459"/>
      <c r="W34" s="487"/>
      <c r="X34" s="488"/>
      <c r="Y34" s="488"/>
      <c r="Z34" s="489"/>
      <c r="AA34" s="449" t="s">
        <v>527</v>
      </c>
      <c r="AB34" s="450"/>
      <c r="AC34" s="450"/>
      <c r="AD34" s="455"/>
      <c r="AF34"/>
      <c r="AG34" s="90"/>
      <c r="AH34" s="90"/>
      <c r="AI34" s="90"/>
      <c r="AJ34" s="90"/>
      <c r="AK34" s="90"/>
      <c r="AL34" s="90"/>
      <c r="AM34" s="90"/>
      <c r="AN34" s="90"/>
      <c r="AO34" s="90"/>
    </row>
    <row r="35" spans="1:41" ht="130.5" customHeight="1" thickBot="1">
      <c r="A35" s="446"/>
      <c r="B35" s="448"/>
      <c r="C35" s="94" t="s">
        <v>10</v>
      </c>
      <c r="D35" s="253">
        <v>24</v>
      </c>
      <c r="E35" s="253">
        <v>73</v>
      </c>
      <c r="F35" s="253">
        <v>133</v>
      </c>
      <c r="G35" s="252">
        <v>99</v>
      </c>
      <c r="H35" s="252">
        <v>164</v>
      </c>
      <c r="I35" s="252">
        <v>144</v>
      </c>
      <c r="J35" s="252">
        <v>137</v>
      </c>
      <c r="K35" s="252"/>
      <c r="L35" s="252"/>
      <c r="M35" s="252"/>
      <c r="N35" s="252"/>
      <c r="O35" s="252"/>
      <c r="P35" s="252">
        <f>SUM(D35:O35)</f>
        <v>774</v>
      </c>
      <c r="Q35" s="460"/>
      <c r="R35" s="461"/>
      <c r="S35" s="462"/>
      <c r="T35" s="460"/>
      <c r="U35" s="461"/>
      <c r="V35" s="462"/>
      <c r="W35" s="490"/>
      <c r="X35" s="491"/>
      <c r="Y35" s="491"/>
      <c r="Z35" s="492"/>
      <c r="AA35" s="452"/>
      <c r="AB35" s="453"/>
      <c r="AC35" s="453"/>
      <c r="AD35" s="456"/>
      <c r="AE35" s="50"/>
      <c r="AF35"/>
      <c r="AG35" s="90"/>
      <c r="AH35" s="90"/>
      <c r="AI35" s="90"/>
      <c r="AJ35" s="90"/>
      <c r="AK35" s="90"/>
      <c r="AL35" s="90"/>
      <c r="AM35" s="90"/>
      <c r="AN35" s="90"/>
      <c r="AO35" s="90"/>
    </row>
    <row r="36" spans="1:41"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G36" s="90"/>
      <c r="AH36" s="90"/>
      <c r="AI36" s="90"/>
      <c r="AJ36" s="90"/>
      <c r="AK36" s="90"/>
      <c r="AL36" s="90"/>
      <c r="AM36" s="90"/>
      <c r="AN36" s="90"/>
      <c r="AO36" s="90"/>
    </row>
    <row r="37" spans="1:41" ht="26.25" customHeight="1">
      <c r="A37" s="324"/>
      <c r="B37" s="46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25" t="s">
        <v>83</v>
      </c>
      <c r="R37" s="429"/>
      <c r="S37" s="429"/>
      <c r="T37" s="429"/>
      <c r="U37" s="429"/>
      <c r="V37" s="429"/>
      <c r="W37" s="429"/>
      <c r="X37" s="429"/>
      <c r="Y37" s="429"/>
      <c r="Z37" s="429"/>
      <c r="AA37" s="429"/>
      <c r="AB37" s="429"/>
      <c r="AC37" s="429"/>
      <c r="AD37" s="468"/>
      <c r="AG37" s="98"/>
      <c r="AH37" s="98"/>
      <c r="AI37" s="98"/>
      <c r="AJ37" s="98"/>
      <c r="AK37" s="98"/>
      <c r="AL37" s="98"/>
      <c r="AM37" s="98"/>
      <c r="AN37" s="98"/>
      <c r="AO37" s="98"/>
    </row>
    <row r="38" spans="1:41" ht="54.75" customHeight="1">
      <c r="A38" s="469" t="s">
        <v>428</v>
      </c>
      <c r="B38" s="471">
        <v>0.3</v>
      </c>
      <c r="C38" s="93" t="s">
        <v>9</v>
      </c>
      <c r="D38" s="219">
        <v>0.08</v>
      </c>
      <c r="E38" s="219">
        <v>0.08</v>
      </c>
      <c r="F38" s="219">
        <v>0.08</v>
      </c>
      <c r="G38" s="219">
        <v>0.08</v>
      </c>
      <c r="H38" s="219">
        <v>0.08</v>
      </c>
      <c r="I38" s="219">
        <v>0.08</v>
      </c>
      <c r="J38" s="219">
        <v>0.08</v>
      </c>
      <c r="K38" s="219">
        <v>0.09</v>
      </c>
      <c r="L38" s="219">
        <v>0.09</v>
      </c>
      <c r="M38" s="219">
        <v>0.09</v>
      </c>
      <c r="N38" s="219">
        <v>0.09</v>
      </c>
      <c r="O38" s="219">
        <v>0.08</v>
      </c>
      <c r="P38" s="100">
        <f>SUM(D38:O38)</f>
        <v>0.9999999999999999</v>
      </c>
      <c r="Q38" s="478" t="s">
        <v>578</v>
      </c>
      <c r="R38" s="479"/>
      <c r="S38" s="479"/>
      <c r="T38" s="479"/>
      <c r="U38" s="479"/>
      <c r="V38" s="479"/>
      <c r="W38" s="479"/>
      <c r="X38" s="479"/>
      <c r="Y38" s="479"/>
      <c r="Z38" s="479"/>
      <c r="AA38" s="479"/>
      <c r="AB38" s="479"/>
      <c r="AC38" s="479"/>
      <c r="AD38" s="480"/>
      <c r="AE38" s="101"/>
      <c r="AG38" s="102"/>
      <c r="AH38" s="102"/>
      <c r="AI38" s="102"/>
      <c r="AJ38" s="102"/>
      <c r="AK38" s="102"/>
      <c r="AL38" s="102"/>
      <c r="AM38" s="102"/>
      <c r="AN38" s="102"/>
      <c r="AO38" s="102"/>
    </row>
    <row r="39" spans="1:31" ht="28.5" customHeight="1">
      <c r="A39" s="470"/>
      <c r="B39" s="472"/>
      <c r="C39" s="103" t="s">
        <v>10</v>
      </c>
      <c r="D39" s="104">
        <v>0.08</v>
      </c>
      <c r="E39" s="104">
        <v>0.08</v>
      </c>
      <c r="F39" s="104">
        <v>0.08</v>
      </c>
      <c r="G39" s="104">
        <v>0.08</v>
      </c>
      <c r="H39" s="104">
        <v>0.08</v>
      </c>
      <c r="I39" s="104">
        <v>0.08</v>
      </c>
      <c r="J39" s="104">
        <v>0.08</v>
      </c>
      <c r="K39" s="104"/>
      <c r="L39" s="104"/>
      <c r="M39" s="104"/>
      <c r="N39" s="104"/>
      <c r="O39" s="104"/>
      <c r="P39" s="105">
        <f>SUM(D39:O39)</f>
        <v>0.56</v>
      </c>
      <c r="Q39" s="484"/>
      <c r="R39" s="485"/>
      <c r="S39" s="485"/>
      <c r="T39" s="485"/>
      <c r="U39" s="485"/>
      <c r="V39" s="485"/>
      <c r="W39" s="485"/>
      <c r="X39" s="485"/>
      <c r="Y39" s="485"/>
      <c r="Z39" s="485"/>
      <c r="AA39" s="485"/>
      <c r="AB39" s="485"/>
      <c r="AC39" s="485"/>
      <c r="AD39" s="486"/>
      <c r="AE39" s="101"/>
    </row>
    <row r="40" spans="1:31" ht="46.5" customHeight="1">
      <c r="A40" s="476" t="s">
        <v>431</v>
      </c>
      <c r="B40" s="471">
        <v>0.1</v>
      </c>
      <c r="C40" s="106" t="s">
        <v>9</v>
      </c>
      <c r="D40" s="219">
        <v>0.08</v>
      </c>
      <c r="E40" s="219">
        <v>0.08</v>
      </c>
      <c r="F40" s="219">
        <v>0.08</v>
      </c>
      <c r="G40" s="219">
        <v>0.08</v>
      </c>
      <c r="H40" s="219">
        <v>0.08</v>
      </c>
      <c r="I40" s="219">
        <v>0.08</v>
      </c>
      <c r="J40" s="219">
        <v>0.08</v>
      </c>
      <c r="K40" s="219">
        <v>0.09</v>
      </c>
      <c r="L40" s="219">
        <v>0.09</v>
      </c>
      <c r="M40" s="219">
        <v>0.09</v>
      </c>
      <c r="N40" s="219">
        <v>0.09</v>
      </c>
      <c r="O40" s="219">
        <v>0.08</v>
      </c>
      <c r="P40" s="105">
        <f>SUM(D40:O40)</f>
        <v>0.9999999999999999</v>
      </c>
      <c r="Q40" s="478" t="s">
        <v>579</v>
      </c>
      <c r="R40" s="479"/>
      <c r="S40" s="479"/>
      <c r="T40" s="479"/>
      <c r="U40" s="479"/>
      <c r="V40" s="479"/>
      <c r="W40" s="479"/>
      <c r="X40" s="479"/>
      <c r="Y40" s="479"/>
      <c r="Z40" s="479"/>
      <c r="AA40" s="479"/>
      <c r="AB40" s="479"/>
      <c r="AC40" s="479"/>
      <c r="AD40" s="480"/>
      <c r="AE40" s="101"/>
    </row>
    <row r="41" spans="1:31" ht="28.5" customHeight="1" thickBot="1">
      <c r="A41" s="477"/>
      <c r="B41" s="475"/>
      <c r="C41" s="94" t="s">
        <v>10</v>
      </c>
      <c r="D41" s="110">
        <v>0.08</v>
      </c>
      <c r="E41" s="110">
        <v>0.08</v>
      </c>
      <c r="F41" s="110">
        <v>0.08</v>
      </c>
      <c r="G41" s="110">
        <v>0.08</v>
      </c>
      <c r="H41" s="110">
        <v>0.08</v>
      </c>
      <c r="I41" s="110">
        <v>0.08</v>
      </c>
      <c r="J41" s="110">
        <v>0.08</v>
      </c>
      <c r="K41" s="110"/>
      <c r="L41" s="111"/>
      <c r="M41" s="111"/>
      <c r="N41" s="111"/>
      <c r="O41" s="111"/>
      <c r="P41" s="112">
        <f>SUM(D41:O41)</f>
        <v>0.56</v>
      </c>
      <c r="Q41" s="481"/>
      <c r="R41" s="482"/>
      <c r="S41" s="482"/>
      <c r="T41" s="482"/>
      <c r="U41" s="482"/>
      <c r="V41" s="482"/>
      <c r="W41" s="482"/>
      <c r="X41" s="482"/>
      <c r="Y41" s="482"/>
      <c r="Z41" s="482"/>
      <c r="AA41" s="482"/>
      <c r="AB41" s="482"/>
      <c r="AC41" s="482"/>
      <c r="AD41" s="483"/>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9"/>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70" zoomScaleNormal="70" workbookViewId="0" topLeftCell="A1">
      <selection activeCell="C20" sqref="C20:P20"/>
    </sheetView>
  </sheetViews>
  <sheetFormatPr defaultColWidth="10.8515625" defaultRowHeight="15"/>
  <cols>
    <col min="1" max="1" width="33.00390625" style="113" customWidth="1"/>
    <col min="2" max="2" width="15.421875" style="113" customWidth="1"/>
    <col min="3" max="14" width="20.7109375" style="113" customWidth="1"/>
    <col min="15" max="15" width="16.140625" style="113" customWidth="1"/>
    <col min="16" max="27" width="18.140625" style="113" customWidth="1"/>
    <col min="28" max="28" width="22.7109375" style="113" customWidth="1"/>
    <col min="29" max="29" width="19.00390625" style="113" customWidth="1"/>
    <col min="30" max="30" width="19.421875" style="113" customWidth="1"/>
    <col min="31" max="31" width="6.28125" style="266" bestFit="1" customWidth="1"/>
    <col min="32" max="32" width="22.851562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8515625" style="113" customWidth="1"/>
    <col min="41" max="41" width="18.421875" style="113" bestFit="1" customWidth="1"/>
    <col min="42" max="42" width="16.140625" style="113" customWidth="1"/>
    <col min="43" max="16384" width="10.8515625" style="113"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499" t="s">
        <v>45</v>
      </c>
      <c r="D7" s="381" t="s">
        <v>71</v>
      </c>
      <c r="E7" s="387"/>
      <c r="F7" s="387"/>
      <c r="G7" s="387"/>
      <c r="H7" s="382"/>
      <c r="I7" s="512">
        <v>45141</v>
      </c>
      <c r="J7" s="513"/>
      <c r="K7" s="381" t="s">
        <v>67</v>
      </c>
      <c r="L7" s="382"/>
      <c r="M7" s="518" t="s">
        <v>70</v>
      </c>
      <c r="N7" s="519"/>
      <c r="O7" s="502"/>
      <c r="P7" s="503"/>
      <c r="Q7" s="56"/>
      <c r="R7" s="56"/>
      <c r="S7" s="56"/>
      <c r="T7" s="56"/>
      <c r="U7" s="56"/>
      <c r="V7" s="56"/>
      <c r="W7" s="56"/>
      <c r="X7" s="56"/>
      <c r="Y7" s="56"/>
      <c r="Z7" s="57"/>
      <c r="AA7" s="56"/>
      <c r="AB7" s="56"/>
      <c r="AC7" s="62"/>
      <c r="AD7" s="63"/>
    </row>
    <row r="8" spans="1:30" ht="15">
      <c r="A8" s="341"/>
      <c r="B8" s="342"/>
      <c r="C8" s="500"/>
      <c r="D8" s="383"/>
      <c r="E8" s="388"/>
      <c r="F8" s="388"/>
      <c r="G8" s="388"/>
      <c r="H8" s="384"/>
      <c r="I8" s="514"/>
      <c r="J8" s="515"/>
      <c r="K8" s="383"/>
      <c r="L8" s="384"/>
      <c r="M8" s="504" t="s">
        <v>68</v>
      </c>
      <c r="N8" s="505"/>
      <c r="O8" s="506"/>
      <c r="P8" s="507"/>
      <c r="Q8" s="56"/>
      <c r="R8" s="56"/>
      <c r="S8" s="56"/>
      <c r="T8" s="56"/>
      <c r="U8" s="56"/>
      <c r="V8" s="56"/>
      <c r="W8" s="56"/>
      <c r="X8" s="56"/>
      <c r="Y8" s="56"/>
      <c r="Z8" s="57"/>
      <c r="AA8" s="56"/>
      <c r="AB8" s="56"/>
      <c r="AC8" s="62"/>
      <c r="AD8" s="63"/>
    </row>
    <row r="9" spans="1:30" ht="15.75" thickBot="1">
      <c r="A9" s="343"/>
      <c r="B9" s="344"/>
      <c r="C9" s="501"/>
      <c r="D9" s="385"/>
      <c r="E9" s="389"/>
      <c r="F9" s="389"/>
      <c r="G9" s="389"/>
      <c r="H9" s="386"/>
      <c r="I9" s="516"/>
      <c r="J9" s="517"/>
      <c r="K9" s="385"/>
      <c r="L9" s="386"/>
      <c r="M9" s="508" t="s">
        <v>69</v>
      </c>
      <c r="N9" s="509"/>
      <c r="O9" s="510" t="s">
        <v>420</v>
      </c>
      <c r="P9" s="511"/>
      <c r="Q9" s="56"/>
      <c r="R9" s="56"/>
      <c r="S9" s="56"/>
      <c r="T9" s="56"/>
      <c r="U9" s="56"/>
      <c r="V9" s="56"/>
      <c r="W9" s="56"/>
      <c r="X9" s="56"/>
      <c r="Y9" s="56"/>
      <c r="Z9" s="57"/>
      <c r="AA9" s="56"/>
      <c r="AB9" s="56"/>
      <c r="AC9" s="62"/>
      <c r="AD9" s="63"/>
    </row>
    <row r="10" spans="1:30" s="270" customFormat="1" ht="15" customHeight="1" thickBot="1">
      <c r="A10" s="179"/>
      <c r="B10" s="180"/>
      <c r="C10" s="180"/>
      <c r="D10" s="67"/>
      <c r="E10" s="67"/>
      <c r="F10" s="67"/>
      <c r="G10" s="67"/>
      <c r="H10" s="67"/>
      <c r="I10" s="267"/>
      <c r="J10" s="267"/>
      <c r="K10" s="67"/>
      <c r="L10" s="67"/>
      <c r="M10" s="268"/>
      <c r="N10" s="268"/>
      <c r="O10" s="269"/>
      <c r="P10" s="269"/>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56" customFormat="1" ht="37.5" customHeight="1" thickBot="1">
      <c r="A17" s="418" t="s">
        <v>79</v>
      </c>
      <c r="B17" s="419"/>
      <c r="C17" s="420" t="s">
        <v>429</v>
      </c>
      <c r="D17" s="421"/>
      <c r="E17" s="421"/>
      <c r="F17" s="421"/>
      <c r="G17" s="421"/>
      <c r="H17" s="421"/>
      <c r="I17" s="421"/>
      <c r="J17" s="421"/>
      <c r="K17" s="421"/>
      <c r="L17" s="421"/>
      <c r="M17" s="421"/>
      <c r="N17" s="421"/>
      <c r="O17" s="421"/>
      <c r="P17" s="421"/>
      <c r="Q17" s="422"/>
      <c r="R17" s="326" t="s">
        <v>374</v>
      </c>
      <c r="S17" s="327"/>
      <c r="T17" s="327"/>
      <c r="U17" s="327"/>
      <c r="V17" s="328"/>
      <c r="W17" s="436">
        <v>7</v>
      </c>
      <c r="X17" s="437"/>
      <c r="Y17" s="327" t="s">
        <v>15</v>
      </c>
      <c r="Z17" s="327"/>
      <c r="AA17" s="327"/>
      <c r="AB17" s="328"/>
      <c r="AC17" s="337">
        <v>0.1</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271"/>
      <c r="AF19" s="271"/>
    </row>
    <row r="20" spans="1:32"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271"/>
      <c r="AF20" s="271"/>
    </row>
    <row r="21" spans="1:32" ht="32.25" customHeight="1" thickBot="1">
      <c r="A21" s="61"/>
      <c r="B21" s="56"/>
      <c r="C21" s="261" t="s">
        <v>39</v>
      </c>
      <c r="D21" s="262" t="s">
        <v>40</v>
      </c>
      <c r="E21" s="262" t="s">
        <v>41</v>
      </c>
      <c r="F21" s="262" t="s">
        <v>42</v>
      </c>
      <c r="G21" s="262" t="s">
        <v>43</v>
      </c>
      <c r="H21" s="262" t="s">
        <v>44</v>
      </c>
      <c r="I21" s="262" t="s">
        <v>45</v>
      </c>
      <c r="J21" s="262" t="s">
        <v>46</v>
      </c>
      <c r="K21" s="262" t="s">
        <v>47</v>
      </c>
      <c r="L21" s="262" t="s">
        <v>48</v>
      </c>
      <c r="M21" s="262" t="s">
        <v>49</v>
      </c>
      <c r="N21" s="262" t="s">
        <v>50</v>
      </c>
      <c r="O21" s="262" t="s">
        <v>8</v>
      </c>
      <c r="P21" s="263" t="s">
        <v>382</v>
      </c>
      <c r="Q21" s="261" t="s">
        <v>39</v>
      </c>
      <c r="R21" s="262" t="s">
        <v>40</v>
      </c>
      <c r="S21" s="262" t="s">
        <v>41</v>
      </c>
      <c r="T21" s="262" t="s">
        <v>42</v>
      </c>
      <c r="U21" s="262" t="s">
        <v>43</v>
      </c>
      <c r="V21" s="262" t="s">
        <v>44</v>
      </c>
      <c r="W21" s="262" t="s">
        <v>45</v>
      </c>
      <c r="X21" s="262" t="s">
        <v>46</v>
      </c>
      <c r="Y21" s="262" t="s">
        <v>47</v>
      </c>
      <c r="Z21" s="262" t="s">
        <v>48</v>
      </c>
      <c r="AA21" s="262" t="s">
        <v>49</v>
      </c>
      <c r="AB21" s="262" t="s">
        <v>50</v>
      </c>
      <c r="AC21" s="262" t="s">
        <v>8</v>
      </c>
      <c r="AD21" s="263" t="s">
        <v>382</v>
      </c>
      <c r="AE21" s="272"/>
      <c r="AF21" s="272"/>
    </row>
    <row r="22" spans="1:33" ht="32.25" customHeight="1">
      <c r="A22" s="335" t="s">
        <v>378</v>
      </c>
      <c r="B22" s="336"/>
      <c r="C22" s="273">
        <f>36007165</f>
        <v>36007165</v>
      </c>
      <c r="D22" s="274"/>
      <c r="E22" s="274"/>
      <c r="F22" s="274"/>
      <c r="G22" s="274">
        <v>-15602160</v>
      </c>
      <c r="H22" s="274"/>
      <c r="I22" s="274"/>
      <c r="J22" s="274"/>
      <c r="K22" s="274"/>
      <c r="L22" s="274"/>
      <c r="M22" s="274"/>
      <c r="N22" s="274"/>
      <c r="O22" s="309">
        <f>SUM(C22:N22)</f>
        <v>20405005</v>
      </c>
      <c r="P22" s="300"/>
      <c r="Q22" s="273">
        <f>1408383273-R22-T22-U22</f>
        <v>651371510</v>
      </c>
      <c r="R22" s="274">
        <f>471364320+223251840</f>
        <v>694616160</v>
      </c>
      <c r="S22" s="274"/>
      <c r="T22" s="274">
        <v>41781637</v>
      </c>
      <c r="U22" s="274">
        <v>20613966</v>
      </c>
      <c r="V22" s="274"/>
      <c r="W22" s="274">
        <v>20204054</v>
      </c>
      <c r="X22" s="274"/>
      <c r="Y22" s="274"/>
      <c r="Z22" s="274"/>
      <c r="AA22" s="274"/>
      <c r="AB22" s="274"/>
      <c r="AC22" s="309">
        <f>SUM(Q22:AB22)</f>
        <v>1428587327</v>
      </c>
      <c r="AD22" s="275"/>
      <c r="AE22" s="272"/>
      <c r="AF22" s="4"/>
      <c r="AG22" s="52"/>
    </row>
    <row r="23" spans="1:33" ht="32.25" customHeight="1">
      <c r="A23" s="324" t="s">
        <v>379</v>
      </c>
      <c r="B23" s="325"/>
      <c r="C23" s="276">
        <f>+C22</f>
        <v>36007165</v>
      </c>
      <c r="D23" s="277"/>
      <c r="E23" s="277"/>
      <c r="F23" s="277"/>
      <c r="G23" s="277">
        <v>-15602160</v>
      </c>
      <c r="H23" s="277"/>
      <c r="I23" s="277"/>
      <c r="J23" s="277"/>
      <c r="K23" s="277"/>
      <c r="L23" s="277"/>
      <c r="M23" s="277"/>
      <c r="N23" s="277"/>
      <c r="O23" s="310">
        <f>SUM(C23:N23)</f>
        <v>20405005</v>
      </c>
      <c r="P23" s="278">
        <f>_xlfn.IFERROR(O23/(SUMIF(C23:N23,"&gt;0",C22:N22))," ")</f>
        <v>0.5666929068145187</v>
      </c>
      <c r="Q23" s="276">
        <v>500430885</v>
      </c>
      <c r="R23" s="277">
        <v>675460145</v>
      </c>
      <c r="S23" s="277"/>
      <c r="T23" s="277">
        <f>150606400-5150968.75</f>
        <v>145455431.25</v>
      </c>
      <c r="U23" s="277">
        <v>41640839.57</v>
      </c>
      <c r="V23" s="277">
        <f>21768027.75-5315517.33</f>
        <v>16452510.42</v>
      </c>
      <c r="W23" s="277">
        <v>131497.39</v>
      </c>
      <c r="X23" s="277"/>
      <c r="Y23" s="277"/>
      <c r="Z23" s="277"/>
      <c r="AA23" s="277"/>
      <c r="AB23" s="277"/>
      <c r="AC23" s="310">
        <f>SUM(Q23:AB23)</f>
        <v>1379571308.63</v>
      </c>
      <c r="AD23" s="278">
        <f>_xlfn.IFERROR(AC23/(SUMIF(Q23:AB23,"&gt;0",Q22:AB22))," ")</f>
        <v>0.9656891689828074</v>
      </c>
      <c r="AE23" s="272"/>
      <c r="AF23" s="304"/>
      <c r="AG23" s="52"/>
    </row>
    <row r="24" spans="1:33" ht="32.25" customHeight="1">
      <c r="A24" s="324" t="s">
        <v>380</v>
      </c>
      <c r="B24" s="325"/>
      <c r="C24" s="276">
        <v>1953385</v>
      </c>
      <c r="D24" s="277">
        <v>15713620</v>
      </c>
      <c r="E24" s="277">
        <v>2738000</v>
      </c>
      <c r="F24" s="277"/>
      <c r="G24" s="277">
        <f>15602160-15602160</f>
        <v>0</v>
      </c>
      <c r="H24" s="277"/>
      <c r="I24" s="277"/>
      <c r="J24" s="277"/>
      <c r="K24" s="277"/>
      <c r="L24" s="277"/>
      <c r="M24" s="277"/>
      <c r="N24" s="277"/>
      <c r="O24" s="310">
        <f>SUM(C24:N24)</f>
        <v>20405005</v>
      </c>
      <c r="P24" s="301"/>
      <c r="Q24" s="276"/>
      <c r="R24" s="277">
        <v>4886725</v>
      </c>
      <c r="S24" s="277">
        <v>130165990</v>
      </c>
      <c r="T24" s="277">
        <v>171947627</v>
      </c>
      <c r="U24" s="277">
        <v>131883821</v>
      </c>
      <c r="V24" s="277">
        <v>131883821</v>
      </c>
      <c r="W24" s="277">
        <v>131883821</v>
      </c>
      <c r="X24" s="277">
        <v>131883821</v>
      </c>
      <c r="Y24" s="277">
        <v>130565321</v>
      </c>
      <c r="Z24" s="277">
        <v>130565321</v>
      </c>
      <c r="AA24" s="277">
        <v>130565321</v>
      </c>
      <c r="AB24" s="277">
        <f>182151684+20204054</f>
        <v>202355738</v>
      </c>
      <c r="AC24" s="310">
        <f>SUM(Q24:AB24)</f>
        <v>1428587327</v>
      </c>
      <c r="AD24" s="278"/>
      <c r="AE24" s="272"/>
      <c r="AF24" s="4"/>
      <c r="AG24" s="52"/>
    </row>
    <row r="25" spans="1:33" ht="32.25" customHeight="1" thickBot="1">
      <c r="A25" s="412" t="s">
        <v>381</v>
      </c>
      <c r="B25" s="413"/>
      <c r="C25" s="279"/>
      <c r="D25" s="280">
        <v>16131411</v>
      </c>
      <c r="E25" s="280">
        <v>4273594</v>
      </c>
      <c r="F25" s="280"/>
      <c r="G25" s="280"/>
      <c r="H25" s="280"/>
      <c r="I25" s="280"/>
      <c r="J25" s="280"/>
      <c r="K25" s="280"/>
      <c r="L25" s="280"/>
      <c r="M25" s="280"/>
      <c r="N25" s="280"/>
      <c r="O25" s="311">
        <f>SUM(C25:N25)</f>
        <v>20405005</v>
      </c>
      <c r="P25" s="195">
        <f>_xlfn.IFERROR(O25/(SUMIF(C25:N25,"&gt;0",C24:N24))," ")</f>
        <v>1.1058652302616248</v>
      </c>
      <c r="Q25" s="279"/>
      <c r="R25" s="280">
        <v>7305595.25</v>
      </c>
      <c r="S25" s="280">
        <v>80551926.48</v>
      </c>
      <c r="T25" s="280">
        <v>117386906.5</v>
      </c>
      <c r="U25" s="280">
        <v>115927990.56</v>
      </c>
      <c r="V25" s="280">
        <v>131636110</v>
      </c>
      <c r="W25" s="280">
        <v>166369686.95</v>
      </c>
      <c r="X25" s="280"/>
      <c r="Y25" s="280"/>
      <c r="Z25" s="280"/>
      <c r="AA25" s="280"/>
      <c r="AB25" s="280"/>
      <c r="AC25" s="311">
        <f>SUM(Q25:AB25)</f>
        <v>619178215.74</v>
      </c>
      <c r="AD25" s="281">
        <f>_xlfn.IFERROR(AC25/(SUMIF(Q25:AB25,"&gt;0",Q24:AB24))," ")</f>
        <v>0.8812020567427419</v>
      </c>
      <c r="AE25" s="272"/>
      <c r="AF25" s="30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260" t="s">
        <v>39</v>
      </c>
      <c r="E29" s="260" t="s">
        <v>40</v>
      </c>
      <c r="F29" s="260" t="s">
        <v>41</v>
      </c>
      <c r="G29" s="260" t="s">
        <v>42</v>
      </c>
      <c r="H29" s="260" t="s">
        <v>43</v>
      </c>
      <c r="I29" s="260" t="s">
        <v>44</v>
      </c>
      <c r="J29" s="260" t="s">
        <v>45</v>
      </c>
      <c r="K29" s="260" t="s">
        <v>46</v>
      </c>
      <c r="L29" s="260" t="s">
        <v>47</v>
      </c>
      <c r="M29" s="260" t="s">
        <v>48</v>
      </c>
      <c r="N29" s="260" t="s">
        <v>49</v>
      </c>
      <c r="O29" s="260"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493" t="s">
        <v>292</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5"/>
    </row>
    <row r="32" spans="1:41" ht="23.25" customHeight="1">
      <c r="A32" s="496" t="s">
        <v>190</v>
      </c>
      <c r="B32" s="498" t="s">
        <v>62</v>
      </c>
      <c r="C32" s="498" t="s">
        <v>6</v>
      </c>
      <c r="D32" s="325" t="s">
        <v>60</v>
      </c>
      <c r="E32" s="429"/>
      <c r="F32" s="429"/>
      <c r="G32" s="429"/>
      <c r="H32" s="429"/>
      <c r="I32" s="429"/>
      <c r="J32" s="429"/>
      <c r="K32" s="429"/>
      <c r="L32" s="429"/>
      <c r="M32" s="429"/>
      <c r="N32" s="429"/>
      <c r="O32" s="429"/>
      <c r="P32" s="430"/>
      <c r="Q32" s="325" t="s">
        <v>85</v>
      </c>
      <c r="R32" s="429"/>
      <c r="S32" s="429"/>
      <c r="T32" s="429"/>
      <c r="U32" s="429"/>
      <c r="V32" s="429"/>
      <c r="W32" s="429"/>
      <c r="X32" s="429"/>
      <c r="Y32" s="429"/>
      <c r="Z32" s="429"/>
      <c r="AA32" s="429"/>
      <c r="AB32" s="429"/>
      <c r="AC32" s="429"/>
      <c r="AD32" s="468"/>
      <c r="AG32" s="282"/>
      <c r="AH32" s="282"/>
      <c r="AI32" s="282"/>
      <c r="AJ32" s="282"/>
      <c r="AK32" s="282"/>
      <c r="AL32" s="282"/>
      <c r="AM32" s="282"/>
      <c r="AN32" s="282"/>
      <c r="AO32" s="282"/>
    </row>
    <row r="33" spans="1:41" ht="27" customHeight="1">
      <c r="A33" s="497"/>
      <c r="B33" s="464"/>
      <c r="C33" s="464"/>
      <c r="D33" s="260" t="s">
        <v>39</v>
      </c>
      <c r="E33" s="260" t="s">
        <v>40</v>
      </c>
      <c r="F33" s="260" t="s">
        <v>41</v>
      </c>
      <c r="G33" s="260" t="s">
        <v>42</v>
      </c>
      <c r="H33" s="260" t="s">
        <v>43</v>
      </c>
      <c r="I33" s="260" t="s">
        <v>44</v>
      </c>
      <c r="J33" s="260" t="s">
        <v>45</v>
      </c>
      <c r="K33" s="260" t="s">
        <v>46</v>
      </c>
      <c r="L33" s="260" t="s">
        <v>47</v>
      </c>
      <c r="M33" s="260" t="s">
        <v>48</v>
      </c>
      <c r="N33" s="260" t="s">
        <v>49</v>
      </c>
      <c r="O33" s="260" t="s">
        <v>50</v>
      </c>
      <c r="P33" s="260" t="s">
        <v>8</v>
      </c>
      <c r="Q33" s="325" t="s">
        <v>402</v>
      </c>
      <c r="R33" s="429"/>
      <c r="S33" s="430"/>
      <c r="T33" s="325" t="s">
        <v>403</v>
      </c>
      <c r="U33" s="429"/>
      <c r="V33" s="430"/>
      <c r="W33" s="325" t="s">
        <v>81</v>
      </c>
      <c r="X33" s="429"/>
      <c r="Y33" s="429"/>
      <c r="Z33" s="430"/>
      <c r="AA33" s="325" t="s">
        <v>82</v>
      </c>
      <c r="AB33" s="429"/>
      <c r="AC33" s="429"/>
      <c r="AD33" s="468"/>
      <c r="AG33" s="282"/>
      <c r="AH33" s="282"/>
      <c r="AI33" s="282"/>
      <c r="AJ33" s="282"/>
      <c r="AK33" s="282"/>
      <c r="AL33" s="282"/>
      <c r="AM33" s="282"/>
      <c r="AN33" s="282"/>
      <c r="AO33" s="282"/>
    </row>
    <row r="34" spans="1:41" ht="93.75" customHeight="1">
      <c r="A34" s="445" t="s">
        <v>429</v>
      </c>
      <c r="B34" s="447">
        <v>0.1</v>
      </c>
      <c r="C34" s="93" t="s">
        <v>9</v>
      </c>
      <c r="D34" s="92">
        <v>7</v>
      </c>
      <c r="E34" s="92">
        <v>7</v>
      </c>
      <c r="F34" s="92">
        <v>7</v>
      </c>
      <c r="G34" s="92">
        <v>7</v>
      </c>
      <c r="H34" s="92">
        <v>7</v>
      </c>
      <c r="I34" s="92">
        <v>7</v>
      </c>
      <c r="J34" s="92">
        <v>7</v>
      </c>
      <c r="K34" s="92">
        <v>7</v>
      </c>
      <c r="L34" s="92">
        <v>7</v>
      </c>
      <c r="M34" s="92">
        <v>7</v>
      </c>
      <c r="N34" s="92">
        <v>7</v>
      </c>
      <c r="O34" s="92">
        <v>7</v>
      </c>
      <c r="P34" s="92">
        <v>7</v>
      </c>
      <c r="Q34" s="449" t="s">
        <v>549</v>
      </c>
      <c r="R34" s="488"/>
      <c r="S34" s="489"/>
      <c r="T34" s="449" t="s">
        <v>535</v>
      </c>
      <c r="U34" s="488"/>
      <c r="V34" s="489"/>
      <c r="W34" s="449" t="s">
        <v>536</v>
      </c>
      <c r="X34" s="450"/>
      <c r="Y34" s="450"/>
      <c r="Z34" s="451"/>
      <c r="AA34" s="449" t="s">
        <v>524</v>
      </c>
      <c r="AB34" s="450"/>
      <c r="AC34" s="450"/>
      <c r="AD34" s="455"/>
      <c r="AG34" s="282"/>
      <c r="AH34" s="282"/>
      <c r="AI34" s="282"/>
      <c r="AJ34" s="282"/>
      <c r="AK34" s="282"/>
      <c r="AL34" s="282"/>
      <c r="AM34" s="282"/>
      <c r="AN34" s="282"/>
      <c r="AO34" s="282"/>
    </row>
    <row r="35" spans="1:41" ht="95.25" customHeight="1" thickBot="1">
      <c r="A35" s="446"/>
      <c r="B35" s="448"/>
      <c r="C35" s="253" t="s">
        <v>10</v>
      </c>
      <c r="D35" s="253">
        <v>7</v>
      </c>
      <c r="E35" s="253">
        <v>7</v>
      </c>
      <c r="F35" s="252">
        <v>7</v>
      </c>
      <c r="G35" s="252">
        <v>7</v>
      </c>
      <c r="H35" s="252">
        <v>7</v>
      </c>
      <c r="I35" s="252">
        <v>7</v>
      </c>
      <c r="J35" s="252">
        <v>7</v>
      </c>
      <c r="K35" s="252"/>
      <c r="L35" s="252"/>
      <c r="M35" s="252"/>
      <c r="N35" s="252"/>
      <c r="O35" s="252"/>
      <c r="P35" s="253">
        <v>7</v>
      </c>
      <c r="Q35" s="490"/>
      <c r="R35" s="491"/>
      <c r="S35" s="492"/>
      <c r="T35" s="490"/>
      <c r="U35" s="491"/>
      <c r="V35" s="492"/>
      <c r="W35" s="452"/>
      <c r="X35" s="453"/>
      <c r="Y35" s="453"/>
      <c r="Z35" s="454"/>
      <c r="AA35" s="452"/>
      <c r="AB35" s="453"/>
      <c r="AC35" s="453"/>
      <c r="AD35" s="456"/>
      <c r="AE35" s="283"/>
      <c r="AF35" s="284"/>
      <c r="AG35" s="282"/>
      <c r="AH35" s="282"/>
      <c r="AI35" s="282"/>
      <c r="AJ35" s="282"/>
      <c r="AK35" s="282"/>
      <c r="AL35" s="282"/>
      <c r="AM35" s="282"/>
      <c r="AN35" s="282"/>
      <c r="AO35" s="282"/>
    </row>
    <row r="36" spans="1:41"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G36" s="282"/>
      <c r="AH36" s="282"/>
      <c r="AI36" s="282"/>
      <c r="AJ36" s="282"/>
      <c r="AK36" s="282"/>
      <c r="AL36" s="282"/>
      <c r="AM36" s="282"/>
      <c r="AN36" s="282"/>
      <c r="AO36" s="282"/>
    </row>
    <row r="37" spans="1:41" ht="26.25" customHeight="1">
      <c r="A37" s="324"/>
      <c r="B37" s="464"/>
      <c r="C37" s="265" t="s">
        <v>12</v>
      </c>
      <c r="D37" s="265" t="s">
        <v>36</v>
      </c>
      <c r="E37" s="265" t="s">
        <v>37</v>
      </c>
      <c r="F37" s="265" t="s">
        <v>38</v>
      </c>
      <c r="G37" s="265" t="s">
        <v>51</v>
      </c>
      <c r="H37" s="265" t="s">
        <v>52</v>
      </c>
      <c r="I37" s="265" t="s">
        <v>53</v>
      </c>
      <c r="J37" s="265" t="s">
        <v>54</v>
      </c>
      <c r="K37" s="265" t="s">
        <v>55</v>
      </c>
      <c r="L37" s="265" t="s">
        <v>56</v>
      </c>
      <c r="M37" s="265" t="s">
        <v>57</v>
      </c>
      <c r="N37" s="265" t="s">
        <v>58</v>
      </c>
      <c r="O37" s="265" t="s">
        <v>59</v>
      </c>
      <c r="P37" s="265" t="s">
        <v>63</v>
      </c>
      <c r="Q37" s="325" t="s">
        <v>83</v>
      </c>
      <c r="R37" s="429"/>
      <c r="S37" s="429"/>
      <c r="T37" s="429"/>
      <c r="U37" s="429"/>
      <c r="V37" s="429"/>
      <c r="W37" s="429"/>
      <c r="X37" s="429"/>
      <c r="Y37" s="429"/>
      <c r="Z37" s="429"/>
      <c r="AA37" s="429"/>
      <c r="AB37" s="429"/>
      <c r="AC37" s="429"/>
      <c r="AD37" s="468"/>
      <c r="AG37" s="285"/>
      <c r="AH37" s="285"/>
      <c r="AI37" s="285"/>
      <c r="AJ37" s="285"/>
      <c r="AK37" s="285"/>
      <c r="AL37" s="285"/>
      <c r="AM37" s="285"/>
      <c r="AN37" s="285"/>
      <c r="AO37" s="285"/>
    </row>
    <row r="38" spans="1:41" ht="73.5" customHeight="1">
      <c r="A38" s="469" t="s">
        <v>517</v>
      </c>
      <c r="B38" s="471">
        <v>0.03</v>
      </c>
      <c r="C38" s="93" t="s">
        <v>9</v>
      </c>
      <c r="D38" s="219">
        <v>0.08</v>
      </c>
      <c r="E38" s="219">
        <v>0.08</v>
      </c>
      <c r="F38" s="219">
        <v>0.08</v>
      </c>
      <c r="G38" s="219">
        <v>0.08</v>
      </c>
      <c r="H38" s="219">
        <v>0.08</v>
      </c>
      <c r="I38" s="219">
        <v>0.08</v>
      </c>
      <c r="J38" s="219">
        <v>0.08</v>
      </c>
      <c r="K38" s="219">
        <v>0.09</v>
      </c>
      <c r="L38" s="219">
        <v>0.09</v>
      </c>
      <c r="M38" s="219">
        <v>0.09</v>
      </c>
      <c r="N38" s="219">
        <v>0.09</v>
      </c>
      <c r="O38" s="219">
        <v>0.08</v>
      </c>
      <c r="P38" s="100">
        <f aca="true" t="shared" si="0" ref="P38:P43">SUM(D38:O38)</f>
        <v>0.9999999999999999</v>
      </c>
      <c r="Q38" s="478" t="s">
        <v>580</v>
      </c>
      <c r="R38" s="479"/>
      <c r="S38" s="479"/>
      <c r="T38" s="479"/>
      <c r="U38" s="479"/>
      <c r="V38" s="479"/>
      <c r="W38" s="479"/>
      <c r="X38" s="479"/>
      <c r="Y38" s="479"/>
      <c r="Z38" s="479"/>
      <c r="AA38" s="479"/>
      <c r="AB38" s="479"/>
      <c r="AC38" s="479"/>
      <c r="AD38" s="480"/>
      <c r="AE38" s="101"/>
      <c r="AG38" s="286"/>
      <c r="AH38" s="286"/>
      <c r="AI38" s="286"/>
      <c r="AJ38" s="286"/>
      <c r="AK38" s="286"/>
      <c r="AL38" s="286"/>
      <c r="AM38" s="286"/>
      <c r="AN38" s="286"/>
      <c r="AO38" s="286"/>
    </row>
    <row r="39" spans="1:31" ht="67.5" customHeight="1">
      <c r="A39" s="470"/>
      <c r="B39" s="472"/>
      <c r="C39" s="103" t="s">
        <v>10</v>
      </c>
      <c r="D39" s="104">
        <v>0.08</v>
      </c>
      <c r="E39" s="104">
        <v>0.06</v>
      </c>
      <c r="F39" s="104">
        <v>0.08</v>
      </c>
      <c r="G39" s="104">
        <v>0.06</v>
      </c>
      <c r="H39" s="104">
        <v>0.08</v>
      </c>
      <c r="I39" s="104">
        <v>0.08</v>
      </c>
      <c r="J39" s="104">
        <v>0.08</v>
      </c>
      <c r="K39" s="104"/>
      <c r="L39" s="104"/>
      <c r="M39" s="104"/>
      <c r="N39" s="104"/>
      <c r="O39" s="104"/>
      <c r="P39" s="105">
        <f t="shared" si="0"/>
        <v>0.52</v>
      </c>
      <c r="Q39" s="484"/>
      <c r="R39" s="485"/>
      <c r="S39" s="485"/>
      <c r="T39" s="485"/>
      <c r="U39" s="485"/>
      <c r="V39" s="485"/>
      <c r="W39" s="485"/>
      <c r="X39" s="485"/>
      <c r="Y39" s="485"/>
      <c r="Z39" s="485"/>
      <c r="AA39" s="485"/>
      <c r="AB39" s="485"/>
      <c r="AC39" s="485"/>
      <c r="AD39" s="486"/>
      <c r="AE39" s="101"/>
    </row>
    <row r="40" spans="1:31" ht="45.75" customHeight="1">
      <c r="A40" s="470" t="s">
        <v>430</v>
      </c>
      <c r="B40" s="471">
        <v>0.04</v>
      </c>
      <c r="C40" s="106" t="s">
        <v>9</v>
      </c>
      <c r="D40" s="219">
        <v>0.08</v>
      </c>
      <c r="E40" s="219">
        <v>0.08</v>
      </c>
      <c r="F40" s="219">
        <v>0.08</v>
      </c>
      <c r="G40" s="219">
        <v>0.08</v>
      </c>
      <c r="H40" s="219">
        <v>0.08</v>
      </c>
      <c r="I40" s="219">
        <v>0.08</v>
      </c>
      <c r="J40" s="219">
        <v>0.08</v>
      </c>
      <c r="K40" s="219">
        <v>0.09</v>
      </c>
      <c r="L40" s="219">
        <v>0.09</v>
      </c>
      <c r="M40" s="219">
        <v>0.09</v>
      </c>
      <c r="N40" s="219">
        <v>0.09</v>
      </c>
      <c r="O40" s="219">
        <v>0.08</v>
      </c>
      <c r="P40" s="105">
        <f t="shared" si="0"/>
        <v>0.9999999999999999</v>
      </c>
      <c r="Q40" s="478" t="s">
        <v>599</v>
      </c>
      <c r="R40" s="479"/>
      <c r="S40" s="479"/>
      <c r="T40" s="479"/>
      <c r="U40" s="479"/>
      <c r="V40" s="479"/>
      <c r="W40" s="479"/>
      <c r="X40" s="479"/>
      <c r="Y40" s="479"/>
      <c r="Z40" s="479"/>
      <c r="AA40" s="479"/>
      <c r="AB40" s="479"/>
      <c r="AC40" s="479"/>
      <c r="AD40" s="480"/>
      <c r="AE40" s="101"/>
    </row>
    <row r="41" spans="1:31" ht="41.25" customHeight="1">
      <c r="A41" s="470"/>
      <c r="B41" s="472"/>
      <c r="C41" s="103" t="s">
        <v>10</v>
      </c>
      <c r="D41" s="104">
        <v>0.04</v>
      </c>
      <c r="E41" s="104">
        <v>0.06</v>
      </c>
      <c r="F41" s="104">
        <v>0.08</v>
      </c>
      <c r="G41" s="104">
        <v>0.14</v>
      </c>
      <c r="H41" s="104">
        <v>0.08</v>
      </c>
      <c r="I41" s="104">
        <v>0.08</v>
      </c>
      <c r="J41" s="104"/>
      <c r="K41" s="104"/>
      <c r="L41" s="108"/>
      <c r="M41" s="108"/>
      <c r="N41" s="108"/>
      <c r="O41" s="108"/>
      <c r="P41" s="105">
        <f t="shared" si="0"/>
        <v>0.48000000000000004</v>
      </c>
      <c r="Q41" s="484"/>
      <c r="R41" s="485"/>
      <c r="S41" s="485"/>
      <c r="T41" s="485"/>
      <c r="U41" s="485"/>
      <c r="V41" s="485"/>
      <c r="W41" s="485"/>
      <c r="X41" s="485"/>
      <c r="Y41" s="485"/>
      <c r="Z41" s="485"/>
      <c r="AA41" s="485"/>
      <c r="AB41" s="485"/>
      <c r="AC41" s="485"/>
      <c r="AD41" s="486"/>
      <c r="AE41" s="101"/>
    </row>
    <row r="42" spans="1:31" ht="43.5" customHeight="1">
      <c r="A42" s="473" t="s">
        <v>432</v>
      </c>
      <c r="B42" s="471">
        <v>0.03</v>
      </c>
      <c r="C42" s="106" t="s">
        <v>9</v>
      </c>
      <c r="D42" s="219">
        <v>0.08</v>
      </c>
      <c r="E42" s="219">
        <v>0.08</v>
      </c>
      <c r="F42" s="219">
        <v>0.08</v>
      </c>
      <c r="G42" s="219">
        <v>0.08</v>
      </c>
      <c r="H42" s="219">
        <v>0.08</v>
      </c>
      <c r="I42" s="219">
        <v>0.08</v>
      </c>
      <c r="J42" s="219">
        <v>0.08</v>
      </c>
      <c r="K42" s="219">
        <v>0.09</v>
      </c>
      <c r="L42" s="219">
        <v>0.09</v>
      </c>
      <c r="M42" s="219">
        <v>0.09</v>
      </c>
      <c r="N42" s="219">
        <v>0.09</v>
      </c>
      <c r="O42" s="219">
        <v>0.08</v>
      </c>
      <c r="P42" s="105">
        <f t="shared" si="0"/>
        <v>0.9999999999999999</v>
      </c>
      <c r="Q42" s="478" t="s">
        <v>581</v>
      </c>
      <c r="R42" s="479"/>
      <c r="S42" s="479"/>
      <c r="T42" s="479"/>
      <c r="U42" s="479"/>
      <c r="V42" s="479"/>
      <c r="W42" s="479"/>
      <c r="X42" s="479"/>
      <c r="Y42" s="479"/>
      <c r="Z42" s="479"/>
      <c r="AA42" s="479"/>
      <c r="AB42" s="479"/>
      <c r="AC42" s="479"/>
      <c r="AD42" s="480"/>
      <c r="AE42" s="101"/>
    </row>
    <row r="43" spans="1:31" ht="51.75" customHeight="1" thickBot="1">
      <c r="A43" s="474"/>
      <c r="B43" s="475"/>
      <c r="C43" s="94" t="s">
        <v>10</v>
      </c>
      <c r="D43" s="110">
        <v>0</v>
      </c>
      <c r="E43" s="110">
        <v>0.08</v>
      </c>
      <c r="F43" s="110">
        <v>0.08</v>
      </c>
      <c r="G43" s="243">
        <v>0.16</v>
      </c>
      <c r="H43" s="110">
        <v>0.08</v>
      </c>
      <c r="I43" s="110">
        <v>0.08</v>
      </c>
      <c r="J43" s="110">
        <v>0.08</v>
      </c>
      <c r="K43" s="110"/>
      <c r="L43" s="111"/>
      <c r="M43" s="111"/>
      <c r="N43" s="111"/>
      <c r="O43" s="111"/>
      <c r="P43" s="112">
        <f t="shared" si="0"/>
        <v>0.56</v>
      </c>
      <c r="Q43" s="481"/>
      <c r="R43" s="482"/>
      <c r="S43" s="482"/>
      <c r="T43" s="482"/>
      <c r="U43" s="482"/>
      <c r="V43" s="482"/>
      <c r="W43" s="482"/>
      <c r="X43" s="482"/>
      <c r="Y43" s="482"/>
      <c r="Z43" s="482"/>
      <c r="AA43" s="482"/>
      <c r="AB43" s="482"/>
      <c r="AC43" s="482"/>
      <c r="AD43" s="483"/>
      <c r="AE43" s="101"/>
    </row>
    <row r="44" ht="15">
      <c r="A44" s="113"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20"/>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80" zoomScaleNormal="80" workbookViewId="0" topLeftCell="O25">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345" t="s">
        <v>45</v>
      </c>
      <c r="D7" s="381" t="s">
        <v>71</v>
      </c>
      <c r="E7" s="387"/>
      <c r="F7" s="387"/>
      <c r="G7" s="387"/>
      <c r="H7" s="382"/>
      <c r="I7" s="390">
        <v>45141</v>
      </c>
      <c r="J7" s="391"/>
      <c r="K7" s="381" t="s">
        <v>67</v>
      </c>
      <c r="L7" s="382"/>
      <c r="M7" s="406" t="s">
        <v>70</v>
      </c>
      <c r="N7" s="407"/>
      <c r="O7" s="396"/>
      <c r="P7" s="397"/>
      <c r="Q7" s="56"/>
      <c r="R7" s="56"/>
      <c r="S7" s="56"/>
      <c r="T7" s="56"/>
      <c r="U7" s="56"/>
      <c r="V7" s="56"/>
      <c r="W7" s="56"/>
      <c r="X7" s="56"/>
      <c r="Y7" s="56"/>
      <c r="Z7" s="57"/>
      <c r="AA7" s="56"/>
      <c r="AB7" s="56"/>
      <c r="AC7" s="62"/>
      <c r="AD7" s="63"/>
    </row>
    <row r="8" spans="1:30" ht="15">
      <c r="A8" s="341"/>
      <c r="B8" s="342"/>
      <c r="C8" s="346"/>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343"/>
      <c r="B9" s="344"/>
      <c r="C9" s="347"/>
      <c r="D9" s="385"/>
      <c r="E9" s="389"/>
      <c r="F9" s="389"/>
      <c r="G9" s="389"/>
      <c r="H9" s="386"/>
      <c r="I9" s="394"/>
      <c r="J9" s="395"/>
      <c r="K9" s="385"/>
      <c r="L9" s="386"/>
      <c r="M9" s="402" t="s">
        <v>69</v>
      </c>
      <c r="N9" s="403"/>
      <c r="O9" s="404" t="s">
        <v>420</v>
      </c>
      <c r="P9" s="405"/>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78" customFormat="1" ht="37.5" customHeight="1" thickBot="1">
      <c r="A17" s="418" t="s">
        <v>79</v>
      </c>
      <c r="B17" s="419"/>
      <c r="C17" s="420" t="s">
        <v>433</v>
      </c>
      <c r="D17" s="421"/>
      <c r="E17" s="421"/>
      <c r="F17" s="421"/>
      <c r="G17" s="421"/>
      <c r="H17" s="421"/>
      <c r="I17" s="421"/>
      <c r="J17" s="421"/>
      <c r="K17" s="421"/>
      <c r="L17" s="421"/>
      <c r="M17" s="421"/>
      <c r="N17" s="421"/>
      <c r="O17" s="421"/>
      <c r="P17" s="421"/>
      <c r="Q17" s="422"/>
      <c r="R17" s="326" t="s">
        <v>374</v>
      </c>
      <c r="S17" s="327"/>
      <c r="T17" s="327"/>
      <c r="U17" s="327"/>
      <c r="V17" s="328"/>
      <c r="W17" s="522">
        <v>1</v>
      </c>
      <c r="X17" s="523"/>
      <c r="Y17" s="327" t="s">
        <v>15</v>
      </c>
      <c r="Z17" s="327"/>
      <c r="AA17" s="327"/>
      <c r="AB17" s="328"/>
      <c r="AC17" s="337">
        <v>0.05</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86"/>
      <c r="AF19" s="86"/>
    </row>
    <row r="20" spans="1:32"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5" t="s">
        <v>378</v>
      </c>
      <c r="B22" s="336"/>
      <c r="C22" s="191">
        <v>8043845</v>
      </c>
      <c r="D22" s="189"/>
      <c r="E22" s="189"/>
      <c r="F22" s="189"/>
      <c r="G22" s="189"/>
      <c r="H22" s="189"/>
      <c r="I22" s="189"/>
      <c r="J22" s="189"/>
      <c r="K22" s="189"/>
      <c r="L22" s="189"/>
      <c r="M22" s="189"/>
      <c r="N22" s="189"/>
      <c r="O22" s="249">
        <f>SUM(C22:N22)</f>
        <v>8043845</v>
      </c>
      <c r="P22" s="192"/>
      <c r="Q22" s="264">
        <f>804030780-R22</f>
        <v>258260940</v>
      </c>
      <c r="R22" s="247">
        <f>370357680+175412160</f>
        <v>545769840</v>
      </c>
      <c r="S22" s="247"/>
      <c r="T22" s="247"/>
      <c r="U22" s="247"/>
      <c r="V22" s="247"/>
      <c r="W22" s="247"/>
      <c r="X22" s="247"/>
      <c r="Y22" s="247"/>
      <c r="Z22" s="247"/>
      <c r="AA22" s="247"/>
      <c r="AB22" s="247"/>
      <c r="AC22" s="308">
        <f>SUM(Q22:AB22)</f>
        <v>804030780</v>
      </c>
      <c r="AD22" s="248"/>
      <c r="AE22" s="4"/>
      <c r="AF22" s="4"/>
    </row>
    <row r="23" spans="1:32" ht="32.25" customHeight="1">
      <c r="A23" s="324" t="s">
        <v>379</v>
      </c>
      <c r="B23" s="325"/>
      <c r="C23" s="186">
        <f>+C22</f>
        <v>8043845</v>
      </c>
      <c r="D23" s="185"/>
      <c r="E23" s="185"/>
      <c r="F23" s="185"/>
      <c r="G23" s="185"/>
      <c r="H23" s="185"/>
      <c r="I23" s="185"/>
      <c r="J23" s="185"/>
      <c r="K23" s="185"/>
      <c r="L23" s="185"/>
      <c r="M23" s="185"/>
      <c r="N23" s="185"/>
      <c r="O23" s="250">
        <f>SUM(C23:N23)</f>
        <v>8043845</v>
      </c>
      <c r="P23" s="203">
        <f>_xlfn.IFERROR(O23/(SUMIF(C23:N23,"&gt;0",C22:N22))," ")</f>
        <v>1</v>
      </c>
      <c r="Q23" s="186">
        <v>271549740</v>
      </c>
      <c r="R23" s="185">
        <v>370357680</v>
      </c>
      <c r="S23" s="185"/>
      <c r="T23" s="185">
        <f>118333600-2351477</f>
        <v>115982123</v>
      </c>
      <c r="U23" s="185"/>
      <c r="V23" s="185">
        <v>-4176481.33</v>
      </c>
      <c r="W23" s="185"/>
      <c r="X23" s="185"/>
      <c r="Y23" s="185"/>
      <c r="Z23" s="185"/>
      <c r="AA23" s="185"/>
      <c r="AB23" s="185"/>
      <c r="AC23" s="250">
        <f>SUM(Q23:AB23)</f>
        <v>753713061.67</v>
      </c>
      <c r="AD23" s="194">
        <f>_xlfn.IFERROR(AC23/(SUMIF(Q23:AB23,"&gt;0",Q22:AB22))," ")</f>
        <v>0.9374181690780544</v>
      </c>
      <c r="AE23" s="4"/>
      <c r="AF23" s="4"/>
    </row>
    <row r="24" spans="1:32" ht="32.25" customHeight="1">
      <c r="A24" s="324" t="s">
        <v>380</v>
      </c>
      <c r="B24" s="325"/>
      <c r="C24" s="186"/>
      <c r="D24" s="185">
        <v>8043845</v>
      </c>
      <c r="E24" s="185"/>
      <c r="F24" s="185"/>
      <c r="G24" s="185"/>
      <c r="H24" s="185"/>
      <c r="I24" s="185"/>
      <c r="J24" s="185"/>
      <c r="K24" s="185"/>
      <c r="L24" s="185"/>
      <c r="M24" s="185"/>
      <c r="N24" s="185"/>
      <c r="O24" s="250">
        <f>SUM(C24:N24)</f>
        <v>8043845</v>
      </c>
      <c r="P24" s="190"/>
      <c r="Q24" s="186"/>
      <c r="R24" s="185"/>
      <c r="S24" s="185">
        <v>76574360</v>
      </c>
      <c r="T24" s="185">
        <v>76574360</v>
      </c>
      <c r="U24" s="185">
        <v>76574360</v>
      </c>
      <c r="V24" s="185">
        <v>76574360</v>
      </c>
      <c r="W24" s="185">
        <v>76574360</v>
      </c>
      <c r="X24" s="185">
        <v>76574360</v>
      </c>
      <c r="Y24" s="185">
        <v>76574360</v>
      </c>
      <c r="Z24" s="185">
        <v>76574360</v>
      </c>
      <c r="AA24" s="185">
        <v>76574360</v>
      </c>
      <c r="AB24" s="185">
        <v>114861540</v>
      </c>
      <c r="AC24" s="250">
        <f>SUM(Q24:AB24)</f>
        <v>804030780</v>
      </c>
      <c r="AD24" s="194"/>
      <c r="AE24" s="4"/>
      <c r="AF24" s="4"/>
    </row>
    <row r="25" spans="1:33" ht="32.25" customHeight="1" thickBot="1">
      <c r="A25" s="412" t="s">
        <v>381</v>
      </c>
      <c r="B25" s="413"/>
      <c r="C25" s="187"/>
      <c r="D25" s="188">
        <v>6837306</v>
      </c>
      <c r="E25" s="188">
        <v>1206539</v>
      </c>
      <c r="F25" s="188"/>
      <c r="G25" s="188"/>
      <c r="H25" s="188"/>
      <c r="I25" s="188"/>
      <c r="J25" s="188"/>
      <c r="K25" s="188"/>
      <c r="L25" s="188"/>
      <c r="M25" s="188"/>
      <c r="N25" s="188"/>
      <c r="O25" s="307">
        <f>SUM(C25:N25)</f>
        <v>8043845</v>
      </c>
      <c r="P25" s="193">
        <f>_xlfn.IFERROR(O25/(SUMIF(C25:N25,"&gt;0",C24:N24))," ")</f>
        <v>1</v>
      </c>
      <c r="Q25" s="187"/>
      <c r="R25" s="188">
        <v>1113729</v>
      </c>
      <c r="S25" s="188">
        <v>47690718.12</v>
      </c>
      <c r="T25" s="188">
        <v>63918360</v>
      </c>
      <c r="U25" s="188">
        <v>63918360.44</v>
      </c>
      <c r="V25" s="188">
        <v>75055640</v>
      </c>
      <c r="W25" s="188">
        <v>69487000</v>
      </c>
      <c r="X25" s="188"/>
      <c r="Y25" s="188"/>
      <c r="Z25" s="188"/>
      <c r="AA25" s="188"/>
      <c r="AB25" s="188"/>
      <c r="AC25" s="307">
        <f>SUM(Q25:AB25)</f>
        <v>321183807.56</v>
      </c>
      <c r="AD25" s="195">
        <f>_xlfn.IFERROR(AC25/(SUMIF(Q25:AB25,"&gt;0",Q24:AB24))," ")</f>
        <v>0.8388808148314919</v>
      </c>
      <c r="AE25" s="4"/>
      <c r="AF25" s="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212" t="s">
        <v>39</v>
      </c>
      <c r="E29" s="212" t="s">
        <v>40</v>
      </c>
      <c r="F29" s="212" t="s">
        <v>41</v>
      </c>
      <c r="G29" s="212" t="s">
        <v>42</v>
      </c>
      <c r="H29" s="212" t="s">
        <v>43</v>
      </c>
      <c r="I29" s="212" t="s">
        <v>44</v>
      </c>
      <c r="J29" s="212" t="s">
        <v>45</v>
      </c>
      <c r="K29" s="212" t="s">
        <v>46</v>
      </c>
      <c r="L29" s="212" t="s">
        <v>47</v>
      </c>
      <c r="M29" s="212" t="s">
        <v>48</v>
      </c>
      <c r="N29" s="212" t="s">
        <v>49</v>
      </c>
      <c r="O29" s="212"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24" t="s">
        <v>190</v>
      </c>
      <c r="B32" s="431" t="s">
        <v>62</v>
      </c>
      <c r="C32" s="431" t="s">
        <v>6</v>
      </c>
      <c r="D32" s="431" t="s">
        <v>60</v>
      </c>
      <c r="E32" s="431"/>
      <c r="F32" s="431"/>
      <c r="G32" s="431"/>
      <c r="H32" s="431"/>
      <c r="I32" s="431"/>
      <c r="J32" s="431"/>
      <c r="K32" s="431"/>
      <c r="L32" s="431"/>
      <c r="M32" s="431"/>
      <c r="N32" s="431"/>
      <c r="O32" s="431"/>
      <c r="P32" s="431"/>
      <c r="Q32" s="431" t="s">
        <v>85</v>
      </c>
      <c r="R32" s="431"/>
      <c r="S32" s="431"/>
      <c r="T32" s="431"/>
      <c r="U32" s="431"/>
      <c r="V32" s="431"/>
      <c r="W32" s="431"/>
      <c r="X32" s="431"/>
      <c r="Y32" s="431"/>
      <c r="Z32" s="431"/>
      <c r="AA32" s="431"/>
      <c r="AB32" s="431"/>
      <c r="AC32" s="431"/>
      <c r="AD32" s="432"/>
      <c r="AG32" s="90"/>
      <c r="AH32" s="90"/>
      <c r="AI32" s="90"/>
      <c r="AJ32" s="90"/>
      <c r="AK32" s="90"/>
      <c r="AL32" s="90"/>
      <c r="AM32" s="90"/>
      <c r="AN32" s="90"/>
      <c r="AO32" s="90"/>
    </row>
    <row r="33" spans="1:41" ht="27" customHeight="1">
      <c r="A33" s="324"/>
      <c r="B33" s="431"/>
      <c r="C33" s="442"/>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431" t="s">
        <v>402</v>
      </c>
      <c r="R33" s="431"/>
      <c r="S33" s="431"/>
      <c r="T33" s="431" t="s">
        <v>403</v>
      </c>
      <c r="U33" s="431"/>
      <c r="V33" s="431"/>
      <c r="W33" s="427" t="s">
        <v>81</v>
      </c>
      <c r="X33" s="443"/>
      <c r="Y33" s="443"/>
      <c r="Z33" s="428"/>
      <c r="AA33" s="427" t="s">
        <v>82</v>
      </c>
      <c r="AB33" s="443"/>
      <c r="AC33" s="443"/>
      <c r="AD33" s="444"/>
      <c r="AG33" s="90"/>
      <c r="AH33" s="90"/>
      <c r="AI33" s="90"/>
      <c r="AJ33" s="90"/>
      <c r="AK33" s="90"/>
      <c r="AL33" s="90"/>
      <c r="AM33" s="90"/>
      <c r="AN33" s="90"/>
      <c r="AO33" s="90"/>
    </row>
    <row r="34" spans="1:41" ht="45" customHeight="1">
      <c r="A34" s="445" t="s">
        <v>433</v>
      </c>
      <c r="B34" s="520">
        <v>0.05</v>
      </c>
      <c r="C34" s="93" t="s">
        <v>9</v>
      </c>
      <c r="D34" s="219">
        <v>0.08</v>
      </c>
      <c r="E34" s="219">
        <v>0.08</v>
      </c>
      <c r="F34" s="219">
        <v>0.08</v>
      </c>
      <c r="G34" s="219">
        <v>0.08</v>
      </c>
      <c r="H34" s="219">
        <v>0.08</v>
      </c>
      <c r="I34" s="219">
        <v>0.08</v>
      </c>
      <c r="J34" s="219">
        <v>0.08</v>
      </c>
      <c r="K34" s="219">
        <v>0.09</v>
      </c>
      <c r="L34" s="219">
        <v>0.09</v>
      </c>
      <c r="M34" s="219">
        <v>0.09</v>
      </c>
      <c r="N34" s="219">
        <v>0.09</v>
      </c>
      <c r="O34" s="219">
        <v>0.08</v>
      </c>
      <c r="P34" s="171">
        <f>SUM(D34:O34)</f>
        <v>0.9999999999999999</v>
      </c>
      <c r="Q34" s="449" t="s">
        <v>582</v>
      </c>
      <c r="R34" s="450"/>
      <c r="S34" s="451"/>
      <c r="T34" s="449" t="s">
        <v>582</v>
      </c>
      <c r="U34" s="450"/>
      <c r="V34" s="451"/>
      <c r="W34" s="449" t="s">
        <v>529</v>
      </c>
      <c r="X34" s="450"/>
      <c r="Y34" s="450"/>
      <c r="Z34" s="451"/>
      <c r="AA34" s="449" t="s">
        <v>526</v>
      </c>
      <c r="AB34" s="450"/>
      <c r="AC34" s="450"/>
      <c r="AD34" s="455"/>
      <c r="AG34" s="90"/>
      <c r="AH34" s="90"/>
      <c r="AI34" s="90"/>
      <c r="AJ34" s="90"/>
      <c r="AK34" s="90"/>
      <c r="AL34" s="90"/>
      <c r="AM34" s="90"/>
      <c r="AN34" s="90"/>
      <c r="AO34" s="90"/>
    </row>
    <row r="35" spans="1:41" ht="45" customHeight="1" thickBot="1">
      <c r="A35" s="446"/>
      <c r="B35" s="521"/>
      <c r="C35" s="94" t="s">
        <v>10</v>
      </c>
      <c r="D35" s="255">
        <v>0.08</v>
      </c>
      <c r="E35" s="255">
        <v>0.08</v>
      </c>
      <c r="F35" s="255">
        <v>0.08</v>
      </c>
      <c r="G35" s="255">
        <v>0.08</v>
      </c>
      <c r="H35" s="255">
        <v>0.08</v>
      </c>
      <c r="I35" s="255">
        <v>0.08</v>
      </c>
      <c r="J35" s="255">
        <v>0.08</v>
      </c>
      <c r="K35" s="96"/>
      <c r="L35" s="96"/>
      <c r="M35" s="96"/>
      <c r="N35" s="96"/>
      <c r="O35" s="96"/>
      <c r="P35" s="172">
        <f>SUM(D35:O35)</f>
        <v>0.56</v>
      </c>
      <c r="Q35" s="452"/>
      <c r="R35" s="453"/>
      <c r="S35" s="454"/>
      <c r="T35" s="452"/>
      <c r="U35" s="453"/>
      <c r="V35" s="454"/>
      <c r="W35" s="452"/>
      <c r="X35" s="453"/>
      <c r="Y35" s="453"/>
      <c r="Z35" s="454"/>
      <c r="AA35" s="452"/>
      <c r="AB35" s="453"/>
      <c r="AC35" s="453"/>
      <c r="AD35" s="456"/>
      <c r="AE35" s="50"/>
      <c r="AF35" s="97"/>
      <c r="AG35" s="90"/>
      <c r="AH35" s="90"/>
      <c r="AI35" s="90"/>
      <c r="AJ35" s="90"/>
      <c r="AK35" s="90"/>
      <c r="AL35" s="90"/>
      <c r="AM35" s="90"/>
      <c r="AN35" s="90"/>
      <c r="AO35" s="90"/>
    </row>
    <row r="36" spans="1:41"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G36" s="90"/>
      <c r="AH36" s="90"/>
      <c r="AI36" s="90"/>
      <c r="AJ36" s="90"/>
      <c r="AK36" s="90"/>
      <c r="AL36" s="90"/>
      <c r="AM36" s="90"/>
      <c r="AN36" s="90"/>
      <c r="AO36" s="90"/>
    </row>
    <row r="37" spans="1:41" ht="26.25" customHeight="1">
      <c r="A37" s="324"/>
      <c r="B37" s="46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25" t="s">
        <v>83</v>
      </c>
      <c r="R37" s="429"/>
      <c r="S37" s="429"/>
      <c r="T37" s="429"/>
      <c r="U37" s="429"/>
      <c r="V37" s="429"/>
      <c r="W37" s="429"/>
      <c r="X37" s="429"/>
      <c r="Y37" s="429"/>
      <c r="Z37" s="429"/>
      <c r="AA37" s="429"/>
      <c r="AB37" s="429"/>
      <c r="AC37" s="429"/>
      <c r="AD37" s="468"/>
      <c r="AG37" s="98"/>
      <c r="AH37" s="98"/>
      <c r="AI37" s="98"/>
      <c r="AJ37" s="98"/>
      <c r="AK37" s="98"/>
      <c r="AL37" s="98"/>
      <c r="AM37" s="98"/>
      <c r="AN37" s="98"/>
      <c r="AO37" s="98"/>
    </row>
    <row r="38" spans="1:41" ht="29.25" customHeight="1">
      <c r="A38" s="469" t="s">
        <v>434</v>
      </c>
      <c r="B38" s="471">
        <v>0.01</v>
      </c>
      <c r="C38" s="93" t="s">
        <v>9</v>
      </c>
      <c r="D38" s="219">
        <v>0.08</v>
      </c>
      <c r="E38" s="219">
        <v>0.08</v>
      </c>
      <c r="F38" s="219">
        <v>0.08</v>
      </c>
      <c r="G38" s="219">
        <v>0.08</v>
      </c>
      <c r="H38" s="219">
        <v>0.08</v>
      </c>
      <c r="I38" s="219">
        <v>0.08</v>
      </c>
      <c r="J38" s="219">
        <v>0.08</v>
      </c>
      <c r="K38" s="219">
        <v>0.09</v>
      </c>
      <c r="L38" s="219">
        <v>0.09</v>
      </c>
      <c r="M38" s="219">
        <v>0.09</v>
      </c>
      <c r="N38" s="219">
        <v>0.09</v>
      </c>
      <c r="O38" s="219">
        <v>0.08</v>
      </c>
      <c r="P38" s="221">
        <f aca="true" t="shared" si="0" ref="P38:P43">SUM(D38:O38)</f>
        <v>0.9999999999999999</v>
      </c>
      <c r="Q38" s="478" t="s">
        <v>583</v>
      </c>
      <c r="R38" s="479"/>
      <c r="S38" s="479"/>
      <c r="T38" s="479"/>
      <c r="U38" s="479"/>
      <c r="V38" s="479"/>
      <c r="W38" s="479"/>
      <c r="X38" s="479"/>
      <c r="Y38" s="479"/>
      <c r="Z38" s="479"/>
      <c r="AA38" s="479"/>
      <c r="AB38" s="479"/>
      <c r="AC38" s="479"/>
      <c r="AD38" s="480"/>
      <c r="AE38" s="101"/>
      <c r="AG38" s="102"/>
      <c r="AH38" s="102"/>
      <c r="AI38" s="102"/>
      <c r="AJ38" s="102"/>
      <c r="AK38" s="102"/>
      <c r="AL38" s="102"/>
      <c r="AM38" s="102"/>
      <c r="AN38" s="102"/>
      <c r="AO38" s="102"/>
    </row>
    <row r="39" spans="1:31" ht="29.25" customHeight="1">
      <c r="A39" s="470"/>
      <c r="B39" s="472"/>
      <c r="C39" s="103" t="s">
        <v>10</v>
      </c>
      <c r="D39" s="104">
        <v>0.08</v>
      </c>
      <c r="E39" s="104">
        <v>0.08</v>
      </c>
      <c r="F39" s="104">
        <v>0.08</v>
      </c>
      <c r="G39" s="104">
        <v>0.08</v>
      </c>
      <c r="H39" s="104">
        <v>0.08</v>
      </c>
      <c r="I39" s="104">
        <v>0.08</v>
      </c>
      <c r="J39" s="104">
        <v>0.08</v>
      </c>
      <c r="K39" s="104"/>
      <c r="L39" s="104"/>
      <c r="M39" s="104"/>
      <c r="N39" s="104"/>
      <c r="O39" s="104"/>
      <c r="P39" s="105">
        <f t="shared" si="0"/>
        <v>0.56</v>
      </c>
      <c r="Q39" s="484"/>
      <c r="R39" s="485"/>
      <c r="S39" s="485"/>
      <c r="T39" s="485"/>
      <c r="U39" s="485"/>
      <c r="V39" s="485"/>
      <c r="W39" s="485"/>
      <c r="X39" s="485"/>
      <c r="Y39" s="485"/>
      <c r="Z39" s="485"/>
      <c r="AA39" s="485"/>
      <c r="AB39" s="485"/>
      <c r="AC39" s="485"/>
      <c r="AD39" s="486"/>
      <c r="AE39" s="101"/>
    </row>
    <row r="40" spans="1:31" ht="30" customHeight="1">
      <c r="A40" s="470" t="s">
        <v>435</v>
      </c>
      <c r="B40" s="471">
        <v>0.03</v>
      </c>
      <c r="C40" s="106" t="s">
        <v>9</v>
      </c>
      <c r="D40" s="219">
        <v>0.08</v>
      </c>
      <c r="E40" s="219">
        <v>0.08</v>
      </c>
      <c r="F40" s="219">
        <v>0.08</v>
      </c>
      <c r="G40" s="219">
        <v>0.08</v>
      </c>
      <c r="H40" s="219">
        <v>0.08</v>
      </c>
      <c r="I40" s="219">
        <v>0.08</v>
      </c>
      <c r="J40" s="219">
        <v>0.08</v>
      </c>
      <c r="K40" s="219">
        <v>0.09</v>
      </c>
      <c r="L40" s="219">
        <v>0.09</v>
      </c>
      <c r="M40" s="219">
        <v>0.09</v>
      </c>
      <c r="N40" s="219">
        <v>0.09</v>
      </c>
      <c r="O40" s="219">
        <v>0.08</v>
      </c>
      <c r="P40" s="221">
        <f t="shared" si="0"/>
        <v>0.9999999999999999</v>
      </c>
      <c r="Q40" s="478" t="s">
        <v>600</v>
      </c>
      <c r="R40" s="479"/>
      <c r="S40" s="479"/>
      <c r="T40" s="479"/>
      <c r="U40" s="479"/>
      <c r="V40" s="479"/>
      <c r="W40" s="479"/>
      <c r="X40" s="479"/>
      <c r="Y40" s="479"/>
      <c r="Z40" s="479"/>
      <c r="AA40" s="479"/>
      <c r="AB40" s="479"/>
      <c r="AC40" s="479"/>
      <c r="AD40" s="480"/>
      <c r="AE40" s="101"/>
    </row>
    <row r="41" spans="1:31" ht="29.25" customHeight="1">
      <c r="A41" s="470"/>
      <c r="B41" s="472"/>
      <c r="C41" s="103" t="s">
        <v>10</v>
      </c>
      <c r="D41" s="104">
        <v>0.04</v>
      </c>
      <c r="E41" s="104">
        <v>0.04</v>
      </c>
      <c r="F41" s="104">
        <v>0.08</v>
      </c>
      <c r="G41" s="104">
        <v>0.16</v>
      </c>
      <c r="H41" s="104">
        <v>0.08</v>
      </c>
      <c r="I41" s="104">
        <v>0.08</v>
      </c>
      <c r="J41" s="104">
        <v>0.08</v>
      </c>
      <c r="K41" s="104"/>
      <c r="L41" s="108"/>
      <c r="M41" s="108"/>
      <c r="N41" s="108"/>
      <c r="O41" s="108"/>
      <c r="P41" s="105">
        <f t="shared" si="0"/>
        <v>0.56</v>
      </c>
      <c r="Q41" s="484"/>
      <c r="R41" s="485"/>
      <c r="S41" s="485"/>
      <c r="T41" s="485"/>
      <c r="U41" s="485"/>
      <c r="V41" s="485"/>
      <c r="W41" s="485"/>
      <c r="X41" s="485"/>
      <c r="Y41" s="485"/>
      <c r="Z41" s="485"/>
      <c r="AA41" s="485"/>
      <c r="AB41" s="485"/>
      <c r="AC41" s="485"/>
      <c r="AD41" s="486"/>
      <c r="AE41" s="101"/>
    </row>
    <row r="42" spans="1:31" ht="41.25" customHeight="1">
      <c r="A42" s="473" t="s">
        <v>436</v>
      </c>
      <c r="B42" s="471">
        <v>0.01</v>
      </c>
      <c r="C42" s="106" t="s">
        <v>9</v>
      </c>
      <c r="D42" s="219">
        <v>0.08</v>
      </c>
      <c r="E42" s="219">
        <v>0.08</v>
      </c>
      <c r="F42" s="219">
        <v>0.08</v>
      </c>
      <c r="G42" s="219">
        <v>0.08</v>
      </c>
      <c r="H42" s="219">
        <v>0.08</v>
      </c>
      <c r="I42" s="219">
        <v>0.08</v>
      </c>
      <c r="J42" s="219">
        <v>0.08</v>
      </c>
      <c r="K42" s="219">
        <v>0.09</v>
      </c>
      <c r="L42" s="219">
        <v>0.09</v>
      </c>
      <c r="M42" s="219">
        <v>0.09</v>
      </c>
      <c r="N42" s="219">
        <v>0.09</v>
      </c>
      <c r="O42" s="219">
        <v>0.08</v>
      </c>
      <c r="P42" s="221">
        <f t="shared" si="0"/>
        <v>0.9999999999999999</v>
      </c>
      <c r="Q42" s="478" t="s">
        <v>584</v>
      </c>
      <c r="R42" s="479"/>
      <c r="S42" s="479"/>
      <c r="T42" s="479"/>
      <c r="U42" s="479"/>
      <c r="V42" s="479"/>
      <c r="W42" s="479"/>
      <c r="X42" s="479"/>
      <c r="Y42" s="479"/>
      <c r="Z42" s="479"/>
      <c r="AA42" s="479"/>
      <c r="AB42" s="479"/>
      <c r="AC42" s="479"/>
      <c r="AD42" s="480"/>
      <c r="AE42" s="101"/>
    </row>
    <row r="43" spans="1:31" ht="36" customHeight="1" thickBot="1">
      <c r="A43" s="474"/>
      <c r="B43" s="475"/>
      <c r="C43" s="94" t="s">
        <v>10</v>
      </c>
      <c r="D43" s="110">
        <v>0</v>
      </c>
      <c r="E43" s="110">
        <v>0.12</v>
      </c>
      <c r="F43" s="110">
        <v>0.08</v>
      </c>
      <c r="G43" s="243">
        <v>0.12</v>
      </c>
      <c r="H43" s="110">
        <v>0.08</v>
      </c>
      <c r="I43" s="110">
        <v>0.08</v>
      </c>
      <c r="J43" s="110">
        <v>0.08</v>
      </c>
      <c r="K43" s="110"/>
      <c r="L43" s="111"/>
      <c r="M43" s="111"/>
      <c r="N43" s="111"/>
      <c r="O43" s="111"/>
      <c r="P43" s="112">
        <f t="shared" si="0"/>
        <v>0.56</v>
      </c>
      <c r="Q43" s="481"/>
      <c r="R43" s="482"/>
      <c r="S43" s="482"/>
      <c r="T43" s="482"/>
      <c r="U43" s="482"/>
      <c r="V43" s="482"/>
      <c r="W43" s="482"/>
      <c r="X43" s="482"/>
      <c r="Y43" s="482"/>
      <c r="Z43" s="482"/>
      <c r="AA43" s="482"/>
      <c r="AB43" s="482"/>
      <c r="AC43" s="482"/>
      <c r="AD43" s="483"/>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20"/>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4"/>
  <sheetViews>
    <sheetView showGridLines="0" zoomScale="70" zoomScaleNormal="70" workbookViewId="0" topLeftCell="N34">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6.8515625" style="52" customWidth="1"/>
    <col min="16" max="19" width="18.140625" style="52" customWidth="1"/>
    <col min="20" max="20" width="24.140625" style="52" customWidth="1"/>
    <col min="21" max="21" width="23.851562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8515625" style="52" customWidth="1"/>
    <col min="38" max="38" width="18.421875" style="52" bestFit="1" customWidth="1"/>
    <col min="39" max="39" width="16.140625" style="52" customWidth="1"/>
    <col min="40" max="16384" width="10.8515625" style="52"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345" t="s">
        <v>45</v>
      </c>
      <c r="D7" s="381" t="s">
        <v>71</v>
      </c>
      <c r="E7" s="387"/>
      <c r="F7" s="387"/>
      <c r="G7" s="387"/>
      <c r="H7" s="382"/>
      <c r="I7" s="390">
        <v>45141</v>
      </c>
      <c r="J7" s="391"/>
      <c r="K7" s="381" t="s">
        <v>67</v>
      </c>
      <c r="L7" s="382"/>
      <c r="M7" s="406" t="s">
        <v>70</v>
      </c>
      <c r="N7" s="407"/>
      <c r="O7" s="396"/>
      <c r="P7" s="397"/>
      <c r="Q7" s="56"/>
      <c r="R7" s="56"/>
      <c r="S7" s="56"/>
      <c r="T7" s="56"/>
      <c r="U7" s="56"/>
      <c r="V7" s="56"/>
      <c r="W7" s="56"/>
      <c r="X7" s="56"/>
      <c r="Y7" s="56"/>
      <c r="Z7" s="57"/>
      <c r="AA7" s="56"/>
      <c r="AB7" s="56"/>
      <c r="AC7" s="62"/>
      <c r="AD7" s="63"/>
    </row>
    <row r="8" spans="1:30" ht="15">
      <c r="A8" s="341"/>
      <c r="B8" s="342"/>
      <c r="C8" s="346"/>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343"/>
      <c r="B9" s="344"/>
      <c r="C9" s="347"/>
      <c r="D9" s="385"/>
      <c r="E9" s="389"/>
      <c r="F9" s="389"/>
      <c r="G9" s="389"/>
      <c r="H9" s="386"/>
      <c r="I9" s="394"/>
      <c r="J9" s="395"/>
      <c r="K9" s="385"/>
      <c r="L9" s="386"/>
      <c r="M9" s="402" t="s">
        <v>69</v>
      </c>
      <c r="N9" s="403"/>
      <c r="O9" s="404" t="s">
        <v>420</v>
      </c>
      <c r="P9" s="405"/>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78" customFormat="1" ht="37.5" customHeight="1" thickBot="1">
      <c r="A17" s="418" t="s">
        <v>79</v>
      </c>
      <c r="B17" s="419"/>
      <c r="C17" s="420" t="s">
        <v>437</v>
      </c>
      <c r="D17" s="421"/>
      <c r="E17" s="421"/>
      <c r="F17" s="421"/>
      <c r="G17" s="421"/>
      <c r="H17" s="421"/>
      <c r="I17" s="421"/>
      <c r="J17" s="421"/>
      <c r="K17" s="421"/>
      <c r="L17" s="421"/>
      <c r="M17" s="421"/>
      <c r="N17" s="421"/>
      <c r="O17" s="421"/>
      <c r="P17" s="421"/>
      <c r="Q17" s="422"/>
      <c r="R17" s="326" t="s">
        <v>374</v>
      </c>
      <c r="S17" s="327"/>
      <c r="T17" s="327"/>
      <c r="U17" s="327"/>
      <c r="V17" s="328"/>
      <c r="W17" s="436">
        <v>5</v>
      </c>
      <c r="X17" s="437"/>
      <c r="Y17" s="327" t="s">
        <v>15</v>
      </c>
      <c r="Z17" s="327"/>
      <c r="AA17" s="327"/>
      <c r="AB17" s="328"/>
      <c r="AC17" s="337">
        <v>0.05</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86"/>
    </row>
    <row r="20" spans="1:31"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86"/>
    </row>
    <row r="21" spans="1:31"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44" t="s">
        <v>39</v>
      </c>
      <c r="R21" s="241" t="s">
        <v>40</v>
      </c>
      <c r="S21" s="241" t="s">
        <v>41</v>
      </c>
      <c r="T21" s="241" t="s">
        <v>42</v>
      </c>
      <c r="U21" s="241" t="s">
        <v>43</v>
      </c>
      <c r="V21" s="241" t="s">
        <v>44</v>
      </c>
      <c r="W21" s="241" t="s">
        <v>45</v>
      </c>
      <c r="X21" s="241" t="s">
        <v>46</v>
      </c>
      <c r="Y21" s="241" t="s">
        <v>47</v>
      </c>
      <c r="Z21" s="241" t="s">
        <v>48</v>
      </c>
      <c r="AA21" s="241" t="s">
        <v>49</v>
      </c>
      <c r="AB21" s="241" t="s">
        <v>50</v>
      </c>
      <c r="AC21" s="241" t="s">
        <v>8</v>
      </c>
      <c r="AD21" s="245" t="s">
        <v>382</v>
      </c>
      <c r="AE21" s="4"/>
    </row>
    <row r="22" spans="1:31" ht="32.25" customHeight="1">
      <c r="A22" s="335" t="s">
        <v>378</v>
      </c>
      <c r="B22" s="336"/>
      <c r="C22" s="191">
        <f>353053894-1</f>
        <v>353053893</v>
      </c>
      <c r="D22" s="189"/>
      <c r="E22" s="189"/>
      <c r="F22" s="189"/>
      <c r="G22" s="189">
        <v>-14814613.5</v>
      </c>
      <c r="H22" s="189"/>
      <c r="I22" s="189"/>
      <c r="J22" s="189"/>
      <c r="K22" s="189"/>
      <c r="L22" s="189"/>
      <c r="M22" s="189"/>
      <c r="N22" s="189"/>
      <c r="O22" s="249">
        <f>SUM(C22:N22)</f>
        <v>338239279.5</v>
      </c>
      <c r="P22" s="192"/>
      <c r="Q22" s="246">
        <v>110522625</v>
      </c>
      <c r="R22" s="247">
        <f>2406149951-U22-T22-Q22</f>
        <v>2236176575</v>
      </c>
      <c r="S22" s="247"/>
      <c r="T22" s="247">
        <v>41781637</v>
      </c>
      <c r="U22" s="247">
        <v>17669114</v>
      </c>
      <c r="V22" s="247"/>
      <c r="W22" s="247">
        <v>42095408</v>
      </c>
      <c r="X22" s="247"/>
      <c r="Y22" s="247">
        <v>162248996</v>
      </c>
      <c r="Z22" s="247">
        <v>15241800</v>
      </c>
      <c r="AA22" s="247"/>
      <c r="AB22" s="247"/>
      <c r="AC22" s="247">
        <f>SUM(Q22:AB22)</f>
        <v>2625736155</v>
      </c>
      <c r="AD22" s="248"/>
      <c r="AE22" s="4"/>
    </row>
    <row r="23" spans="1:31" ht="32.25" customHeight="1">
      <c r="A23" s="324" t="s">
        <v>379</v>
      </c>
      <c r="B23" s="325"/>
      <c r="C23" s="186">
        <f>+C22</f>
        <v>353053893</v>
      </c>
      <c r="D23" s="185"/>
      <c r="E23" s="185"/>
      <c r="F23" s="185"/>
      <c r="G23" s="189">
        <v>-14814613.5</v>
      </c>
      <c r="H23" s="185"/>
      <c r="I23" s="185"/>
      <c r="J23" s="185"/>
      <c r="K23" s="185"/>
      <c r="L23" s="185"/>
      <c r="M23" s="185"/>
      <c r="N23" s="185"/>
      <c r="O23" s="250">
        <f>SUM(C23:N23)</f>
        <v>338239279.5</v>
      </c>
      <c r="P23" s="203">
        <f>_xlfn.IFERROR(O23/(SUMIF(C23:N23,"&gt;0",C22:N22))," ")</f>
        <v>0.9580386626695545</v>
      </c>
      <c r="Q23" s="186">
        <v>197625375</v>
      </c>
      <c r="R23" s="185">
        <v>1660472537</v>
      </c>
      <c r="S23" s="185">
        <v>405576000</v>
      </c>
      <c r="T23" s="185">
        <f>84483000-11228712.75</f>
        <v>73254287.25</v>
      </c>
      <c r="U23" s="185">
        <v>41640839.57</v>
      </c>
      <c r="V23" s="185">
        <f>18658309.5-6447933.33</f>
        <v>12210376.17</v>
      </c>
      <c r="W23" s="277">
        <f>131497.39-0.15</f>
        <v>131497.24000000002</v>
      </c>
      <c r="X23" s="185"/>
      <c r="Y23" s="185"/>
      <c r="Z23" s="185"/>
      <c r="AA23" s="185"/>
      <c r="AB23" s="185"/>
      <c r="AC23" s="250">
        <f>SUM(Q23:AB23)</f>
        <v>2390910912.23</v>
      </c>
      <c r="AD23" s="194">
        <f>_xlfn.IFERROR(AC23/(SUMIF(Q23:AB23,"&gt;0",Q22:AB22))," ")</f>
        <v>0.976581413068248</v>
      </c>
      <c r="AE23" s="4"/>
    </row>
    <row r="24" spans="1:31" ht="32.25" customHeight="1">
      <c r="A24" s="324" t="s">
        <v>380</v>
      </c>
      <c r="B24" s="325"/>
      <c r="C24" s="186">
        <v>32134056</v>
      </c>
      <c r="D24" s="185">
        <v>210272371</v>
      </c>
      <c r="E24" s="185">
        <v>92234289</v>
      </c>
      <c r="F24" s="185">
        <v>1499141</v>
      </c>
      <c r="G24" s="185">
        <f>16914037-14814613.35-1</f>
        <v>2099422.6500000004</v>
      </c>
      <c r="H24" s="185"/>
      <c r="I24" s="185"/>
      <c r="J24" s="185"/>
      <c r="K24" s="185"/>
      <c r="L24" s="185"/>
      <c r="M24" s="185"/>
      <c r="N24" s="185"/>
      <c r="O24" s="185">
        <f>SUM(C24:N24)</f>
        <v>338239279.65</v>
      </c>
      <c r="P24" s="190"/>
      <c r="Q24" s="186"/>
      <c r="R24" s="185">
        <v>4886725</v>
      </c>
      <c r="S24" s="185">
        <v>253531850</v>
      </c>
      <c r="T24" s="185">
        <v>295313487</v>
      </c>
      <c r="U24" s="185">
        <v>255004276</v>
      </c>
      <c r="V24" s="185">
        <v>255004276</v>
      </c>
      <c r="W24" s="185">
        <v>255004276</v>
      </c>
      <c r="X24" s="185">
        <v>255004276</v>
      </c>
      <c r="Y24" s="185">
        <v>253685776</v>
      </c>
      <c r="Z24" s="185">
        <v>253685776</v>
      </c>
      <c r="AA24" s="185">
        <v>253685776</v>
      </c>
      <c r="AB24" s="185">
        <f>71343457+219586204</f>
        <v>290929661</v>
      </c>
      <c r="AC24" s="185">
        <f>SUM(Q24:AB24)</f>
        <v>2625736155</v>
      </c>
      <c r="AD24" s="194"/>
      <c r="AE24" s="4"/>
    </row>
    <row r="25" spans="1:31" ht="32.25" customHeight="1" thickBot="1">
      <c r="A25" s="412" t="s">
        <v>381</v>
      </c>
      <c r="B25" s="413"/>
      <c r="C25" s="187">
        <v>30180671</v>
      </c>
      <c r="D25" s="188">
        <v>212225756</v>
      </c>
      <c r="E25" s="188">
        <v>92234288</v>
      </c>
      <c r="F25" s="188"/>
      <c r="G25" s="188">
        <f>1499141.7</f>
        <v>1499141.7</v>
      </c>
      <c r="H25" s="188"/>
      <c r="I25" s="188"/>
      <c r="J25" s="188"/>
      <c r="K25" s="188"/>
      <c r="L25" s="188"/>
      <c r="M25" s="317"/>
      <c r="N25" s="188"/>
      <c r="O25" s="307">
        <f>SUM(C25:N25)</f>
        <v>336139856.7</v>
      </c>
      <c r="P25" s="193">
        <f>_xlfn.IFERROR(O25/(SUMIF(C25:N25,"&gt;0",C24:N24))," ")</f>
        <v>0.9982173733359898</v>
      </c>
      <c r="Q25" s="187"/>
      <c r="R25" s="188">
        <v>6431659.25</v>
      </c>
      <c r="S25" s="188">
        <v>69143946.1</v>
      </c>
      <c r="T25" s="188">
        <v>221278333</v>
      </c>
      <c r="U25" s="188">
        <v>252793717.57</v>
      </c>
      <c r="V25" s="188">
        <v>253480249.5</v>
      </c>
      <c r="W25" s="317">
        <f>298983097.8-0.07</f>
        <v>298983097.73</v>
      </c>
      <c r="X25" s="188"/>
      <c r="Y25" s="188"/>
      <c r="Z25" s="188"/>
      <c r="AA25" s="188"/>
      <c r="AB25" s="188"/>
      <c r="AC25" s="307">
        <f>SUM(Q25:AB25)</f>
        <v>1102111003.15</v>
      </c>
      <c r="AD25" s="195">
        <f>_xlfn.IFERROR(AC25/(SUMIF(Q25:AB25,"&gt;0",Q24:AB24))," ")</f>
        <v>0.8357272217752443</v>
      </c>
      <c r="AE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212" t="s">
        <v>39</v>
      </c>
      <c r="E29" s="212" t="s">
        <v>40</v>
      </c>
      <c r="F29" s="212" t="s">
        <v>41</v>
      </c>
      <c r="G29" s="212" t="s">
        <v>42</v>
      </c>
      <c r="H29" s="212" t="s">
        <v>43</v>
      </c>
      <c r="I29" s="212" t="s">
        <v>44</v>
      </c>
      <c r="J29" s="212" t="s">
        <v>45</v>
      </c>
      <c r="K29" s="212" t="s">
        <v>46</v>
      </c>
      <c r="L29" s="212" t="s">
        <v>47</v>
      </c>
      <c r="M29" s="212" t="s">
        <v>48</v>
      </c>
      <c r="N29" s="212" t="s">
        <v>49</v>
      </c>
      <c r="O29" s="212"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38" ht="23.25" customHeight="1">
      <c r="A32" s="324" t="s">
        <v>190</v>
      </c>
      <c r="B32" s="431" t="s">
        <v>62</v>
      </c>
      <c r="C32" s="431" t="s">
        <v>6</v>
      </c>
      <c r="D32" s="431" t="s">
        <v>60</v>
      </c>
      <c r="E32" s="431"/>
      <c r="F32" s="431"/>
      <c r="G32" s="431"/>
      <c r="H32" s="431"/>
      <c r="I32" s="431"/>
      <c r="J32" s="431"/>
      <c r="K32" s="431"/>
      <c r="L32" s="431"/>
      <c r="M32" s="431"/>
      <c r="N32" s="431"/>
      <c r="O32" s="431"/>
      <c r="P32" s="431"/>
      <c r="Q32" s="431" t="s">
        <v>85</v>
      </c>
      <c r="R32" s="431"/>
      <c r="S32" s="431"/>
      <c r="T32" s="431"/>
      <c r="U32" s="431"/>
      <c r="V32" s="431"/>
      <c r="W32" s="431"/>
      <c r="X32" s="431"/>
      <c r="Y32" s="431"/>
      <c r="Z32" s="431"/>
      <c r="AA32" s="431"/>
      <c r="AB32" s="431"/>
      <c r="AC32" s="431"/>
      <c r="AD32" s="432"/>
      <c r="AF32" s="90"/>
      <c r="AG32" s="90"/>
      <c r="AH32" s="90"/>
      <c r="AI32" s="90"/>
      <c r="AJ32" s="90"/>
      <c r="AK32" s="90"/>
      <c r="AL32" s="90"/>
    </row>
    <row r="33" spans="1:38" ht="27" customHeight="1">
      <c r="A33" s="324"/>
      <c r="B33" s="431"/>
      <c r="C33" s="442"/>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431" t="s">
        <v>402</v>
      </c>
      <c r="R33" s="431"/>
      <c r="S33" s="431"/>
      <c r="T33" s="431" t="s">
        <v>403</v>
      </c>
      <c r="U33" s="431"/>
      <c r="V33" s="431"/>
      <c r="W33" s="427" t="s">
        <v>81</v>
      </c>
      <c r="X33" s="443"/>
      <c r="Y33" s="443"/>
      <c r="Z33" s="428"/>
      <c r="AA33" s="427" t="s">
        <v>82</v>
      </c>
      <c r="AB33" s="443"/>
      <c r="AC33" s="443"/>
      <c r="AD33" s="444"/>
      <c r="AF33" s="90"/>
      <c r="AG33" s="90"/>
      <c r="AH33" s="90"/>
      <c r="AI33" s="90"/>
      <c r="AJ33" s="90"/>
      <c r="AK33" s="90"/>
      <c r="AL33" s="90"/>
    </row>
    <row r="34" spans="1:38" ht="171.75" customHeight="1">
      <c r="A34" s="445" t="s">
        <v>437</v>
      </c>
      <c r="B34" s="447">
        <v>0.05</v>
      </c>
      <c r="C34" s="93" t="s">
        <v>9</v>
      </c>
      <c r="D34" s="92">
        <v>5</v>
      </c>
      <c r="E34" s="92">
        <v>5</v>
      </c>
      <c r="F34" s="92">
        <v>5</v>
      </c>
      <c r="G34" s="92">
        <v>5</v>
      </c>
      <c r="H34" s="92">
        <v>5</v>
      </c>
      <c r="I34" s="92">
        <v>5</v>
      </c>
      <c r="J34" s="92">
        <v>5</v>
      </c>
      <c r="K34" s="92">
        <v>5</v>
      </c>
      <c r="L34" s="92">
        <v>5</v>
      </c>
      <c r="M34" s="92">
        <v>5</v>
      </c>
      <c r="N34" s="92">
        <v>5</v>
      </c>
      <c r="O34" s="92">
        <v>5</v>
      </c>
      <c r="P34" s="92">
        <v>5</v>
      </c>
      <c r="Q34" s="457" t="s">
        <v>553</v>
      </c>
      <c r="R34" s="458"/>
      <c r="S34" s="459"/>
      <c r="T34" s="457" t="s">
        <v>585</v>
      </c>
      <c r="U34" s="458"/>
      <c r="V34" s="459"/>
      <c r="W34" s="457" t="s">
        <v>537</v>
      </c>
      <c r="X34" s="458"/>
      <c r="Y34" s="458"/>
      <c r="Z34" s="459"/>
      <c r="AA34" s="449" t="s">
        <v>538</v>
      </c>
      <c r="AB34" s="450"/>
      <c r="AC34" s="450"/>
      <c r="AD34" s="455"/>
      <c r="AF34" s="90"/>
      <c r="AG34" s="90"/>
      <c r="AH34" s="90"/>
      <c r="AI34" s="90"/>
      <c r="AJ34" s="90"/>
      <c r="AK34" s="90"/>
      <c r="AL34" s="90"/>
    </row>
    <row r="35" spans="1:38" ht="142.5" customHeight="1" thickBot="1">
      <c r="A35" s="446"/>
      <c r="B35" s="448"/>
      <c r="C35" s="253" t="s">
        <v>10</v>
      </c>
      <c r="D35" s="253">
        <v>4</v>
      </c>
      <c r="E35" s="253">
        <v>4</v>
      </c>
      <c r="F35" s="252">
        <v>4</v>
      </c>
      <c r="G35" s="252">
        <v>4</v>
      </c>
      <c r="H35" s="252">
        <v>4</v>
      </c>
      <c r="I35" s="252">
        <v>4</v>
      </c>
      <c r="J35" s="252">
        <v>4</v>
      </c>
      <c r="K35" s="252"/>
      <c r="L35" s="252"/>
      <c r="M35" s="252"/>
      <c r="N35" s="252"/>
      <c r="O35" s="252"/>
      <c r="P35" s="253">
        <v>4</v>
      </c>
      <c r="Q35" s="460"/>
      <c r="R35" s="461"/>
      <c r="S35" s="462"/>
      <c r="T35" s="460"/>
      <c r="U35" s="461"/>
      <c r="V35" s="462"/>
      <c r="W35" s="460"/>
      <c r="X35" s="461"/>
      <c r="Y35" s="461"/>
      <c r="Z35" s="462"/>
      <c r="AA35" s="452"/>
      <c r="AB35" s="453"/>
      <c r="AC35" s="453"/>
      <c r="AD35" s="456"/>
      <c r="AE35" s="50"/>
      <c r="AF35" s="90"/>
      <c r="AG35" s="90"/>
      <c r="AH35" s="90"/>
      <c r="AI35" s="90"/>
      <c r="AJ35" s="90"/>
      <c r="AK35" s="90"/>
      <c r="AL35" s="90"/>
    </row>
    <row r="36" spans="1:38"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F36" s="90"/>
      <c r="AG36" s="90"/>
      <c r="AH36" s="90"/>
      <c r="AI36" s="90"/>
      <c r="AJ36" s="90"/>
      <c r="AK36" s="90"/>
      <c r="AL36" s="90"/>
    </row>
    <row r="37" spans="1:38" ht="26.25" customHeight="1">
      <c r="A37" s="324"/>
      <c r="B37" s="464"/>
      <c r="C37" s="297" t="s">
        <v>12</v>
      </c>
      <c r="D37" s="297" t="s">
        <v>36</v>
      </c>
      <c r="E37" s="297" t="s">
        <v>37</v>
      </c>
      <c r="F37" s="297" t="s">
        <v>38</v>
      </c>
      <c r="G37" s="297" t="s">
        <v>51</v>
      </c>
      <c r="H37" s="297" t="s">
        <v>52</v>
      </c>
      <c r="I37" s="297" t="s">
        <v>53</v>
      </c>
      <c r="J37" s="297" t="s">
        <v>54</v>
      </c>
      <c r="K37" s="297" t="s">
        <v>55</v>
      </c>
      <c r="L37" s="297" t="s">
        <v>56</v>
      </c>
      <c r="M37" s="297" t="s">
        <v>57</v>
      </c>
      <c r="N37" s="297" t="s">
        <v>58</v>
      </c>
      <c r="O37" s="297" t="s">
        <v>59</v>
      </c>
      <c r="P37" s="297" t="s">
        <v>63</v>
      </c>
      <c r="Q37" s="325" t="s">
        <v>83</v>
      </c>
      <c r="R37" s="429"/>
      <c r="S37" s="429"/>
      <c r="T37" s="429"/>
      <c r="U37" s="429"/>
      <c r="V37" s="429"/>
      <c r="W37" s="429"/>
      <c r="X37" s="429"/>
      <c r="Y37" s="429"/>
      <c r="Z37" s="429"/>
      <c r="AA37" s="429"/>
      <c r="AB37" s="429"/>
      <c r="AC37" s="429"/>
      <c r="AD37" s="468"/>
      <c r="AF37" s="98"/>
      <c r="AG37" s="98"/>
      <c r="AH37" s="98"/>
      <c r="AI37" s="98"/>
      <c r="AJ37" s="98"/>
      <c r="AK37" s="98"/>
      <c r="AL37" s="98"/>
    </row>
    <row r="38" spans="1:38" ht="69.75" customHeight="1">
      <c r="A38" s="469" t="s">
        <v>512</v>
      </c>
      <c r="B38" s="471">
        <v>0.01</v>
      </c>
      <c r="C38" s="93" t="s">
        <v>9</v>
      </c>
      <c r="D38" s="219">
        <v>0.08</v>
      </c>
      <c r="E38" s="219">
        <v>0.08</v>
      </c>
      <c r="F38" s="219">
        <v>0.08</v>
      </c>
      <c r="G38" s="219">
        <v>0.08</v>
      </c>
      <c r="H38" s="219">
        <v>0.08</v>
      </c>
      <c r="I38" s="219">
        <v>0.08</v>
      </c>
      <c r="J38" s="219">
        <v>0.08</v>
      </c>
      <c r="K38" s="219">
        <v>0.09</v>
      </c>
      <c r="L38" s="219">
        <v>0.09</v>
      </c>
      <c r="M38" s="219">
        <v>0.09</v>
      </c>
      <c r="N38" s="219">
        <v>0.09</v>
      </c>
      <c r="O38" s="219">
        <v>0.08</v>
      </c>
      <c r="P38" s="222">
        <f aca="true" t="shared" si="0" ref="P38:P43">SUM(D38:O38)</f>
        <v>0.9999999999999999</v>
      </c>
      <c r="Q38" s="478" t="s">
        <v>586</v>
      </c>
      <c r="R38" s="479"/>
      <c r="S38" s="479"/>
      <c r="T38" s="479"/>
      <c r="U38" s="479"/>
      <c r="V38" s="479"/>
      <c r="W38" s="479"/>
      <c r="X38" s="479"/>
      <c r="Y38" s="479"/>
      <c r="Z38" s="479"/>
      <c r="AA38" s="479"/>
      <c r="AB38" s="479"/>
      <c r="AC38" s="479"/>
      <c r="AD38" s="480"/>
      <c r="AE38" s="101"/>
      <c r="AF38" s="102"/>
      <c r="AG38" s="102"/>
      <c r="AH38" s="102"/>
      <c r="AI38" s="102"/>
      <c r="AJ38" s="102"/>
      <c r="AK38" s="102"/>
      <c r="AL38" s="102"/>
    </row>
    <row r="39" spans="1:31" ht="69.75" customHeight="1">
      <c r="A39" s="470"/>
      <c r="B39" s="472"/>
      <c r="C39" s="103" t="s">
        <v>10</v>
      </c>
      <c r="D39" s="104">
        <v>0.06</v>
      </c>
      <c r="E39" s="104">
        <v>0.06</v>
      </c>
      <c r="F39" s="104">
        <v>0.06</v>
      </c>
      <c r="G39" s="104">
        <v>0.06</v>
      </c>
      <c r="H39" s="104">
        <v>0.08</v>
      </c>
      <c r="I39" s="104">
        <v>0.08</v>
      </c>
      <c r="J39" s="104">
        <v>0.08</v>
      </c>
      <c r="K39" s="104"/>
      <c r="L39" s="104"/>
      <c r="M39" s="104"/>
      <c r="N39" s="104"/>
      <c r="O39" s="104"/>
      <c r="P39" s="105">
        <f t="shared" si="0"/>
        <v>0.48000000000000004</v>
      </c>
      <c r="Q39" s="530"/>
      <c r="R39" s="531"/>
      <c r="S39" s="531"/>
      <c r="T39" s="531"/>
      <c r="U39" s="531"/>
      <c r="V39" s="531"/>
      <c r="W39" s="531"/>
      <c r="X39" s="531"/>
      <c r="Y39" s="531"/>
      <c r="Z39" s="531"/>
      <c r="AA39" s="531"/>
      <c r="AB39" s="531"/>
      <c r="AC39" s="531"/>
      <c r="AD39" s="532"/>
      <c r="AE39" s="101"/>
    </row>
    <row r="40" spans="1:31" ht="28.5" customHeight="1">
      <c r="A40" s="470" t="s">
        <v>438</v>
      </c>
      <c r="B40" s="471">
        <v>0.02</v>
      </c>
      <c r="C40" s="106" t="s">
        <v>9</v>
      </c>
      <c r="D40" s="219">
        <v>0.08</v>
      </c>
      <c r="E40" s="219">
        <v>0.08</v>
      </c>
      <c r="F40" s="219">
        <v>0.08</v>
      </c>
      <c r="G40" s="219">
        <v>0.08</v>
      </c>
      <c r="H40" s="219">
        <v>0.08</v>
      </c>
      <c r="I40" s="219">
        <v>0.08</v>
      </c>
      <c r="J40" s="219">
        <v>0.08</v>
      </c>
      <c r="K40" s="219">
        <v>0.09</v>
      </c>
      <c r="L40" s="219">
        <v>0.09</v>
      </c>
      <c r="M40" s="219">
        <v>0.09</v>
      </c>
      <c r="N40" s="219">
        <v>0.09</v>
      </c>
      <c r="O40" s="219">
        <v>0.08</v>
      </c>
      <c r="P40" s="222">
        <f t="shared" si="0"/>
        <v>0.9999999999999999</v>
      </c>
      <c r="Q40" s="526" t="s">
        <v>555</v>
      </c>
      <c r="R40" s="526"/>
      <c r="S40" s="526"/>
      <c r="T40" s="526"/>
      <c r="U40" s="526"/>
      <c r="V40" s="526"/>
      <c r="W40" s="526"/>
      <c r="X40" s="526"/>
      <c r="Y40" s="526"/>
      <c r="Z40" s="526"/>
      <c r="AA40" s="526"/>
      <c r="AB40" s="526"/>
      <c r="AC40" s="526"/>
      <c r="AD40" s="527"/>
      <c r="AE40" s="101"/>
    </row>
    <row r="41" spans="1:31" ht="44.25" customHeight="1">
      <c r="A41" s="470"/>
      <c r="B41" s="472"/>
      <c r="C41" s="103" t="s">
        <v>10</v>
      </c>
      <c r="D41" s="104">
        <v>0.08</v>
      </c>
      <c r="E41" s="104">
        <v>0.08</v>
      </c>
      <c r="F41" s="104">
        <v>0.08</v>
      </c>
      <c r="G41" s="104">
        <v>0.08</v>
      </c>
      <c r="H41" s="104">
        <v>0.08</v>
      </c>
      <c r="I41" s="104">
        <v>0.08</v>
      </c>
      <c r="J41" s="104">
        <v>0.08</v>
      </c>
      <c r="K41" s="104"/>
      <c r="L41" s="108"/>
      <c r="M41" s="108"/>
      <c r="N41" s="108"/>
      <c r="O41" s="108"/>
      <c r="P41" s="105">
        <f t="shared" si="0"/>
        <v>0.56</v>
      </c>
      <c r="Q41" s="526"/>
      <c r="R41" s="526"/>
      <c r="S41" s="526"/>
      <c r="T41" s="526"/>
      <c r="U41" s="526"/>
      <c r="V41" s="526"/>
      <c r="W41" s="526"/>
      <c r="X41" s="526"/>
      <c r="Y41" s="526"/>
      <c r="Z41" s="526"/>
      <c r="AA41" s="526"/>
      <c r="AB41" s="526"/>
      <c r="AC41" s="526"/>
      <c r="AD41" s="527"/>
      <c r="AE41" s="101"/>
    </row>
    <row r="42" spans="1:31" ht="28.5" customHeight="1">
      <c r="A42" s="524" t="s">
        <v>439</v>
      </c>
      <c r="B42" s="471">
        <v>0.02</v>
      </c>
      <c r="C42" s="106" t="s">
        <v>9</v>
      </c>
      <c r="D42" s="219">
        <v>0.08</v>
      </c>
      <c r="E42" s="219">
        <v>0.08</v>
      </c>
      <c r="F42" s="219">
        <v>0.08</v>
      </c>
      <c r="G42" s="219">
        <v>0.08</v>
      </c>
      <c r="H42" s="219">
        <v>0.08</v>
      </c>
      <c r="I42" s="219">
        <v>0.08</v>
      </c>
      <c r="J42" s="219">
        <v>0.08</v>
      </c>
      <c r="K42" s="219">
        <v>0.09</v>
      </c>
      <c r="L42" s="219">
        <v>0.09</v>
      </c>
      <c r="M42" s="219">
        <v>0.09</v>
      </c>
      <c r="N42" s="219">
        <v>0.09</v>
      </c>
      <c r="O42" s="219">
        <v>0.08</v>
      </c>
      <c r="P42" s="222">
        <f t="shared" si="0"/>
        <v>0.9999999999999999</v>
      </c>
      <c r="Q42" s="526" t="s">
        <v>554</v>
      </c>
      <c r="R42" s="526"/>
      <c r="S42" s="526"/>
      <c r="T42" s="526"/>
      <c r="U42" s="526"/>
      <c r="V42" s="526"/>
      <c r="W42" s="526"/>
      <c r="X42" s="526"/>
      <c r="Y42" s="526"/>
      <c r="Z42" s="526"/>
      <c r="AA42" s="526"/>
      <c r="AB42" s="526"/>
      <c r="AC42" s="526"/>
      <c r="AD42" s="527"/>
      <c r="AE42" s="101"/>
    </row>
    <row r="43" spans="1:31" ht="50.25" customHeight="1" thickBot="1">
      <c r="A43" s="525"/>
      <c r="B43" s="475"/>
      <c r="C43" s="94" t="s">
        <v>10</v>
      </c>
      <c r="D43" s="110">
        <v>0.08</v>
      </c>
      <c r="E43" s="110">
        <v>0.08</v>
      </c>
      <c r="F43" s="110">
        <v>0.08</v>
      </c>
      <c r="G43" s="243">
        <v>0.08</v>
      </c>
      <c r="H43" s="110">
        <v>0.08</v>
      </c>
      <c r="I43" s="110">
        <v>0.08</v>
      </c>
      <c r="J43" s="110">
        <v>0.08</v>
      </c>
      <c r="K43" s="110"/>
      <c r="L43" s="111"/>
      <c r="M43" s="111"/>
      <c r="N43" s="111"/>
      <c r="O43" s="111"/>
      <c r="P43" s="112">
        <f t="shared" si="0"/>
        <v>0.56</v>
      </c>
      <c r="Q43" s="528"/>
      <c r="R43" s="528"/>
      <c r="S43" s="528"/>
      <c r="T43" s="528"/>
      <c r="U43" s="528"/>
      <c r="V43" s="528"/>
      <c r="W43" s="528"/>
      <c r="X43" s="528"/>
      <c r="Y43" s="528"/>
      <c r="Z43" s="528"/>
      <c r="AA43" s="528"/>
      <c r="AB43" s="528"/>
      <c r="AC43" s="528"/>
      <c r="AD43" s="529"/>
      <c r="AE43" s="101"/>
    </row>
    <row r="44" ht="15">
      <c r="A44" s="52"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9"/>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53"/>
      <c r="B1" s="611" t="s">
        <v>16</v>
      </c>
      <c r="C1" s="612"/>
      <c r="D1" s="612"/>
      <c r="E1" s="612"/>
      <c r="F1" s="612"/>
      <c r="G1" s="612"/>
      <c r="H1" s="612"/>
      <c r="I1" s="612"/>
      <c r="J1" s="612"/>
      <c r="K1" s="612"/>
      <c r="L1" s="612"/>
      <c r="M1" s="612"/>
      <c r="N1" s="612"/>
      <c r="O1" s="612"/>
      <c r="P1" s="612"/>
      <c r="Q1" s="612"/>
      <c r="R1" s="612"/>
      <c r="S1" s="612"/>
      <c r="T1" s="612"/>
      <c r="U1" s="612"/>
      <c r="V1" s="612"/>
      <c r="W1" s="612"/>
      <c r="X1" s="612"/>
      <c r="Y1" s="613"/>
      <c r="Z1" s="606" t="s">
        <v>18</v>
      </c>
      <c r="AA1" s="607"/>
      <c r="AB1" s="608"/>
    </row>
    <row r="2" spans="1:28" ht="30.75" customHeight="1">
      <c r="A2" s="554"/>
      <c r="B2" s="614" t="s">
        <v>17</v>
      </c>
      <c r="C2" s="615"/>
      <c r="D2" s="615"/>
      <c r="E2" s="615"/>
      <c r="F2" s="615"/>
      <c r="G2" s="615"/>
      <c r="H2" s="615"/>
      <c r="I2" s="615"/>
      <c r="J2" s="615"/>
      <c r="K2" s="615"/>
      <c r="L2" s="615"/>
      <c r="M2" s="615"/>
      <c r="N2" s="615"/>
      <c r="O2" s="615"/>
      <c r="P2" s="615"/>
      <c r="Q2" s="615"/>
      <c r="R2" s="615"/>
      <c r="S2" s="615"/>
      <c r="T2" s="615"/>
      <c r="U2" s="615"/>
      <c r="V2" s="615"/>
      <c r="W2" s="615"/>
      <c r="X2" s="615"/>
      <c r="Y2" s="616"/>
      <c r="Z2" s="556" t="s">
        <v>180</v>
      </c>
      <c r="AA2" s="557"/>
      <c r="AB2" s="558"/>
    </row>
    <row r="3" spans="1:28" ht="24" customHeight="1">
      <c r="A3" s="554"/>
      <c r="B3" s="589" t="s">
        <v>295</v>
      </c>
      <c r="C3" s="590"/>
      <c r="D3" s="590"/>
      <c r="E3" s="590"/>
      <c r="F3" s="590"/>
      <c r="G3" s="590"/>
      <c r="H3" s="590"/>
      <c r="I3" s="590"/>
      <c r="J3" s="590"/>
      <c r="K3" s="590"/>
      <c r="L3" s="590"/>
      <c r="M3" s="590"/>
      <c r="N3" s="590"/>
      <c r="O3" s="590"/>
      <c r="P3" s="590"/>
      <c r="Q3" s="590"/>
      <c r="R3" s="590"/>
      <c r="S3" s="590"/>
      <c r="T3" s="590"/>
      <c r="U3" s="590"/>
      <c r="V3" s="590"/>
      <c r="W3" s="590"/>
      <c r="X3" s="590"/>
      <c r="Y3" s="591"/>
      <c r="Z3" s="556" t="s">
        <v>181</v>
      </c>
      <c r="AA3" s="557"/>
      <c r="AB3" s="558"/>
    </row>
    <row r="4" spans="1:28" ht="15.75" customHeight="1" thickBot="1">
      <c r="A4" s="555"/>
      <c r="B4" s="592"/>
      <c r="C4" s="593"/>
      <c r="D4" s="593"/>
      <c r="E4" s="593"/>
      <c r="F4" s="593"/>
      <c r="G4" s="593"/>
      <c r="H4" s="593"/>
      <c r="I4" s="593"/>
      <c r="J4" s="593"/>
      <c r="K4" s="593"/>
      <c r="L4" s="593"/>
      <c r="M4" s="593"/>
      <c r="N4" s="593"/>
      <c r="O4" s="593"/>
      <c r="P4" s="593"/>
      <c r="Q4" s="593"/>
      <c r="R4" s="593"/>
      <c r="S4" s="593"/>
      <c r="T4" s="593"/>
      <c r="U4" s="593"/>
      <c r="V4" s="593"/>
      <c r="W4" s="593"/>
      <c r="X4" s="593"/>
      <c r="Y4" s="594"/>
      <c r="Z4" s="559" t="s">
        <v>175</v>
      </c>
      <c r="AA4" s="560"/>
      <c r="AB4" s="56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1" t="s">
        <v>0</v>
      </c>
      <c r="B7" s="382"/>
      <c r="C7" s="348"/>
      <c r="D7" s="349"/>
      <c r="E7" s="349"/>
      <c r="F7" s="349"/>
      <c r="G7" s="349"/>
      <c r="H7" s="349"/>
      <c r="I7" s="349"/>
      <c r="J7" s="349"/>
      <c r="K7" s="350"/>
      <c r="L7" s="64"/>
      <c r="M7" s="65"/>
      <c r="N7" s="65"/>
      <c r="O7" s="65"/>
      <c r="P7" s="65"/>
      <c r="Q7" s="66"/>
      <c r="R7" s="562" t="s">
        <v>71</v>
      </c>
      <c r="S7" s="563"/>
      <c r="T7" s="564"/>
      <c r="U7" s="625" t="s">
        <v>74</v>
      </c>
      <c r="V7" s="626"/>
      <c r="W7" s="562" t="s">
        <v>67</v>
      </c>
      <c r="X7" s="564"/>
      <c r="Y7" s="406" t="s">
        <v>70</v>
      </c>
      <c r="Z7" s="407"/>
      <c r="AA7" s="571"/>
      <c r="AB7" s="572"/>
    </row>
    <row r="8" spans="1:28" ht="15" customHeight="1">
      <c r="A8" s="383"/>
      <c r="B8" s="384"/>
      <c r="C8" s="351"/>
      <c r="D8" s="352"/>
      <c r="E8" s="352"/>
      <c r="F8" s="352"/>
      <c r="G8" s="352"/>
      <c r="H8" s="352"/>
      <c r="I8" s="352"/>
      <c r="J8" s="352"/>
      <c r="K8" s="353"/>
      <c r="L8" s="64"/>
      <c r="M8" s="65"/>
      <c r="N8" s="65"/>
      <c r="O8" s="65"/>
      <c r="P8" s="65"/>
      <c r="Q8" s="66"/>
      <c r="R8" s="565"/>
      <c r="S8" s="566"/>
      <c r="T8" s="567"/>
      <c r="U8" s="627"/>
      <c r="V8" s="628"/>
      <c r="W8" s="565"/>
      <c r="X8" s="567"/>
      <c r="Y8" s="398" t="s">
        <v>68</v>
      </c>
      <c r="Z8" s="399"/>
      <c r="AA8" s="400"/>
      <c r="AB8" s="401"/>
    </row>
    <row r="9" spans="1:28" ht="15" customHeight="1" thickBot="1">
      <c r="A9" s="385"/>
      <c r="B9" s="386"/>
      <c r="C9" s="354"/>
      <c r="D9" s="355"/>
      <c r="E9" s="355"/>
      <c r="F9" s="355"/>
      <c r="G9" s="355"/>
      <c r="H9" s="355"/>
      <c r="I9" s="355"/>
      <c r="J9" s="355"/>
      <c r="K9" s="356"/>
      <c r="L9" s="64"/>
      <c r="M9" s="65"/>
      <c r="N9" s="65"/>
      <c r="O9" s="65"/>
      <c r="P9" s="65"/>
      <c r="Q9" s="66"/>
      <c r="R9" s="568"/>
      <c r="S9" s="569"/>
      <c r="T9" s="570"/>
      <c r="U9" s="629"/>
      <c r="V9" s="630"/>
      <c r="W9" s="568"/>
      <c r="X9" s="570"/>
      <c r="Y9" s="402" t="s">
        <v>69</v>
      </c>
      <c r="Z9" s="403"/>
      <c r="AA9" s="609"/>
      <c r="AB9" s="610"/>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18" t="s">
        <v>77</v>
      </c>
      <c r="B11" s="419"/>
      <c r="C11" s="321"/>
      <c r="D11" s="322"/>
      <c r="E11" s="322"/>
      <c r="F11" s="322"/>
      <c r="G11" s="322"/>
      <c r="H11" s="322"/>
      <c r="I11" s="322"/>
      <c r="J11" s="322"/>
      <c r="K11" s="323"/>
      <c r="L11" s="74"/>
      <c r="M11" s="357" t="s">
        <v>73</v>
      </c>
      <c r="N11" s="358"/>
      <c r="O11" s="358"/>
      <c r="P11" s="358"/>
      <c r="Q11" s="359"/>
      <c r="R11" s="433"/>
      <c r="S11" s="434"/>
      <c r="T11" s="434"/>
      <c r="U11" s="434"/>
      <c r="V11" s="435"/>
      <c r="W11" s="357" t="s">
        <v>72</v>
      </c>
      <c r="X11" s="359"/>
      <c r="Y11" s="414"/>
      <c r="Z11" s="415"/>
      <c r="AA11" s="415"/>
      <c r="AB11" s="416"/>
    </row>
    <row r="12" spans="1:28" ht="9" customHeight="1" thickBot="1">
      <c r="A12" s="61"/>
      <c r="B12" s="56"/>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75"/>
      <c r="AB12" s="76"/>
    </row>
    <row r="13" spans="1:28" s="78" customFormat="1" ht="37.5" customHeight="1" thickBot="1">
      <c r="A13" s="418" t="s">
        <v>79</v>
      </c>
      <c r="B13" s="419"/>
      <c r="C13" s="420"/>
      <c r="D13" s="421"/>
      <c r="E13" s="421"/>
      <c r="F13" s="421"/>
      <c r="G13" s="421"/>
      <c r="H13" s="421"/>
      <c r="I13" s="421"/>
      <c r="J13" s="421"/>
      <c r="K13" s="421"/>
      <c r="L13" s="421"/>
      <c r="M13" s="421"/>
      <c r="N13" s="421"/>
      <c r="O13" s="421"/>
      <c r="P13" s="421"/>
      <c r="Q13" s="422"/>
      <c r="R13" s="56"/>
      <c r="S13" s="575" t="s">
        <v>14</v>
      </c>
      <c r="T13" s="575"/>
      <c r="U13" s="77"/>
      <c r="V13" s="329" t="s">
        <v>15</v>
      </c>
      <c r="W13" s="575"/>
      <c r="X13" s="575"/>
      <c r="Y13" s="575"/>
      <c r="Z13" s="56"/>
      <c r="AA13" s="337"/>
      <c r="AB13" s="33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39" t="s">
        <v>293</v>
      </c>
      <c r="B15" s="340"/>
      <c r="C15" s="587" t="s">
        <v>321</v>
      </c>
      <c r="D15" s="82"/>
      <c r="E15" s="82"/>
      <c r="F15" s="82"/>
      <c r="G15" s="82"/>
      <c r="H15" s="82"/>
      <c r="I15" s="82"/>
      <c r="J15" s="83"/>
      <c r="K15" s="84"/>
      <c r="L15" s="83"/>
      <c r="M15" s="62"/>
      <c r="N15" s="62"/>
      <c r="O15" s="62"/>
      <c r="P15" s="62"/>
      <c r="Q15" s="576" t="s">
        <v>1</v>
      </c>
      <c r="R15" s="577"/>
      <c r="S15" s="577"/>
      <c r="T15" s="577"/>
      <c r="U15" s="577"/>
      <c r="V15" s="577"/>
      <c r="W15" s="577"/>
      <c r="X15" s="577"/>
      <c r="Y15" s="577"/>
      <c r="Z15" s="577"/>
      <c r="AA15" s="577"/>
      <c r="AB15" s="578"/>
    </row>
    <row r="16" spans="1:28" ht="35.25" customHeight="1" thickBot="1">
      <c r="A16" s="343"/>
      <c r="B16" s="344"/>
      <c r="C16" s="588"/>
      <c r="D16" s="82"/>
      <c r="E16" s="82"/>
      <c r="F16" s="82"/>
      <c r="G16" s="82"/>
      <c r="H16" s="82"/>
      <c r="I16" s="82"/>
      <c r="J16" s="83"/>
      <c r="K16" s="83"/>
      <c r="L16" s="83"/>
      <c r="M16" s="62"/>
      <c r="N16" s="62"/>
      <c r="O16" s="62"/>
      <c r="P16" s="62"/>
      <c r="Q16" s="619" t="s">
        <v>2</v>
      </c>
      <c r="R16" s="620"/>
      <c r="S16" s="620"/>
      <c r="T16" s="620"/>
      <c r="U16" s="620"/>
      <c r="V16" s="621"/>
      <c r="W16" s="623" t="s">
        <v>3</v>
      </c>
      <c r="X16" s="620"/>
      <c r="Y16" s="620"/>
      <c r="Z16" s="620"/>
      <c r="AA16" s="620"/>
      <c r="AB16" s="624"/>
    </row>
    <row r="17" spans="1:30" ht="27" customHeight="1">
      <c r="A17" s="85"/>
      <c r="B17" s="62"/>
      <c r="C17" s="62"/>
      <c r="D17" s="82"/>
      <c r="E17" s="82"/>
      <c r="F17" s="82"/>
      <c r="G17" s="82"/>
      <c r="H17" s="82"/>
      <c r="I17" s="82"/>
      <c r="J17" s="82"/>
      <c r="K17" s="82"/>
      <c r="L17" s="82"/>
      <c r="M17" s="62"/>
      <c r="N17" s="62"/>
      <c r="O17" s="62"/>
      <c r="P17" s="62"/>
      <c r="Q17" s="549" t="s">
        <v>4</v>
      </c>
      <c r="R17" s="550"/>
      <c r="S17" s="544"/>
      <c r="T17" s="538" t="s">
        <v>188</v>
      </c>
      <c r="U17" s="539"/>
      <c r="V17" s="540"/>
      <c r="W17" s="543" t="s">
        <v>4</v>
      </c>
      <c r="X17" s="544"/>
      <c r="Y17" s="543" t="s">
        <v>5</v>
      </c>
      <c r="Z17" s="544"/>
      <c r="AA17" s="538" t="s">
        <v>89</v>
      </c>
      <c r="AB17" s="545"/>
      <c r="AC17" s="86"/>
      <c r="AD17" s="86"/>
    </row>
    <row r="18" spans="1:30" ht="27" customHeight="1">
      <c r="A18" s="85"/>
      <c r="B18" s="62"/>
      <c r="C18" s="62"/>
      <c r="D18" s="82"/>
      <c r="E18" s="82"/>
      <c r="F18" s="82"/>
      <c r="G18" s="82"/>
      <c r="H18" s="82"/>
      <c r="I18" s="82"/>
      <c r="J18" s="82"/>
      <c r="K18" s="82"/>
      <c r="L18" s="82"/>
      <c r="M18" s="62"/>
      <c r="N18" s="62"/>
      <c r="O18" s="62"/>
      <c r="P18" s="62"/>
      <c r="Q18" s="173"/>
      <c r="R18" s="174"/>
      <c r="S18" s="175"/>
      <c r="T18" s="538"/>
      <c r="U18" s="539"/>
      <c r="V18" s="540"/>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546"/>
      <c r="R19" s="547"/>
      <c r="S19" s="548"/>
      <c r="T19" s="605"/>
      <c r="U19" s="547"/>
      <c r="V19" s="548"/>
      <c r="W19" s="579"/>
      <c r="X19" s="580"/>
      <c r="Y19" s="541"/>
      <c r="Z19" s="542"/>
      <c r="AA19" s="551"/>
      <c r="AB19" s="552"/>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08" t="s">
        <v>76</v>
      </c>
      <c r="B21" s="409"/>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1"/>
    </row>
    <row r="22" spans="1:28" ht="15" customHeight="1">
      <c r="A22" s="423" t="s">
        <v>189</v>
      </c>
      <c r="B22" s="425" t="s">
        <v>6</v>
      </c>
      <c r="C22" s="426"/>
      <c r="D22" s="325" t="s">
        <v>7</v>
      </c>
      <c r="E22" s="429"/>
      <c r="F22" s="429"/>
      <c r="G22" s="429"/>
      <c r="H22" s="429"/>
      <c r="I22" s="429"/>
      <c r="J22" s="429"/>
      <c r="K22" s="429"/>
      <c r="L22" s="429"/>
      <c r="M22" s="429"/>
      <c r="N22" s="429"/>
      <c r="O22" s="430"/>
      <c r="P22" s="431" t="s">
        <v>8</v>
      </c>
      <c r="Q22" s="431" t="s">
        <v>84</v>
      </c>
      <c r="R22" s="431"/>
      <c r="S22" s="431"/>
      <c r="T22" s="431"/>
      <c r="U22" s="431"/>
      <c r="V22" s="431"/>
      <c r="W22" s="431"/>
      <c r="X22" s="431"/>
      <c r="Y22" s="431"/>
      <c r="Z22" s="431"/>
      <c r="AA22" s="431"/>
      <c r="AB22" s="432"/>
    </row>
    <row r="23" spans="1:28" ht="27" customHeight="1">
      <c r="A23" s="424"/>
      <c r="B23" s="427"/>
      <c r="C23" s="428"/>
      <c r="D23" s="150" t="s">
        <v>39</v>
      </c>
      <c r="E23" s="150" t="s">
        <v>40</v>
      </c>
      <c r="F23" s="150" t="s">
        <v>41</v>
      </c>
      <c r="G23" s="150" t="s">
        <v>42</v>
      </c>
      <c r="H23" s="150" t="s">
        <v>43</v>
      </c>
      <c r="I23" s="150" t="s">
        <v>44</v>
      </c>
      <c r="J23" s="150" t="s">
        <v>45</v>
      </c>
      <c r="K23" s="150" t="s">
        <v>46</v>
      </c>
      <c r="L23" s="150" t="s">
        <v>47</v>
      </c>
      <c r="M23" s="150" t="s">
        <v>48</v>
      </c>
      <c r="N23" s="150" t="s">
        <v>49</v>
      </c>
      <c r="O23" s="150" t="s">
        <v>50</v>
      </c>
      <c r="P23" s="430"/>
      <c r="Q23" s="431"/>
      <c r="R23" s="431"/>
      <c r="S23" s="431"/>
      <c r="T23" s="431"/>
      <c r="U23" s="431"/>
      <c r="V23" s="431"/>
      <c r="W23" s="431"/>
      <c r="X23" s="431"/>
      <c r="Y23" s="431"/>
      <c r="Z23" s="431"/>
      <c r="AA23" s="431"/>
      <c r="AB23" s="432"/>
    </row>
    <row r="24" spans="1:28" ht="42" customHeight="1" thickBot="1">
      <c r="A24" s="88"/>
      <c r="B24" s="438"/>
      <c r="C24" s="439"/>
      <c r="D24" s="92"/>
      <c r="E24" s="92"/>
      <c r="F24" s="92"/>
      <c r="G24" s="92"/>
      <c r="H24" s="92"/>
      <c r="I24" s="92"/>
      <c r="J24" s="92"/>
      <c r="K24" s="92"/>
      <c r="L24" s="92"/>
      <c r="M24" s="92"/>
      <c r="N24" s="92"/>
      <c r="O24" s="92"/>
      <c r="P24" s="89">
        <f>SUM(D24:O24)</f>
        <v>0</v>
      </c>
      <c r="Q24" s="440" t="s">
        <v>296</v>
      </c>
      <c r="R24" s="440"/>
      <c r="S24" s="440"/>
      <c r="T24" s="440"/>
      <c r="U24" s="440"/>
      <c r="V24" s="440"/>
      <c r="W24" s="440"/>
      <c r="X24" s="440"/>
      <c r="Y24" s="440"/>
      <c r="Z24" s="440"/>
      <c r="AA24" s="440"/>
      <c r="AB24" s="441"/>
    </row>
    <row r="25" spans="1:28" ht="21.75" customHeight="1">
      <c r="A25" s="372" t="s">
        <v>292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4"/>
    </row>
    <row r="26" spans="1:39" ht="23.25" customHeight="1">
      <c r="A26" s="324" t="s">
        <v>190</v>
      </c>
      <c r="B26" s="431" t="s">
        <v>62</v>
      </c>
      <c r="C26" s="431" t="s">
        <v>6</v>
      </c>
      <c r="D26" s="431" t="s">
        <v>60</v>
      </c>
      <c r="E26" s="431"/>
      <c r="F26" s="431"/>
      <c r="G26" s="431"/>
      <c r="H26" s="431"/>
      <c r="I26" s="431"/>
      <c r="J26" s="431"/>
      <c r="K26" s="431"/>
      <c r="L26" s="431"/>
      <c r="M26" s="431"/>
      <c r="N26" s="431"/>
      <c r="O26" s="431"/>
      <c r="P26" s="431"/>
      <c r="Q26" s="431" t="s">
        <v>85</v>
      </c>
      <c r="R26" s="431"/>
      <c r="S26" s="431"/>
      <c r="T26" s="431"/>
      <c r="U26" s="431"/>
      <c r="V26" s="431"/>
      <c r="W26" s="431"/>
      <c r="X26" s="431"/>
      <c r="Y26" s="431"/>
      <c r="Z26" s="431"/>
      <c r="AA26" s="431"/>
      <c r="AB26" s="432"/>
      <c r="AE26" s="90"/>
      <c r="AF26" s="90"/>
      <c r="AG26" s="90"/>
      <c r="AH26" s="90"/>
      <c r="AI26" s="90"/>
      <c r="AJ26" s="90"/>
      <c r="AK26" s="90"/>
      <c r="AL26" s="90"/>
      <c r="AM26" s="90"/>
    </row>
    <row r="27" spans="1:39" ht="23.25" customHeight="1">
      <c r="A27" s="324"/>
      <c r="B27" s="431"/>
      <c r="C27" s="44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27" t="s">
        <v>80</v>
      </c>
      <c r="R27" s="443"/>
      <c r="S27" s="443"/>
      <c r="T27" s="428"/>
      <c r="U27" s="427" t="s">
        <v>81</v>
      </c>
      <c r="V27" s="443"/>
      <c r="W27" s="443"/>
      <c r="X27" s="428"/>
      <c r="Y27" s="427" t="s">
        <v>82</v>
      </c>
      <c r="Z27" s="443"/>
      <c r="AA27" s="443"/>
      <c r="AB27" s="444"/>
      <c r="AE27" s="90"/>
      <c r="AF27" s="90"/>
      <c r="AG27" s="90"/>
      <c r="AH27" s="90"/>
      <c r="AI27" s="90"/>
      <c r="AJ27" s="90"/>
      <c r="AK27" s="90"/>
      <c r="AL27" s="90"/>
      <c r="AM27" s="90"/>
    </row>
    <row r="28" spans="1:39" ht="33" customHeight="1">
      <c r="A28" s="445"/>
      <c r="B28" s="622"/>
      <c r="C28" s="93" t="s">
        <v>9</v>
      </c>
      <c r="D28" s="92"/>
      <c r="E28" s="92"/>
      <c r="F28" s="92"/>
      <c r="G28" s="92"/>
      <c r="H28" s="92"/>
      <c r="I28" s="92"/>
      <c r="J28" s="92"/>
      <c r="K28" s="92"/>
      <c r="L28" s="92"/>
      <c r="M28" s="92"/>
      <c r="N28" s="92"/>
      <c r="O28" s="92"/>
      <c r="P28" s="171">
        <f>SUM(D28:O28)</f>
        <v>0</v>
      </c>
      <c r="Q28" s="487" t="s">
        <v>192</v>
      </c>
      <c r="R28" s="488"/>
      <c r="S28" s="488"/>
      <c r="T28" s="489"/>
      <c r="U28" s="487" t="s">
        <v>193</v>
      </c>
      <c r="V28" s="488"/>
      <c r="W28" s="488"/>
      <c r="X28" s="489"/>
      <c r="Y28" s="487" t="s">
        <v>194</v>
      </c>
      <c r="Z28" s="488"/>
      <c r="AA28" s="488"/>
      <c r="AB28" s="617"/>
      <c r="AE28" s="90"/>
      <c r="AF28" s="90"/>
      <c r="AG28" s="90"/>
      <c r="AH28" s="90"/>
      <c r="AI28" s="90"/>
      <c r="AJ28" s="90"/>
      <c r="AK28" s="90"/>
      <c r="AL28" s="90"/>
      <c r="AM28" s="90"/>
    </row>
    <row r="29" spans="1:39" ht="33.75" customHeight="1" thickBot="1">
      <c r="A29" s="446"/>
      <c r="B29" s="448"/>
      <c r="C29" s="94" t="s">
        <v>10</v>
      </c>
      <c r="D29" s="95"/>
      <c r="E29" s="95"/>
      <c r="F29" s="95"/>
      <c r="G29" s="96"/>
      <c r="H29" s="96"/>
      <c r="I29" s="96"/>
      <c r="J29" s="96"/>
      <c r="K29" s="96"/>
      <c r="L29" s="96"/>
      <c r="M29" s="96"/>
      <c r="N29" s="96"/>
      <c r="O29" s="96"/>
      <c r="P29" s="172">
        <f>SUM(D29:O29)</f>
        <v>0</v>
      </c>
      <c r="Q29" s="490"/>
      <c r="R29" s="491"/>
      <c r="S29" s="491"/>
      <c r="T29" s="492"/>
      <c r="U29" s="490"/>
      <c r="V29" s="491"/>
      <c r="W29" s="491"/>
      <c r="X29" s="492"/>
      <c r="Y29" s="490"/>
      <c r="Z29" s="491"/>
      <c r="AA29" s="491"/>
      <c r="AB29" s="618"/>
      <c r="AC29" s="50"/>
      <c r="AD29" s="97"/>
      <c r="AE29" s="90"/>
      <c r="AF29" s="90"/>
      <c r="AG29" s="90"/>
      <c r="AH29" s="90"/>
      <c r="AI29" s="90"/>
      <c r="AJ29" s="90"/>
      <c r="AK29" s="90"/>
      <c r="AL29" s="90"/>
      <c r="AM29" s="90"/>
    </row>
    <row r="30" spans="1:39" ht="26.25" customHeight="1">
      <c r="A30" s="335" t="s">
        <v>191</v>
      </c>
      <c r="B30" s="463" t="s">
        <v>61</v>
      </c>
      <c r="C30" s="465" t="s">
        <v>11</v>
      </c>
      <c r="D30" s="465"/>
      <c r="E30" s="465"/>
      <c r="F30" s="465"/>
      <c r="G30" s="465"/>
      <c r="H30" s="465"/>
      <c r="I30" s="465"/>
      <c r="J30" s="465"/>
      <c r="K30" s="465"/>
      <c r="L30" s="465"/>
      <c r="M30" s="465"/>
      <c r="N30" s="465"/>
      <c r="O30" s="465"/>
      <c r="P30" s="465"/>
      <c r="Q30" s="336" t="s">
        <v>78</v>
      </c>
      <c r="R30" s="466"/>
      <c r="S30" s="466"/>
      <c r="T30" s="466"/>
      <c r="U30" s="466"/>
      <c r="V30" s="466"/>
      <c r="W30" s="466"/>
      <c r="X30" s="466"/>
      <c r="Y30" s="466"/>
      <c r="Z30" s="466"/>
      <c r="AA30" s="466"/>
      <c r="AB30" s="467"/>
      <c r="AE30" s="90"/>
      <c r="AF30" s="90"/>
      <c r="AG30" s="90"/>
      <c r="AH30" s="90"/>
      <c r="AI30" s="90"/>
      <c r="AJ30" s="90"/>
      <c r="AK30" s="90"/>
      <c r="AL30" s="90"/>
      <c r="AM30" s="90"/>
    </row>
    <row r="31" spans="1:39" ht="26.25" customHeight="1">
      <c r="A31" s="324"/>
      <c r="B31" s="464"/>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25" t="s">
        <v>83</v>
      </c>
      <c r="R31" s="429"/>
      <c r="S31" s="429"/>
      <c r="T31" s="429"/>
      <c r="U31" s="429"/>
      <c r="V31" s="429"/>
      <c r="W31" s="429"/>
      <c r="X31" s="429"/>
      <c r="Y31" s="429"/>
      <c r="Z31" s="429"/>
      <c r="AA31" s="429"/>
      <c r="AB31" s="468"/>
      <c r="AE31" s="98"/>
      <c r="AF31" s="98"/>
      <c r="AG31" s="98"/>
      <c r="AH31" s="98"/>
      <c r="AI31" s="98"/>
      <c r="AJ31" s="98"/>
      <c r="AK31" s="98"/>
      <c r="AL31" s="98"/>
      <c r="AM31" s="98"/>
    </row>
    <row r="32" spans="1:39" ht="28.5" customHeight="1">
      <c r="A32" s="469"/>
      <c r="B32" s="535"/>
      <c r="C32" s="93" t="s">
        <v>9</v>
      </c>
      <c r="D32" s="99"/>
      <c r="E32" s="99"/>
      <c r="F32" s="99"/>
      <c r="G32" s="99"/>
      <c r="H32" s="99"/>
      <c r="I32" s="99"/>
      <c r="J32" s="99"/>
      <c r="K32" s="99"/>
      <c r="L32" s="99"/>
      <c r="M32" s="99"/>
      <c r="N32" s="99"/>
      <c r="O32" s="99"/>
      <c r="P32" s="100">
        <f aca="true" t="shared" si="0" ref="P32:P39">SUM(D32:O32)</f>
        <v>0</v>
      </c>
      <c r="Q32" s="581" t="s">
        <v>286</v>
      </c>
      <c r="R32" s="582"/>
      <c r="S32" s="582"/>
      <c r="T32" s="582"/>
      <c r="U32" s="582"/>
      <c r="V32" s="582"/>
      <c r="W32" s="582"/>
      <c r="X32" s="582"/>
      <c r="Y32" s="582"/>
      <c r="Z32" s="582"/>
      <c r="AA32" s="582"/>
      <c r="AB32" s="583"/>
      <c r="AC32" s="101"/>
      <c r="AE32" s="102"/>
      <c r="AF32" s="102"/>
      <c r="AG32" s="102"/>
      <c r="AH32" s="102"/>
      <c r="AI32" s="102"/>
      <c r="AJ32" s="102"/>
      <c r="AK32" s="102"/>
      <c r="AL32" s="102"/>
      <c r="AM32" s="102"/>
    </row>
    <row r="33" spans="1:29" ht="28.5" customHeight="1">
      <c r="A33" s="470"/>
      <c r="B33" s="536"/>
      <c r="C33" s="103" t="s">
        <v>10</v>
      </c>
      <c r="D33" s="104"/>
      <c r="E33" s="104"/>
      <c r="F33" s="104"/>
      <c r="G33" s="104"/>
      <c r="H33" s="104"/>
      <c r="I33" s="104"/>
      <c r="J33" s="104"/>
      <c r="K33" s="104"/>
      <c r="L33" s="104"/>
      <c r="M33" s="104"/>
      <c r="N33" s="104"/>
      <c r="O33" s="104"/>
      <c r="P33" s="105">
        <f t="shared" si="0"/>
        <v>0</v>
      </c>
      <c r="Q33" s="584"/>
      <c r="R33" s="585"/>
      <c r="S33" s="585"/>
      <c r="T33" s="585"/>
      <c r="U33" s="585"/>
      <c r="V33" s="585"/>
      <c r="W33" s="585"/>
      <c r="X33" s="585"/>
      <c r="Y33" s="585"/>
      <c r="Z33" s="585"/>
      <c r="AA33" s="585"/>
      <c r="AB33" s="586"/>
      <c r="AC33" s="101"/>
    </row>
    <row r="34" spans="1:29" ht="28.5" customHeight="1">
      <c r="A34" s="470"/>
      <c r="B34" s="537"/>
      <c r="C34" s="106" t="s">
        <v>9</v>
      </c>
      <c r="D34" s="107"/>
      <c r="E34" s="107"/>
      <c r="F34" s="107"/>
      <c r="G34" s="107"/>
      <c r="H34" s="107"/>
      <c r="I34" s="107"/>
      <c r="J34" s="107"/>
      <c r="K34" s="107"/>
      <c r="L34" s="107"/>
      <c r="M34" s="107"/>
      <c r="N34" s="107"/>
      <c r="O34" s="107"/>
      <c r="P34" s="105">
        <f t="shared" si="0"/>
        <v>0</v>
      </c>
      <c r="Q34" s="596"/>
      <c r="R34" s="597"/>
      <c r="S34" s="597"/>
      <c r="T34" s="597"/>
      <c r="U34" s="597"/>
      <c r="V34" s="597"/>
      <c r="W34" s="597"/>
      <c r="X34" s="597"/>
      <c r="Y34" s="597"/>
      <c r="Z34" s="597"/>
      <c r="AA34" s="597"/>
      <c r="AB34" s="598"/>
      <c r="AC34" s="101"/>
    </row>
    <row r="35" spans="1:29" ht="28.5" customHeight="1">
      <c r="A35" s="470"/>
      <c r="B35" s="536"/>
      <c r="C35" s="103" t="s">
        <v>10</v>
      </c>
      <c r="D35" s="104"/>
      <c r="E35" s="104"/>
      <c r="F35" s="104"/>
      <c r="G35" s="104"/>
      <c r="H35" s="104"/>
      <c r="I35" s="104"/>
      <c r="J35" s="104"/>
      <c r="K35" s="104"/>
      <c r="L35" s="108"/>
      <c r="M35" s="108"/>
      <c r="N35" s="108"/>
      <c r="O35" s="108"/>
      <c r="P35" s="105">
        <f t="shared" si="0"/>
        <v>0</v>
      </c>
      <c r="Q35" s="602"/>
      <c r="R35" s="603"/>
      <c r="S35" s="603"/>
      <c r="T35" s="603"/>
      <c r="U35" s="603"/>
      <c r="V35" s="603"/>
      <c r="W35" s="603"/>
      <c r="X35" s="603"/>
      <c r="Y35" s="603"/>
      <c r="Z35" s="603"/>
      <c r="AA35" s="603"/>
      <c r="AB35" s="604"/>
      <c r="AC35" s="101"/>
    </row>
    <row r="36" spans="1:29" ht="28.5" customHeight="1">
      <c r="A36" s="533"/>
      <c r="B36" s="537"/>
      <c r="C36" s="106" t="s">
        <v>9</v>
      </c>
      <c r="D36" s="107"/>
      <c r="E36" s="107"/>
      <c r="F36" s="107"/>
      <c r="G36" s="107"/>
      <c r="H36" s="107"/>
      <c r="I36" s="107"/>
      <c r="J36" s="107"/>
      <c r="K36" s="107"/>
      <c r="L36" s="107"/>
      <c r="M36" s="107"/>
      <c r="N36" s="107"/>
      <c r="O36" s="107"/>
      <c r="P36" s="105">
        <f t="shared" si="0"/>
        <v>0</v>
      </c>
      <c r="Q36" s="596"/>
      <c r="R36" s="597"/>
      <c r="S36" s="597"/>
      <c r="T36" s="597"/>
      <c r="U36" s="597"/>
      <c r="V36" s="597"/>
      <c r="W36" s="597"/>
      <c r="X36" s="597"/>
      <c r="Y36" s="597"/>
      <c r="Z36" s="597"/>
      <c r="AA36" s="597"/>
      <c r="AB36" s="598"/>
      <c r="AC36" s="101"/>
    </row>
    <row r="37" spans="1:29" ht="28.5" customHeight="1">
      <c r="A37" s="534"/>
      <c r="B37" s="536"/>
      <c r="C37" s="103" t="s">
        <v>10</v>
      </c>
      <c r="D37" s="104"/>
      <c r="E37" s="104"/>
      <c r="F37" s="104"/>
      <c r="G37" s="109"/>
      <c r="H37" s="104"/>
      <c r="I37" s="104"/>
      <c r="J37" s="104"/>
      <c r="K37" s="104"/>
      <c r="L37" s="108"/>
      <c r="M37" s="108"/>
      <c r="N37" s="108"/>
      <c r="O37" s="108"/>
      <c r="P37" s="105">
        <f t="shared" si="0"/>
        <v>0</v>
      </c>
      <c r="Q37" s="602"/>
      <c r="R37" s="603"/>
      <c r="S37" s="603"/>
      <c r="T37" s="603"/>
      <c r="U37" s="603"/>
      <c r="V37" s="603"/>
      <c r="W37" s="603"/>
      <c r="X37" s="603"/>
      <c r="Y37" s="603"/>
      <c r="Z37" s="603"/>
      <c r="AA37" s="603"/>
      <c r="AB37" s="604"/>
      <c r="AC37" s="101"/>
    </row>
    <row r="38" spans="1:29" ht="28.5" customHeight="1">
      <c r="A38" s="573"/>
      <c r="B38" s="537"/>
      <c r="C38" s="106" t="s">
        <v>9</v>
      </c>
      <c r="D38" s="107"/>
      <c r="E38" s="107"/>
      <c r="F38" s="107"/>
      <c r="G38" s="107"/>
      <c r="H38" s="107"/>
      <c r="I38" s="107"/>
      <c r="J38" s="107"/>
      <c r="K38" s="107"/>
      <c r="L38" s="107"/>
      <c r="M38" s="107"/>
      <c r="N38" s="107"/>
      <c r="O38" s="107"/>
      <c r="P38" s="105">
        <f t="shared" si="0"/>
        <v>0</v>
      </c>
      <c r="Q38" s="596"/>
      <c r="R38" s="597"/>
      <c r="S38" s="597"/>
      <c r="T38" s="597"/>
      <c r="U38" s="597"/>
      <c r="V38" s="597"/>
      <c r="W38" s="597"/>
      <c r="X38" s="597"/>
      <c r="Y38" s="597"/>
      <c r="Z38" s="597"/>
      <c r="AA38" s="597"/>
      <c r="AB38" s="598"/>
      <c r="AC38" s="101"/>
    </row>
    <row r="39" spans="1:29" ht="28.5" customHeight="1" thickBot="1">
      <c r="A39" s="574"/>
      <c r="B39" s="595"/>
      <c r="C39" s="94" t="s">
        <v>10</v>
      </c>
      <c r="D39" s="110"/>
      <c r="E39" s="110"/>
      <c r="F39" s="110"/>
      <c r="G39" s="110"/>
      <c r="H39" s="110"/>
      <c r="I39" s="110"/>
      <c r="J39" s="110"/>
      <c r="K39" s="110"/>
      <c r="L39" s="111"/>
      <c r="M39" s="111"/>
      <c r="N39" s="111"/>
      <c r="O39" s="111"/>
      <c r="P39" s="112">
        <f t="shared" si="0"/>
        <v>0</v>
      </c>
      <c r="Q39" s="599"/>
      <c r="R39" s="600"/>
      <c r="S39" s="600"/>
      <c r="T39" s="600"/>
      <c r="U39" s="600"/>
      <c r="V39" s="600"/>
      <c r="W39" s="600"/>
      <c r="X39" s="600"/>
      <c r="Y39" s="600"/>
      <c r="Z39" s="600"/>
      <c r="AA39" s="600"/>
      <c r="AB39" s="601"/>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80" zoomScaleNormal="80" workbookViewId="0" topLeftCell="A1">
      <selection activeCell="B3" sqref="B3:AA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0"/>
      <c r="B1" s="363" t="s">
        <v>16</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418</v>
      </c>
      <c r="AC1" s="367"/>
      <c r="AD1" s="368"/>
    </row>
    <row r="2" spans="1:30" ht="30.75" customHeight="1" thickBot="1">
      <c r="A2" s="361"/>
      <c r="B2" s="363" t="s">
        <v>17</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9" t="s">
        <v>413</v>
      </c>
      <c r="AC2" s="370"/>
      <c r="AD2" s="371"/>
    </row>
    <row r="3" spans="1:30" ht="24" customHeight="1">
      <c r="A3" s="361"/>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419</v>
      </c>
      <c r="AC3" s="370"/>
      <c r="AD3" s="371"/>
    </row>
    <row r="4" spans="1:30" ht="21.75" customHeight="1" thickBot="1">
      <c r="A4" s="362"/>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78" t="s">
        <v>175</v>
      </c>
      <c r="AC4" s="379"/>
      <c r="AD4" s="380"/>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39" t="s">
        <v>293</v>
      </c>
      <c r="B7" s="340"/>
      <c r="C7" s="345" t="s">
        <v>45</v>
      </c>
      <c r="D7" s="381" t="s">
        <v>71</v>
      </c>
      <c r="E7" s="387"/>
      <c r="F7" s="387"/>
      <c r="G7" s="387"/>
      <c r="H7" s="382"/>
      <c r="I7" s="390">
        <v>45141</v>
      </c>
      <c r="J7" s="391"/>
      <c r="K7" s="381" t="s">
        <v>67</v>
      </c>
      <c r="L7" s="382"/>
      <c r="M7" s="406" t="s">
        <v>70</v>
      </c>
      <c r="N7" s="407"/>
      <c r="O7" s="396"/>
      <c r="P7" s="397"/>
      <c r="Q7" s="56"/>
      <c r="R7" s="56"/>
      <c r="S7" s="56"/>
      <c r="T7" s="56"/>
      <c r="U7" s="56"/>
      <c r="V7" s="56"/>
      <c r="W7" s="56"/>
      <c r="X7" s="56"/>
      <c r="Y7" s="56"/>
      <c r="Z7" s="57"/>
      <c r="AA7" s="56"/>
      <c r="AB7" s="56"/>
      <c r="AC7" s="62"/>
      <c r="AD7" s="63"/>
    </row>
    <row r="8" spans="1:30" ht="15">
      <c r="A8" s="341"/>
      <c r="B8" s="342"/>
      <c r="C8" s="346"/>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343"/>
      <c r="B9" s="344"/>
      <c r="C9" s="347"/>
      <c r="D9" s="385"/>
      <c r="E9" s="389"/>
      <c r="F9" s="389"/>
      <c r="G9" s="389"/>
      <c r="H9" s="386"/>
      <c r="I9" s="394"/>
      <c r="J9" s="395"/>
      <c r="K9" s="385"/>
      <c r="L9" s="386"/>
      <c r="M9" s="402" t="s">
        <v>69</v>
      </c>
      <c r="N9" s="403"/>
      <c r="O9" s="609" t="s">
        <v>420</v>
      </c>
      <c r="P9" s="610"/>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81" t="s">
        <v>0</v>
      </c>
      <c r="B11" s="382"/>
      <c r="C11" s="348" t="s">
        <v>421</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ht="15" customHeight="1">
      <c r="A12" s="383"/>
      <c r="B12" s="384"/>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c r="A13" s="385"/>
      <c r="B13" s="386"/>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8" t="s">
        <v>77</v>
      </c>
      <c r="B15" s="419"/>
      <c r="C15" s="321" t="s">
        <v>422</v>
      </c>
      <c r="D15" s="322"/>
      <c r="E15" s="322"/>
      <c r="F15" s="322"/>
      <c r="G15" s="322"/>
      <c r="H15" s="322"/>
      <c r="I15" s="322"/>
      <c r="J15" s="322"/>
      <c r="K15" s="323"/>
      <c r="L15" s="357" t="s">
        <v>73</v>
      </c>
      <c r="M15" s="358"/>
      <c r="N15" s="358"/>
      <c r="O15" s="358"/>
      <c r="P15" s="358"/>
      <c r="Q15" s="359"/>
      <c r="R15" s="433" t="s">
        <v>423</v>
      </c>
      <c r="S15" s="434"/>
      <c r="T15" s="434"/>
      <c r="U15" s="434"/>
      <c r="V15" s="434"/>
      <c r="W15" s="434"/>
      <c r="X15" s="435"/>
      <c r="Y15" s="357" t="s">
        <v>72</v>
      </c>
      <c r="Z15" s="359"/>
      <c r="AA15" s="414" t="s">
        <v>424</v>
      </c>
      <c r="AB15" s="415"/>
      <c r="AC15" s="415"/>
      <c r="AD15" s="416"/>
    </row>
    <row r="16" spans="1:30" ht="9" customHeight="1" thickBot="1">
      <c r="A16" s="61"/>
      <c r="B16" s="5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75"/>
      <c r="AD16" s="76"/>
    </row>
    <row r="17" spans="1:30" s="78" customFormat="1" ht="37.5" customHeight="1" thickBot="1">
      <c r="A17" s="418" t="s">
        <v>79</v>
      </c>
      <c r="B17" s="419"/>
      <c r="C17" s="420" t="s">
        <v>440</v>
      </c>
      <c r="D17" s="421"/>
      <c r="E17" s="421"/>
      <c r="F17" s="421"/>
      <c r="G17" s="421"/>
      <c r="H17" s="421"/>
      <c r="I17" s="421"/>
      <c r="J17" s="421"/>
      <c r="K17" s="421"/>
      <c r="L17" s="421"/>
      <c r="M17" s="421"/>
      <c r="N17" s="421"/>
      <c r="O17" s="421"/>
      <c r="P17" s="421"/>
      <c r="Q17" s="422"/>
      <c r="R17" s="326" t="s">
        <v>374</v>
      </c>
      <c r="S17" s="327"/>
      <c r="T17" s="327"/>
      <c r="U17" s="327"/>
      <c r="V17" s="328"/>
      <c r="W17" s="436">
        <v>1</v>
      </c>
      <c r="X17" s="437"/>
      <c r="Y17" s="327" t="s">
        <v>15</v>
      </c>
      <c r="Z17" s="327"/>
      <c r="AA17" s="327"/>
      <c r="AB17" s="328"/>
      <c r="AC17" s="337">
        <v>0.05</v>
      </c>
      <c r="AD17" s="33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26" t="s">
        <v>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8"/>
      <c r="AE19" s="86"/>
      <c r="AF19" s="86"/>
    </row>
    <row r="20" spans="1:32" ht="32.25" customHeight="1" thickBot="1">
      <c r="A20" s="85"/>
      <c r="B20" s="62"/>
      <c r="C20" s="332" t="s">
        <v>376</v>
      </c>
      <c r="D20" s="333"/>
      <c r="E20" s="333"/>
      <c r="F20" s="333"/>
      <c r="G20" s="333"/>
      <c r="H20" s="333"/>
      <c r="I20" s="333"/>
      <c r="J20" s="333"/>
      <c r="K20" s="333"/>
      <c r="L20" s="333"/>
      <c r="M20" s="333"/>
      <c r="N20" s="333"/>
      <c r="O20" s="333"/>
      <c r="P20" s="334"/>
      <c r="Q20" s="329" t="s">
        <v>377</v>
      </c>
      <c r="R20" s="330"/>
      <c r="S20" s="330"/>
      <c r="T20" s="330"/>
      <c r="U20" s="330"/>
      <c r="V20" s="330"/>
      <c r="W20" s="330"/>
      <c r="X20" s="330"/>
      <c r="Y20" s="330"/>
      <c r="Z20" s="330"/>
      <c r="AA20" s="330"/>
      <c r="AB20" s="330"/>
      <c r="AC20" s="330"/>
      <c r="AD20" s="331"/>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5" t="s">
        <v>378</v>
      </c>
      <c r="B22" s="336"/>
      <c r="C22" s="264">
        <f>35873200</f>
        <v>35873200</v>
      </c>
      <c r="D22" s="247"/>
      <c r="E22" s="247"/>
      <c r="F22" s="247"/>
      <c r="G22" s="247">
        <v>-35873200</v>
      </c>
      <c r="H22" s="247"/>
      <c r="I22" s="247"/>
      <c r="J22" s="247"/>
      <c r="K22" s="247"/>
      <c r="L22" s="247"/>
      <c r="M22" s="247"/>
      <c r="N22" s="247"/>
      <c r="O22" s="247">
        <f>SUM(C22:N22)</f>
        <v>0</v>
      </c>
      <c r="P22" s="299"/>
      <c r="Q22" s="191">
        <v>85606500</v>
      </c>
      <c r="R22" s="189"/>
      <c r="S22" s="189"/>
      <c r="T22" s="189"/>
      <c r="U22" s="189"/>
      <c r="V22" s="189"/>
      <c r="W22" s="189">
        <v>4076500</v>
      </c>
      <c r="X22" s="189"/>
      <c r="Y22" s="189"/>
      <c r="Z22" s="189"/>
      <c r="AA22" s="189"/>
      <c r="AB22" s="189"/>
      <c r="AC22" s="189">
        <f>SUM(Q22:AB22)</f>
        <v>89683000</v>
      </c>
      <c r="AD22" s="194" t="str">
        <f>_xlfn.IFERROR(AC22/(SUMIF(Q22:AB22,"&gt;0",Q21:AB21))," ")</f>
        <v> </v>
      </c>
      <c r="AE22" s="4"/>
      <c r="AF22" s="4"/>
    </row>
    <row r="23" spans="1:32" ht="32.25" customHeight="1">
      <c r="A23" s="324" t="s">
        <v>379</v>
      </c>
      <c r="B23" s="325"/>
      <c r="C23" s="186">
        <f>+C22</f>
        <v>35873200</v>
      </c>
      <c r="D23" s="185"/>
      <c r="E23" s="185"/>
      <c r="F23" s="185"/>
      <c r="G23" s="185">
        <v>-35873200</v>
      </c>
      <c r="H23" s="185"/>
      <c r="I23" s="185"/>
      <c r="J23" s="185"/>
      <c r="K23" s="185"/>
      <c r="L23" s="185"/>
      <c r="M23" s="185"/>
      <c r="N23" s="185"/>
      <c r="O23" s="250">
        <f>SUM(C23:N23)</f>
        <v>0</v>
      </c>
      <c r="P23" s="194">
        <f>_xlfn.IFERROR(O23/(SUMIF(C23:N23,"&gt;0",C22:N22))," ")</f>
        <v>0</v>
      </c>
      <c r="Q23" s="191">
        <v>85606500</v>
      </c>
      <c r="R23" s="185"/>
      <c r="S23" s="185"/>
      <c r="T23" s="185"/>
      <c r="U23" s="185"/>
      <c r="V23" s="185"/>
      <c r="W23" s="185"/>
      <c r="X23" s="185"/>
      <c r="Y23" s="185"/>
      <c r="Z23" s="185"/>
      <c r="AA23" s="185"/>
      <c r="AB23" s="185"/>
      <c r="AC23" s="250">
        <f>SUM(Q23:AB23)</f>
        <v>85606500</v>
      </c>
      <c r="AD23" s="194">
        <f>_xlfn.IFERROR(AC23/(SUMIF(Q23:AB23,"&gt;0",Q22:AB22))," ")</f>
        <v>1</v>
      </c>
      <c r="AE23" s="4"/>
      <c r="AF23" s="4"/>
    </row>
    <row r="24" spans="1:32" ht="32.25" customHeight="1">
      <c r="A24" s="324" t="s">
        <v>380</v>
      </c>
      <c r="B24" s="325"/>
      <c r="C24" s="186"/>
      <c r="D24" s="185"/>
      <c r="E24" s="190"/>
      <c r="F24" s="185">
        <f>35873200</f>
        <v>35873200</v>
      </c>
      <c r="G24" s="185">
        <v>-35873200</v>
      </c>
      <c r="H24" s="185"/>
      <c r="I24" s="185"/>
      <c r="J24" s="185"/>
      <c r="K24" s="185"/>
      <c r="L24" s="185"/>
      <c r="M24" s="185"/>
      <c r="N24" s="185"/>
      <c r="O24" s="250">
        <f>SUM(C24:N24)</f>
        <v>0</v>
      </c>
      <c r="P24" s="194" t="str">
        <f>_xlfn.IFERROR(O24/(SUMIF(C24:N24,"&gt;0",C23:N23))," ")</f>
        <v> </v>
      </c>
      <c r="Q24" s="186"/>
      <c r="R24" s="185"/>
      <c r="S24" s="185">
        <v>8153000</v>
      </c>
      <c r="T24" s="185">
        <v>8153000</v>
      </c>
      <c r="U24" s="185">
        <v>8153000</v>
      </c>
      <c r="V24" s="185">
        <v>8153000</v>
      </c>
      <c r="W24" s="185">
        <v>8153000</v>
      </c>
      <c r="X24" s="185">
        <v>8153000</v>
      </c>
      <c r="Y24" s="185">
        <v>8153000</v>
      </c>
      <c r="Z24" s="185">
        <v>8153000</v>
      </c>
      <c r="AA24" s="185">
        <v>8153000</v>
      </c>
      <c r="AB24" s="185">
        <f>12229500+4076500</f>
        <v>16306000</v>
      </c>
      <c r="AC24" s="250">
        <f>SUM(Q24:AB24)</f>
        <v>89683000</v>
      </c>
      <c r="AD24" s="194" t="str">
        <f>_xlfn.IFERROR(AC24/(SUMIF(Q24:AB24,"&gt;0",Q23:AB23))," ")</f>
        <v> </v>
      </c>
      <c r="AE24" s="4"/>
      <c r="AF24" s="4"/>
    </row>
    <row r="25" spans="1:32" ht="32.25" customHeight="1" thickBot="1">
      <c r="A25" s="412" t="s">
        <v>381</v>
      </c>
      <c r="B25" s="413"/>
      <c r="C25" s="187"/>
      <c r="D25" s="188"/>
      <c r="E25" s="188"/>
      <c r="F25" s="188"/>
      <c r="G25" s="188">
        <f>35873200-35873200</f>
        <v>0</v>
      </c>
      <c r="H25" s="188"/>
      <c r="I25" s="188"/>
      <c r="J25" s="188"/>
      <c r="K25" s="188"/>
      <c r="L25" s="188"/>
      <c r="M25" s="188"/>
      <c r="N25" s="188"/>
      <c r="O25" s="307">
        <f>SUM(C25:N25)</f>
        <v>0</v>
      </c>
      <c r="P25" s="195" t="str">
        <f>_xlfn.IFERROR(O25/(SUMIF(C25:N25,"&gt;0",C24:N24))," ")</f>
        <v> </v>
      </c>
      <c r="Q25" s="187"/>
      <c r="R25" s="188"/>
      <c r="S25" s="188">
        <v>8153000</v>
      </c>
      <c r="T25" s="188">
        <v>8153000</v>
      </c>
      <c r="U25" s="188">
        <v>8153000</v>
      </c>
      <c r="V25" s="188">
        <v>8153000</v>
      </c>
      <c r="W25" s="188">
        <v>8153000</v>
      </c>
      <c r="X25" s="188"/>
      <c r="Y25" s="188"/>
      <c r="Z25" s="188"/>
      <c r="AA25" s="188"/>
      <c r="AB25" s="188"/>
      <c r="AC25" s="307">
        <f>SUM(Q25:AB25)</f>
        <v>40765000</v>
      </c>
      <c r="AD25" s="195">
        <f>_xlfn.IFERROR(AC25/(SUMIF(Q25:AB25,"&gt;0",Q24:AB24))," ")</f>
        <v>1</v>
      </c>
      <c r="AE25" s="4"/>
      <c r="AF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8" t="s">
        <v>76</v>
      </c>
      <c r="B27" s="409"/>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1"/>
    </row>
    <row r="28" spans="1:30" ht="15" customHeight="1">
      <c r="A28" s="423" t="s">
        <v>189</v>
      </c>
      <c r="B28" s="425" t="s">
        <v>6</v>
      </c>
      <c r="C28" s="426"/>
      <c r="D28" s="325" t="s">
        <v>398</v>
      </c>
      <c r="E28" s="429"/>
      <c r="F28" s="429"/>
      <c r="G28" s="429"/>
      <c r="H28" s="429"/>
      <c r="I28" s="429"/>
      <c r="J28" s="429"/>
      <c r="K28" s="429"/>
      <c r="L28" s="429"/>
      <c r="M28" s="429"/>
      <c r="N28" s="429"/>
      <c r="O28" s="430"/>
      <c r="P28" s="431" t="s">
        <v>8</v>
      </c>
      <c r="Q28" s="431" t="s">
        <v>84</v>
      </c>
      <c r="R28" s="431"/>
      <c r="S28" s="431"/>
      <c r="T28" s="431"/>
      <c r="U28" s="431"/>
      <c r="V28" s="431"/>
      <c r="W28" s="431"/>
      <c r="X28" s="431"/>
      <c r="Y28" s="431"/>
      <c r="Z28" s="431"/>
      <c r="AA28" s="431"/>
      <c r="AB28" s="431"/>
      <c r="AC28" s="431"/>
      <c r="AD28" s="432"/>
    </row>
    <row r="29" spans="1:30" ht="27" customHeight="1">
      <c r="A29" s="424"/>
      <c r="B29" s="427"/>
      <c r="C29" s="428"/>
      <c r="D29" s="212" t="s">
        <v>39</v>
      </c>
      <c r="E29" s="212" t="s">
        <v>40</v>
      </c>
      <c r="F29" s="212" t="s">
        <v>41</v>
      </c>
      <c r="G29" s="212" t="s">
        <v>42</v>
      </c>
      <c r="H29" s="212" t="s">
        <v>43</v>
      </c>
      <c r="I29" s="212" t="s">
        <v>44</v>
      </c>
      <c r="J29" s="212" t="s">
        <v>45</v>
      </c>
      <c r="K29" s="212" t="s">
        <v>46</v>
      </c>
      <c r="L29" s="212" t="s">
        <v>47</v>
      </c>
      <c r="M29" s="212" t="s">
        <v>48</v>
      </c>
      <c r="N29" s="212" t="s">
        <v>49</v>
      </c>
      <c r="O29" s="212" t="s">
        <v>50</v>
      </c>
      <c r="P29" s="430"/>
      <c r="Q29" s="431"/>
      <c r="R29" s="431"/>
      <c r="S29" s="431"/>
      <c r="T29" s="431"/>
      <c r="U29" s="431"/>
      <c r="V29" s="431"/>
      <c r="W29" s="431"/>
      <c r="X29" s="431"/>
      <c r="Y29" s="431"/>
      <c r="Z29" s="431"/>
      <c r="AA29" s="431"/>
      <c r="AB29" s="431"/>
      <c r="AC29" s="431"/>
      <c r="AD29" s="432"/>
    </row>
    <row r="30" spans="1:30" ht="42" customHeight="1" thickBot="1">
      <c r="A30" s="88"/>
      <c r="B30" s="438"/>
      <c r="C30" s="439"/>
      <c r="D30" s="92"/>
      <c r="E30" s="92"/>
      <c r="F30" s="92"/>
      <c r="G30" s="92"/>
      <c r="H30" s="92"/>
      <c r="I30" s="92"/>
      <c r="J30" s="92"/>
      <c r="K30" s="92"/>
      <c r="L30" s="92"/>
      <c r="M30" s="92"/>
      <c r="N30" s="92"/>
      <c r="O30" s="92"/>
      <c r="P30" s="89">
        <f>SUM(D30:O30)</f>
        <v>0</v>
      </c>
      <c r="Q30" s="440"/>
      <c r="R30" s="440"/>
      <c r="S30" s="440"/>
      <c r="T30" s="440"/>
      <c r="U30" s="440"/>
      <c r="V30" s="440"/>
      <c r="W30" s="440"/>
      <c r="X30" s="440"/>
      <c r="Y30" s="440"/>
      <c r="Z30" s="440"/>
      <c r="AA30" s="440"/>
      <c r="AB30" s="440"/>
      <c r="AC30" s="440"/>
      <c r="AD30" s="44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24" t="s">
        <v>190</v>
      </c>
      <c r="B32" s="431" t="s">
        <v>62</v>
      </c>
      <c r="C32" s="431" t="s">
        <v>6</v>
      </c>
      <c r="D32" s="431" t="s">
        <v>60</v>
      </c>
      <c r="E32" s="431"/>
      <c r="F32" s="431"/>
      <c r="G32" s="431"/>
      <c r="H32" s="431"/>
      <c r="I32" s="431"/>
      <c r="J32" s="431"/>
      <c r="K32" s="431"/>
      <c r="L32" s="431"/>
      <c r="M32" s="431"/>
      <c r="N32" s="431"/>
      <c r="O32" s="431"/>
      <c r="P32" s="431"/>
      <c r="Q32" s="431" t="s">
        <v>85</v>
      </c>
      <c r="R32" s="431"/>
      <c r="S32" s="431"/>
      <c r="T32" s="431"/>
      <c r="U32" s="431"/>
      <c r="V32" s="431"/>
      <c r="W32" s="431"/>
      <c r="X32" s="431"/>
      <c r="Y32" s="431"/>
      <c r="Z32" s="431"/>
      <c r="AA32" s="431"/>
      <c r="AB32" s="431"/>
      <c r="AC32" s="431"/>
      <c r="AD32" s="432"/>
      <c r="AG32" s="90"/>
      <c r="AH32" s="90"/>
      <c r="AI32" s="90"/>
      <c r="AJ32" s="90"/>
      <c r="AK32" s="90"/>
      <c r="AL32" s="90"/>
      <c r="AM32" s="90"/>
      <c r="AN32" s="90"/>
      <c r="AO32" s="90"/>
    </row>
    <row r="33" spans="1:41" ht="27" customHeight="1">
      <c r="A33" s="324"/>
      <c r="B33" s="431"/>
      <c r="C33" s="442"/>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431" t="s">
        <v>402</v>
      </c>
      <c r="R33" s="431"/>
      <c r="S33" s="431"/>
      <c r="T33" s="431" t="s">
        <v>403</v>
      </c>
      <c r="U33" s="431"/>
      <c r="V33" s="431"/>
      <c r="W33" s="427" t="s">
        <v>81</v>
      </c>
      <c r="X33" s="443"/>
      <c r="Y33" s="443"/>
      <c r="Z33" s="428"/>
      <c r="AA33" s="427" t="s">
        <v>82</v>
      </c>
      <c r="AB33" s="443"/>
      <c r="AC33" s="443"/>
      <c r="AD33" s="444"/>
      <c r="AG33" s="90"/>
      <c r="AH33" s="90"/>
      <c r="AI33" s="90"/>
      <c r="AJ33" s="90"/>
      <c r="AK33" s="90"/>
      <c r="AL33" s="90"/>
      <c r="AM33" s="90"/>
      <c r="AN33" s="90"/>
      <c r="AO33" s="90"/>
    </row>
    <row r="34" spans="1:41" ht="123" customHeight="1">
      <c r="A34" s="445" t="s">
        <v>440</v>
      </c>
      <c r="B34" s="447">
        <v>0.05</v>
      </c>
      <c r="C34" s="93" t="s">
        <v>9</v>
      </c>
      <c r="D34" s="92"/>
      <c r="E34" s="92"/>
      <c r="F34" s="223">
        <v>0.1</v>
      </c>
      <c r="G34" s="223">
        <v>0.1</v>
      </c>
      <c r="H34" s="223">
        <v>0.1</v>
      </c>
      <c r="I34" s="223">
        <v>0.1</v>
      </c>
      <c r="J34" s="223">
        <v>0.1</v>
      </c>
      <c r="K34" s="223">
        <v>0.1</v>
      </c>
      <c r="L34" s="223">
        <v>0.1</v>
      </c>
      <c r="M34" s="223">
        <v>0.1</v>
      </c>
      <c r="N34" s="223">
        <v>0.1</v>
      </c>
      <c r="O34" s="223">
        <v>0.1</v>
      </c>
      <c r="P34" s="220">
        <f>SUM(D34:O34)</f>
        <v>0.9999999999999999</v>
      </c>
      <c r="Q34" s="449" t="s">
        <v>587</v>
      </c>
      <c r="R34" s="450"/>
      <c r="S34" s="451"/>
      <c r="T34" s="449" t="s">
        <v>588</v>
      </c>
      <c r="U34" s="450"/>
      <c r="V34" s="451"/>
      <c r="W34" s="449"/>
      <c r="X34" s="450"/>
      <c r="Y34" s="450"/>
      <c r="Z34" s="451"/>
      <c r="AA34" s="449" t="s">
        <v>528</v>
      </c>
      <c r="AB34" s="450"/>
      <c r="AC34" s="450"/>
      <c r="AD34" s="455"/>
      <c r="AG34" s="90"/>
      <c r="AH34" s="90"/>
      <c r="AI34" s="90"/>
      <c r="AJ34" s="90"/>
      <c r="AK34" s="90"/>
      <c r="AL34" s="90"/>
      <c r="AM34" s="90"/>
      <c r="AN34" s="90"/>
      <c r="AO34" s="90"/>
    </row>
    <row r="35" spans="1:41" ht="114" customHeight="1" thickBot="1">
      <c r="A35" s="446"/>
      <c r="B35" s="448"/>
      <c r="C35" s="94" t="s">
        <v>10</v>
      </c>
      <c r="D35" s="95"/>
      <c r="E35" s="95"/>
      <c r="F35" s="287">
        <v>0.1</v>
      </c>
      <c r="G35" s="287">
        <v>0.1</v>
      </c>
      <c r="H35" s="287">
        <v>0.1</v>
      </c>
      <c r="I35" s="287">
        <v>0.1</v>
      </c>
      <c r="J35" s="287">
        <v>0.1</v>
      </c>
      <c r="K35" s="96"/>
      <c r="L35" s="96"/>
      <c r="M35" s="96"/>
      <c r="N35" s="96"/>
      <c r="O35" s="96"/>
      <c r="P35" s="172">
        <f>SUM(D35:O35)</f>
        <v>0.5</v>
      </c>
      <c r="Q35" s="452"/>
      <c r="R35" s="453"/>
      <c r="S35" s="454"/>
      <c r="T35" s="452"/>
      <c r="U35" s="453"/>
      <c r="V35" s="454"/>
      <c r="W35" s="452"/>
      <c r="X35" s="453"/>
      <c r="Y35" s="453"/>
      <c r="Z35" s="454"/>
      <c r="AA35" s="452"/>
      <c r="AB35" s="453"/>
      <c r="AC35" s="453"/>
      <c r="AD35" s="456"/>
      <c r="AE35" s="50"/>
      <c r="AF35" s="97"/>
      <c r="AG35" s="90"/>
      <c r="AH35" s="90"/>
      <c r="AI35" s="90"/>
      <c r="AJ35" s="90"/>
      <c r="AK35" s="90"/>
      <c r="AL35" s="90"/>
      <c r="AM35" s="90"/>
      <c r="AN35" s="90"/>
      <c r="AO35" s="90"/>
    </row>
    <row r="36" spans="1:41" ht="26.25" customHeight="1">
      <c r="A36" s="335" t="s">
        <v>191</v>
      </c>
      <c r="B36" s="463" t="s">
        <v>61</v>
      </c>
      <c r="C36" s="465" t="s">
        <v>11</v>
      </c>
      <c r="D36" s="465"/>
      <c r="E36" s="465"/>
      <c r="F36" s="465"/>
      <c r="G36" s="465"/>
      <c r="H36" s="465"/>
      <c r="I36" s="465"/>
      <c r="J36" s="465"/>
      <c r="K36" s="465"/>
      <c r="L36" s="465"/>
      <c r="M36" s="465"/>
      <c r="N36" s="465"/>
      <c r="O36" s="465"/>
      <c r="P36" s="465"/>
      <c r="Q36" s="336" t="s">
        <v>78</v>
      </c>
      <c r="R36" s="466"/>
      <c r="S36" s="466"/>
      <c r="T36" s="466"/>
      <c r="U36" s="466"/>
      <c r="V36" s="466"/>
      <c r="W36" s="466"/>
      <c r="X36" s="466"/>
      <c r="Y36" s="466"/>
      <c r="Z36" s="466"/>
      <c r="AA36" s="466"/>
      <c r="AB36" s="466"/>
      <c r="AC36" s="466"/>
      <c r="AD36" s="467"/>
      <c r="AG36" s="90"/>
      <c r="AH36" s="90"/>
      <c r="AI36" s="90"/>
      <c r="AJ36" s="90"/>
      <c r="AK36" s="90"/>
      <c r="AL36" s="90"/>
      <c r="AM36" s="90"/>
      <c r="AN36" s="90"/>
      <c r="AO36" s="90"/>
    </row>
    <row r="37" spans="1:41" ht="26.25" customHeight="1">
      <c r="A37" s="324"/>
      <c r="B37" s="46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25" t="s">
        <v>83</v>
      </c>
      <c r="R37" s="429"/>
      <c r="S37" s="429"/>
      <c r="T37" s="429"/>
      <c r="U37" s="429"/>
      <c r="V37" s="429"/>
      <c r="W37" s="429"/>
      <c r="X37" s="429"/>
      <c r="Y37" s="429"/>
      <c r="Z37" s="429"/>
      <c r="AA37" s="429"/>
      <c r="AB37" s="429"/>
      <c r="AC37" s="429"/>
      <c r="AD37" s="468"/>
      <c r="AG37" s="98"/>
      <c r="AH37" s="98"/>
      <c r="AI37" s="98"/>
      <c r="AJ37" s="98"/>
      <c r="AK37" s="98"/>
      <c r="AL37" s="98"/>
      <c r="AM37" s="98"/>
      <c r="AN37" s="98"/>
      <c r="AO37" s="98"/>
    </row>
    <row r="38" spans="1:41" ht="136.5" customHeight="1">
      <c r="A38" s="469" t="s">
        <v>441</v>
      </c>
      <c r="B38" s="632">
        <v>0.05</v>
      </c>
      <c r="C38" s="93" t="s">
        <v>9</v>
      </c>
      <c r="D38" s="99"/>
      <c r="E38" s="99"/>
      <c r="F38" s="171">
        <v>0.1</v>
      </c>
      <c r="G38" s="171">
        <v>0.1</v>
      </c>
      <c r="H38" s="171">
        <v>0.1</v>
      </c>
      <c r="I38" s="171">
        <v>0.1</v>
      </c>
      <c r="J38" s="171">
        <v>0.1</v>
      </c>
      <c r="K38" s="171">
        <v>0.1</v>
      </c>
      <c r="L38" s="171">
        <v>0.1</v>
      </c>
      <c r="M38" s="171">
        <v>0.1</v>
      </c>
      <c r="N38" s="171">
        <v>0.1</v>
      </c>
      <c r="O38" s="171">
        <v>0.1</v>
      </c>
      <c r="P38" s="100">
        <f>SUM(D38:O38)</f>
        <v>0.9999999999999999</v>
      </c>
      <c r="Q38" s="478" t="s">
        <v>589</v>
      </c>
      <c r="R38" s="479"/>
      <c r="S38" s="479"/>
      <c r="T38" s="479"/>
      <c r="U38" s="479"/>
      <c r="V38" s="479"/>
      <c r="W38" s="479"/>
      <c r="X38" s="479"/>
      <c r="Y38" s="479"/>
      <c r="Z38" s="479"/>
      <c r="AA38" s="479"/>
      <c r="AB38" s="479"/>
      <c r="AC38" s="479"/>
      <c r="AD38" s="480"/>
      <c r="AE38" s="101"/>
      <c r="AG38" s="102"/>
      <c r="AH38" s="102"/>
      <c r="AI38" s="102"/>
      <c r="AJ38" s="102"/>
      <c r="AK38" s="102"/>
      <c r="AL38" s="102"/>
      <c r="AM38" s="102"/>
      <c r="AN38" s="102"/>
      <c r="AO38" s="102"/>
    </row>
    <row r="39" spans="1:31" ht="96.75" customHeight="1" thickBot="1">
      <c r="A39" s="631"/>
      <c r="B39" s="633"/>
      <c r="C39" s="94" t="s">
        <v>10</v>
      </c>
      <c r="D39" s="110"/>
      <c r="E39" s="110"/>
      <c r="F39" s="110">
        <v>0.1</v>
      </c>
      <c r="G39" s="110">
        <v>0.1</v>
      </c>
      <c r="H39" s="110">
        <v>0.1</v>
      </c>
      <c r="I39" s="110">
        <v>0.1</v>
      </c>
      <c r="J39" s="110">
        <v>0.1</v>
      </c>
      <c r="K39" s="110"/>
      <c r="L39" s="110"/>
      <c r="M39" s="110"/>
      <c r="N39" s="110"/>
      <c r="O39" s="110"/>
      <c r="P39" s="112">
        <f>SUM(D39:O39)</f>
        <v>0.5</v>
      </c>
      <c r="Q39" s="481" t="s">
        <v>590</v>
      </c>
      <c r="R39" s="482"/>
      <c r="S39" s="482"/>
      <c r="T39" s="482"/>
      <c r="U39" s="482"/>
      <c r="V39" s="482"/>
      <c r="W39" s="482"/>
      <c r="X39" s="482"/>
      <c r="Y39" s="482"/>
      <c r="Z39" s="482"/>
      <c r="AA39" s="482"/>
      <c r="AB39" s="482"/>
      <c r="AC39" s="482"/>
      <c r="AD39" s="483"/>
      <c r="AE39" s="101"/>
    </row>
    <row r="40" ht="15">
      <c r="A40" s="52" t="s">
        <v>294</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8"/>
    <mergeCell ref="Q39:AD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20"/>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Z33"/>
  <sheetViews>
    <sheetView zoomScale="88" zoomScaleNormal="88" zoomScalePageLayoutView="0" workbookViewId="0" topLeftCell="A4">
      <selection activeCell="H8" sqref="H8:I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44.28125" style="113" customWidth="1"/>
    <col min="10" max="10" width="29.28125" style="232" customWidth="1"/>
    <col min="11" max="11" width="16.8515625" style="113" customWidth="1"/>
    <col min="12" max="12" width="15.28125" style="113" customWidth="1"/>
    <col min="13" max="13" width="16.8515625" style="232"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3" width="5.8515625" style="113" customWidth="1"/>
    <col min="24" max="33" width="5.8515625" style="284" customWidth="1"/>
    <col min="34" max="34" width="5.8515625" style="291" customWidth="1"/>
    <col min="35" max="36" width="5.8515625" style="284" customWidth="1"/>
    <col min="37" max="45" width="5.8515625" style="113" customWidth="1"/>
    <col min="46" max="46" width="17.140625" style="125" customWidth="1"/>
    <col min="47" max="47" width="15.8515625" style="205" customWidth="1"/>
    <col min="48" max="48" width="48.140625" style="292" customWidth="1"/>
    <col min="49" max="49" width="56.00390625" style="292" customWidth="1"/>
    <col min="50" max="50" width="41.421875" style="293" customWidth="1"/>
    <col min="51" max="51" width="24.421875" style="113" customWidth="1"/>
    <col min="52" max="16384" width="10.8515625" style="113" customWidth="1"/>
  </cols>
  <sheetData>
    <row r="1" spans="1:51" ht="15.75" customHeight="1">
      <c r="A1" s="676" t="s">
        <v>16</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8"/>
      <c r="AX1" s="606" t="s">
        <v>418</v>
      </c>
      <c r="AY1" s="607"/>
    </row>
    <row r="2" spans="1:51" ht="15.75" customHeight="1">
      <c r="A2" s="682" t="s">
        <v>17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4"/>
      <c r="AX2" s="673" t="s">
        <v>413</v>
      </c>
      <c r="AY2" s="674"/>
    </row>
    <row r="3" spans="1:51" ht="15" customHeight="1">
      <c r="A3" s="685" t="s">
        <v>195</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7"/>
      <c r="AX3" s="673" t="s">
        <v>419</v>
      </c>
      <c r="AY3" s="674"/>
    </row>
    <row r="4" spans="1:51" ht="15.75" customHeight="1">
      <c r="A4" s="676"/>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8"/>
      <c r="AX4" s="675" t="s">
        <v>176</v>
      </c>
      <c r="AY4" s="675"/>
    </row>
    <row r="5" spans="1:51" ht="15" customHeight="1">
      <c r="A5" s="637" t="s">
        <v>174</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9"/>
      <c r="AH5" s="643" t="s">
        <v>69</v>
      </c>
      <c r="AI5" s="663"/>
      <c r="AJ5" s="663"/>
      <c r="AK5" s="663"/>
      <c r="AL5" s="663"/>
      <c r="AM5" s="663"/>
      <c r="AN5" s="663"/>
      <c r="AO5" s="663"/>
      <c r="AP5" s="663"/>
      <c r="AQ5" s="663"/>
      <c r="AR5" s="663"/>
      <c r="AS5" s="663"/>
      <c r="AT5" s="663"/>
      <c r="AU5" s="644"/>
      <c r="AV5" s="634" t="s">
        <v>404</v>
      </c>
      <c r="AW5" s="634" t="s">
        <v>405</v>
      </c>
      <c r="AX5" s="634" t="s">
        <v>298</v>
      </c>
      <c r="AY5" s="658" t="s">
        <v>299</v>
      </c>
    </row>
    <row r="6" spans="1:51" ht="15" customHeight="1">
      <c r="A6" s="640" t="s">
        <v>71</v>
      </c>
      <c r="B6" s="640"/>
      <c r="C6" s="640"/>
      <c r="D6" s="641">
        <v>45141</v>
      </c>
      <c r="E6" s="642"/>
      <c r="F6" s="643" t="s">
        <v>67</v>
      </c>
      <c r="G6" s="644"/>
      <c r="H6" s="649" t="s">
        <v>70</v>
      </c>
      <c r="I6" s="649"/>
      <c r="J6" s="216"/>
      <c r="K6" s="643"/>
      <c r="L6" s="663"/>
      <c r="M6" s="663"/>
      <c r="N6" s="663"/>
      <c r="O6" s="663"/>
      <c r="P6" s="663"/>
      <c r="Q6" s="663"/>
      <c r="R6" s="663"/>
      <c r="S6" s="663"/>
      <c r="T6" s="663"/>
      <c r="U6" s="663"/>
      <c r="V6" s="114"/>
      <c r="W6" s="114"/>
      <c r="X6" s="114"/>
      <c r="Y6" s="114"/>
      <c r="Z6" s="114"/>
      <c r="AA6" s="114"/>
      <c r="AB6" s="114"/>
      <c r="AC6" s="114"/>
      <c r="AD6" s="114"/>
      <c r="AE6" s="114"/>
      <c r="AF6" s="114"/>
      <c r="AG6" s="114"/>
      <c r="AH6" s="645"/>
      <c r="AI6" s="664"/>
      <c r="AJ6" s="664"/>
      <c r="AK6" s="664"/>
      <c r="AL6" s="664"/>
      <c r="AM6" s="664"/>
      <c r="AN6" s="664"/>
      <c r="AO6" s="664"/>
      <c r="AP6" s="664"/>
      <c r="AQ6" s="664"/>
      <c r="AR6" s="664"/>
      <c r="AS6" s="664"/>
      <c r="AT6" s="664"/>
      <c r="AU6" s="646"/>
      <c r="AV6" s="635"/>
      <c r="AW6" s="635"/>
      <c r="AX6" s="635"/>
      <c r="AY6" s="661"/>
    </row>
    <row r="7" spans="1:51" ht="15" customHeight="1">
      <c r="A7" s="640"/>
      <c r="B7" s="640"/>
      <c r="C7" s="640"/>
      <c r="D7" s="642"/>
      <c r="E7" s="642"/>
      <c r="F7" s="645"/>
      <c r="G7" s="646"/>
      <c r="H7" s="649" t="s">
        <v>68</v>
      </c>
      <c r="I7" s="649"/>
      <c r="J7" s="231"/>
      <c r="K7" s="645"/>
      <c r="L7" s="664"/>
      <c r="M7" s="664"/>
      <c r="N7" s="664"/>
      <c r="O7" s="664"/>
      <c r="P7" s="664"/>
      <c r="Q7" s="664"/>
      <c r="R7" s="664"/>
      <c r="S7" s="664"/>
      <c r="T7" s="664"/>
      <c r="U7" s="664"/>
      <c r="V7" s="115"/>
      <c r="W7" s="115"/>
      <c r="X7" s="115"/>
      <c r="Y7" s="115"/>
      <c r="Z7" s="115"/>
      <c r="AA7" s="115"/>
      <c r="AB7" s="115"/>
      <c r="AC7" s="115"/>
      <c r="AD7" s="115"/>
      <c r="AE7" s="115"/>
      <c r="AF7" s="115"/>
      <c r="AG7" s="115"/>
      <c r="AH7" s="645"/>
      <c r="AI7" s="664"/>
      <c r="AJ7" s="664"/>
      <c r="AK7" s="664"/>
      <c r="AL7" s="664"/>
      <c r="AM7" s="664"/>
      <c r="AN7" s="664"/>
      <c r="AO7" s="664"/>
      <c r="AP7" s="664"/>
      <c r="AQ7" s="664"/>
      <c r="AR7" s="664"/>
      <c r="AS7" s="664"/>
      <c r="AT7" s="664"/>
      <c r="AU7" s="646"/>
      <c r="AV7" s="635"/>
      <c r="AW7" s="635"/>
      <c r="AX7" s="635"/>
      <c r="AY7" s="661"/>
    </row>
    <row r="8" spans="1:51" ht="15" customHeight="1">
      <c r="A8" s="640"/>
      <c r="B8" s="640"/>
      <c r="C8" s="640"/>
      <c r="D8" s="642"/>
      <c r="E8" s="642"/>
      <c r="F8" s="647"/>
      <c r="G8" s="648"/>
      <c r="H8" s="649" t="s">
        <v>69</v>
      </c>
      <c r="I8" s="649"/>
      <c r="J8" s="251" t="s">
        <v>420</v>
      </c>
      <c r="K8" s="647"/>
      <c r="L8" s="665"/>
      <c r="M8" s="665"/>
      <c r="N8" s="665"/>
      <c r="O8" s="665"/>
      <c r="P8" s="665"/>
      <c r="Q8" s="665"/>
      <c r="R8" s="665"/>
      <c r="S8" s="665"/>
      <c r="T8" s="665"/>
      <c r="U8" s="665"/>
      <c r="V8" s="116"/>
      <c r="W8" s="116"/>
      <c r="X8" s="116"/>
      <c r="Y8" s="116"/>
      <c r="Z8" s="116"/>
      <c r="AA8" s="116"/>
      <c r="AB8" s="116"/>
      <c r="AC8" s="116"/>
      <c r="AD8" s="116"/>
      <c r="AE8" s="116"/>
      <c r="AF8" s="116"/>
      <c r="AG8" s="116"/>
      <c r="AH8" s="645"/>
      <c r="AI8" s="664"/>
      <c r="AJ8" s="664"/>
      <c r="AK8" s="664"/>
      <c r="AL8" s="664"/>
      <c r="AM8" s="664"/>
      <c r="AN8" s="664"/>
      <c r="AO8" s="664"/>
      <c r="AP8" s="664"/>
      <c r="AQ8" s="664"/>
      <c r="AR8" s="664"/>
      <c r="AS8" s="664"/>
      <c r="AT8" s="664"/>
      <c r="AU8" s="646"/>
      <c r="AV8" s="635"/>
      <c r="AW8" s="635"/>
      <c r="AX8" s="635"/>
      <c r="AY8" s="661"/>
    </row>
    <row r="9" spans="1:51" ht="15" customHeight="1">
      <c r="A9" s="679" t="s">
        <v>399</v>
      </c>
      <c r="B9" s="680"/>
      <c r="C9" s="681"/>
      <c r="D9" s="653" t="s">
        <v>117</v>
      </c>
      <c r="E9" s="654"/>
      <c r="F9" s="654"/>
      <c r="G9" s="654"/>
      <c r="H9" s="654"/>
      <c r="I9" s="654"/>
      <c r="J9" s="654"/>
      <c r="K9" s="655"/>
      <c r="L9" s="655"/>
      <c r="M9" s="655"/>
      <c r="N9" s="655"/>
      <c r="O9" s="655"/>
      <c r="P9" s="655"/>
      <c r="Q9" s="655"/>
      <c r="R9" s="655"/>
      <c r="S9" s="655"/>
      <c r="T9" s="655"/>
      <c r="U9" s="655"/>
      <c r="V9" s="655"/>
      <c r="W9" s="655"/>
      <c r="X9" s="655"/>
      <c r="Y9" s="655"/>
      <c r="Z9" s="655"/>
      <c r="AA9" s="655"/>
      <c r="AB9" s="655"/>
      <c r="AC9" s="655"/>
      <c r="AD9" s="655"/>
      <c r="AE9" s="655"/>
      <c r="AF9" s="655"/>
      <c r="AG9" s="656"/>
      <c r="AH9" s="645"/>
      <c r="AI9" s="664"/>
      <c r="AJ9" s="664"/>
      <c r="AK9" s="664"/>
      <c r="AL9" s="664"/>
      <c r="AM9" s="664"/>
      <c r="AN9" s="664"/>
      <c r="AO9" s="664"/>
      <c r="AP9" s="664"/>
      <c r="AQ9" s="664"/>
      <c r="AR9" s="664"/>
      <c r="AS9" s="664"/>
      <c r="AT9" s="664"/>
      <c r="AU9" s="646"/>
      <c r="AV9" s="635"/>
      <c r="AW9" s="635"/>
      <c r="AX9" s="635"/>
      <c r="AY9" s="661"/>
    </row>
    <row r="10" spans="1:51" ht="15" customHeight="1">
      <c r="A10" s="650" t="s">
        <v>287</v>
      </c>
      <c r="B10" s="651"/>
      <c r="C10" s="652"/>
      <c r="D10" s="657" t="s">
        <v>511</v>
      </c>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6"/>
      <c r="AH10" s="647"/>
      <c r="AI10" s="665"/>
      <c r="AJ10" s="665"/>
      <c r="AK10" s="665"/>
      <c r="AL10" s="665"/>
      <c r="AM10" s="665"/>
      <c r="AN10" s="665"/>
      <c r="AO10" s="665"/>
      <c r="AP10" s="665"/>
      <c r="AQ10" s="665"/>
      <c r="AR10" s="665"/>
      <c r="AS10" s="665"/>
      <c r="AT10" s="665"/>
      <c r="AU10" s="648"/>
      <c r="AV10" s="635"/>
      <c r="AW10" s="635"/>
      <c r="AX10" s="635"/>
      <c r="AY10" s="661"/>
    </row>
    <row r="11" spans="1:51" ht="39.75" customHeight="1">
      <c r="A11" s="670" t="s">
        <v>168</v>
      </c>
      <c r="B11" s="671"/>
      <c r="C11" s="671"/>
      <c r="D11" s="671"/>
      <c r="E11" s="671"/>
      <c r="F11" s="672"/>
      <c r="G11" s="670" t="s">
        <v>278</v>
      </c>
      <c r="H11" s="672"/>
      <c r="I11" s="658" t="s">
        <v>179</v>
      </c>
      <c r="J11" s="658" t="s">
        <v>279</v>
      </c>
      <c r="K11" s="658" t="s">
        <v>323</v>
      </c>
      <c r="L11" s="658" t="s">
        <v>363</v>
      </c>
      <c r="M11" s="658" t="s">
        <v>167</v>
      </c>
      <c r="N11" s="658" t="s">
        <v>182</v>
      </c>
      <c r="O11" s="670" t="s">
        <v>284</v>
      </c>
      <c r="P11" s="671"/>
      <c r="Q11" s="671"/>
      <c r="R11" s="671"/>
      <c r="S11" s="672"/>
      <c r="T11" s="658" t="s">
        <v>173</v>
      </c>
      <c r="U11" s="658" t="s">
        <v>285</v>
      </c>
      <c r="V11" s="637" t="s">
        <v>370</v>
      </c>
      <c r="W11" s="638"/>
      <c r="X11" s="638"/>
      <c r="Y11" s="638"/>
      <c r="Z11" s="638"/>
      <c r="AA11" s="638"/>
      <c r="AB11" s="638"/>
      <c r="AC11" s="638"/>
      <c r="AD11" s="638"/>
      <c r="AE11" s="638"/>
      <c r="AF11" s="638"/>
      <c r="AG11" s="639"/>
      <c r="AH11" s="637" t="s">
        <v>87</v>
      </c>
      <c r="AI11" s="638"/>
      <c r="AJ11" s="638"/>
      <c r="AK11" s="638"/>
      <c r="AL11" s="638"/>
      <c r="AM11" s="638"/>
      <c r="AN11" s="638"/>
      <c r="AO11" s="638"/>
      <c r="AP11" s="638"/>
      <c r="AQ11" s="638"/>
      <c r="AR11" s="638"/>
      <c r="AS11" s="639"/>
      <c r="AT11" s="670" t="s">
        <v>8</v>
      </c>
      <c r="AU11" s="672"/>
      <c r="AV11" s="635"/>
      <c r="AW11" s="635"/>
      <c r="AX11" s="635"/>
      <c r="AY11" s="661"/>
    </row>
    <row r="12" spans="1:51" ht="42.75">
      <c r="A12" s="117" t="s">
        <v>169</v>
      </c>
      <c r="B12" s="117" t="s">
        <v>170</v>
      </c>
      <c r="C12" s="117" t="s">
        <v>171</v>
      </c>
      <c r="D12" s="117" t="s">
        <v>178</v>
      </c>
      <c r="E12" s="117" t="s">
        <v>185</v>
      </c>
      <c r="F12" s="117" t="s">
        <v>186</v>
      </c>
      <c r="G12" s="117" t="s">
        <v>277</v>
      </c>
      <c r="H12" s="117" t="s">
        <v>184</v>
      </c>
      <c r="I12" s="659"/>
      <c r="J12" s="659"/>
      <c r="K12" s="659"/>
      <c r="L12" s="659"/>
      <c r="M12" s="659"/>
      <c r="N12" s="659"/>
      <c r="O12" s="117">
        <v>2020</v>
      </c>
      <c r="P12" s="117">
        <v>2021</v>
      </c>
      <c r="Q12" s="117">
        <v>2022</v>
      </c>
      <c r="R12" s="117">
        <v>2023</v>
      </c>
      <c r="S12" s="117">
        <v>2024</v>
      </c>
      <c r="T12" s="659"/>
      <c r="U12" s="659"/>
      <c r="V12" s="123" t="s">
        <v>39</v>
      </c>
      <c r="W12" s="123" t="s">
        <v>40</v>
      </c>
      <c r="X12" s="288" t="s">
        <v>41</v>
      </c>
      <c r="Y12" s="288" t="s">
        <v>42</v>
      </c>
      <c r="Z12" s="288" t="s">
        <v>43</v>
      </c>
      <c r="AA12" s="288" t="s">
        <v>44</v>
      </c>
      <c r="AB12" s="288" t="s">
        <v>45</v>
      </c>
      <c r="AC12" s="288" t="s">
        <v>46</v>
      </c>
      <c r="AD12" s="288" t="s">
        <v>47</v>
      </c>
      <c r="AE12" s="288" t="s">
        <v>48</v>
      </c>
      <c r="AF12" s="288" t="s">
        <v>49</v>
      </c>
      <c r="AG12" s="288" t="s">
        <v>50</v>
      </c>
      <c r="AH12" s="288" t="s">
        <v>39</v>
      </c>
      <c r="AI12" s="288" t="s">
        <v>40</v>
      </c>
      <c r="AJ12" s="288" t="s">
        <v>41</v>
      </c>
      <c r="AK12" s="123" t="s">
        <v>42</v>
      </c>
      <c r="AL12" s="123" t="s">
        <v>43</v>
      </c>
      <c r="AM12" s="123" t="s">
        <v>44</v>
      </c>
      <c r="AN12" s="123" t="s">
        <v>45</v>
      </c>
      <c r="AO12" s="123" t="s">
        <v>46</v>
      </c>
      <c r="AP12" s="123" t="s">
        <v>47</v>
      </c>
      <c r="AQ12" s="123" t="s">
        <v>48</v>
      </c>
      <c r="AR12" s="123" t="s">
        <v>49</v>
      </c>
      <c r="AS12" s="123" t="s">
        <v>50</v>
      </c>
      <c r="AT12" s="117" t="s">
        <v>408</v>
      </c>
      <c r="AU12" s="204" t="s">
        <v>88</v>
      </c>
      <c r="AV12" s="636"/>
      <c r="AW12" s="636"/>
      <c r="AX12" s="636"/>
      <c r="AY12" s="659"/>
    </row>
    <row r="13" spans="1:51" ht="313.5" customHeight="1">
      <c r="A13" s="118">
        <v>307</v>
      </c>
      <c r="B13" s="118"/>
      <c r="C13" s="118"/>
      <c r="D13" s="118"/>
      <c r="E13" s="118"/>
      <c r="F13" s="118"/>
      <c r="G13" s="118"/>
      <c r="H13" s="118"/>
      <c r="I13" s="224" t="s">
        <v>442</v>
      </c>
      <c r="J13" s="225" t="s">
        <v>444</v>
      </c>
      <c r="K13" s="119" t="s">
        <v>445</v>
      </c>
      <c r="L13" s="119">
        <v>7</v>
      </c>
      <c r="M13" s="226" t="s">
        <v>448</v>
      </c>
      <c r="N13" s="238" t="s">
        <v>492</v>
      </c>
      <c r="O13" s="118">
        <v>1</v>
      </c>
      <c r="P13" s="118">
        <v>3</v>
      </c>
      <c r="Q13" s="118">
        <v>3</v>
      </c>
      <c r="R13" s="118">
        <v>0</v>
      </c>
      <c r="S13" s="118">
        <v>0</v>
      </c>
      <c r="T13" s="120" t="s">
        <v>450</v>
      </c>
      <c r="U13" s="120"/>
      <c r="V13" s="121"/>
      <c r="W13" s="121"/>
      <c r="X13" s="289"/>
      <c r="Y13" s="289"/>
      <c r="Z13" s="289"/>
      <c r="AA13" s="289"/>
      <c r="AB13" s="289"/>
      <c r="AC13" s="289"/>
      <c r="AD13" s="289"/>
      <c r="AE13" s="289"/>
      <c r="AF13" s="289"/>
      <c r="AG13" s="289"/>
      <c r="AH13" s="258"/>
      <c r="AI13" s="289"/>
      <c r="AJ13" s="289"/>
      <c r="AK13" s="121"/>
      <c r="AL13" s="121"/>
      <c r="AM13" s="121"/>
      <c r="AN13" s="121"/>
      <c r="AO13" s="121"/>
      <c r="AP13" s="121"/>
      <c r="AQ13" s="121"/>
      <c r="AR13" s="121"/>
      <c r="AS13" s="121"/>
      <c r="AT13" s="118">
        <f>SUM(AH13:AS13)</f>
        <v>0</v>
      </c>
      <c r="AU13" s="122" t="e">
        <f>+AT13/R13</f>
        <v>#DIV/0!</v>
      </c>
      <c r="AV13" s="316" t="s">
        <v>550</v>
      </c>
      <c r="AW13" s="316" t="s">
        <v>543</v>
      </c>
      <c r="AX13" s="316" t="s">
        <v>540</v>
      </c>
      <c r="AY13" s="319" t="s">
        <v>532</v>
      </c>
    </row>
    <row r="14" spans="1:51" ht="330.75" customHeight="1">
      <c r="A14" s="118">
        <v>308</v>
      </c>
      <c r="B14" s="118"/>
      <c r="C14" s="118"/>
      <c r="D14" s="118"/>
      <c r="E14" s="118"/>
      <c r="F14" s="118"/>
      <c r="G14" s="118"/>
      <c r="H14" s="118"/>
      <c r="I14" s="224" t="s">
        <v>443</v>
      </c>
      <c r="J14" s="225" t="s">
        <v>447</v>
      </c>
      <c r="K14" s="119" t="s">
        <v>446</v>
      </c>
      <c r="L14" s="118">
        <v>5</v>
      </c>
      <c r="M14" s="226" t="s">
        <v>449</v>
      </c>
      <c r="N14" s="238" t="s">
        <v>493</v>
      </c>
      <c r="O14" s="118">
        <v>1</v>
      </c>
      <c r="P14" s="118">
        <v>5</v>
      </c>
      <c r="Q14" s="118">
        <v>5</v>
      </c>
      <c r="R14" s="118">
        <v>5</v>
      </c>
      <c r="S14" s="118">
        <v>5</v>
      </c>
      <c r="T14" s="118" t="s">
        <v>450</v>
      </c>
      <c r="U14" s="118"/>
      <c r="V14" s="121"/>
      <c r="W14" s="121"/>
      <c r="X14" s="289"/>
      <c r="Y14" s="289"/>
      <c r="Z14" s="289"/>
      <c r="AA14" s="289"/>
      <c r="AB14" s="289"/>
      <c r="AC14" s="289"/>
      <c r="AD14" s="289"/>
      <c r="AE14" s="289"/>
      <c r="AF14" s="289"/>
      <c r="AG14" s="289"/>
      <c r="AH14" s="258">
        <v>4</v>
      </c>
      <c r="AI14" s="289">
        <v>4</v>
      </c>
      <c r="AJ14" s="289">
        <v>4</v>
      </c>
      <c r="AK14" s="121">
        <v>4</v>
      </c>
      <c r="AL14" s="121">
        <v>4</v>
      </c>
      <c r="AM14" s="121">
        <v>4</v>
      </c>
      <c r="AN14" s="121">
        <v>4</v>
      </c>
      <c r="AO14" s="121"/>
      <c r="AP14" s="121"/>
      <c r="AQ14" s="121"/>
      <c r="AR14" s="121"/>
      <c r="AS14" s="121"/>
      <c r="AT14" s="118">
        <v>4</v>
      </c>
      <c r="AU14" s="122">
        <f aca="true" t="shared" si="0" ref="AU14:AU24">+AT14/R14</f>
        <v>0.8</v>
      </c>
      <c r="AV14" s="303" t="s">
        <v>571</v>
      </c>
      <c r="AW14" s="303" t="s">
        <v>585</v>
      </c>
      <c r="AX14" s="303" t="s">
        <v>541</v>
      </c>
      <c r="AY14" s="303" t="s">
        <v>542</v>
      </c>
    </row>
    <row r="15" spans="1:51" ht="113.25" customHeight="1">
      <c r="A15" s="118"/>
      <c r="B15" s="118"/>
      <c r="C15" s="118">
        <v>327</v>
      </c>
      <c r="D15" s="118">
        <v>35</v>
      </c>
      <c r="E15" s="118"/>
      <c r="F15" s="118"/>
      <c r="G15" s="118"/>
      <c r="H15" s="118"/>
      <c r="I15" s="227" t="s">
        <v>442</v>
      </c>
      <c r="J15" s="228" t="s">
        <v>451</v>
      </c>
      <c r="K15" s="119" t="s">
        <v>445</v>
      </c>
      <c r="L15" s="229">
        <v>37500</v>
      </c>
      <c r="M15" s="229" t="s">
        <v>453</v>
      </c>
      <c r="N15" s="240" t="s">
        <v>494</v>
      </c>
      <c r="O15" s="119">
        <v>4670</v>
      </c>
      <c r="P15" s="119">
        <v>8700</v>
      </c>
      <c r="Q15" s="119">
        <v>9986</v>
      </c>
      <c r="R15" s="119">
        <v>9941</v>
      </c>
      <c r="S15" s="119">
        <v>4203</v>
      </c>
      <c r="T15" s="118" t="s">
        <v>450</v>
      </c>
      <c r="U15" s="229" t="s">
        <v>455</v>
      </c>
      <c r="V15" s="302">
        <v>300</v>
      </c>
      <c r="W15" s="302">
        <v>600</v>
      </c>
      <c r="X15" s="302">
        <v>750</v>
      </c>
      <c r="Y15" s="302">
        <v>750</v>
      </c>
      <c r="Z15" s="302">
        <v>950</v>
      </c>
      <c r="AA15" s="302">
        <v>950</v>
      </c>
      <c r="AB15" s="302">
        <v>950</v>
      </c>
      <c r="AC15" s="302">
        <v>950</v>
      </c>
      <c r="AD15" s="302">
        <v>950</v>
      </c>
      <c r="AE15" s="302">
        <v>950</v>
      </c>
      <c r="AF15" s="302">
        <v>950</v>
      </c>
      <c r="AG15" s="302">
        <v>891</v>
      </c>
      <c r="AH15" s="258">
        <v>165</v>
      </c>
      <c r="AI15" s="289">
        <v>742</v>
      </c>
      <c r="AJ15" s="289">
        <v>1106</v>
      </c>
      <c r="AK15" s="121">
        <v>855</v>
      </c>
      <c r="AL15" s="121">
        <v>1195</v>
      </c>
      <c r="AM15" s="121">
        <v>1077</v>
      </c>
      <c r="AN15" s="121">
        <v>1044</v>
      </c>
      <c r="AO15" s="121"/>
      <c r="AP15" s="121"/>
      <c r="AQ15" s="121"/>
      <c r="AR15" s="121"/>
      <c r="AS15" s="121"/>
      <c r="AT15" s="258">
        <f>SUM(AH15:AS15)</f>
        <v>6184</v>
      </c>
      <c r="AU15" s="259">
        <f>+AT15/R15</f>
        <v>0.6220702142641585</v>
      </c>
      <c r="AV15" s="303" t="s">
        <v>569</v>
      </c>
      <c r="AW15" s="303" t="s">
        <v>570</v>
      </c>
      <c r="AX15" s="303"/>
      <c r="AY15" s="289"/>
    </row>
    <row r="16" spans="1:51" ht="180">
      <c r="A16" s="118"/>
      <c r="B16" s="118"/>
      <c r="C16" s="118"/>
      <c r="D16" s="118">
        <v>31</v>
      </c>
      <c r="E16" s="118"/>
      <c r="F16" s="118"/>
      <c r="G16" s="118"/>
      <c r="H16" s="118"/>
      <c r="I16" s="227" t="s">
        <v>539</v>
      </c>
      <c r="J16" s="228" t="s">
        <v>452</v>
      </c>
      <c r="K16" s="119" t="s">
        <v>445</v>
      </c>
      <c r="L16" s="229">
        <v>3417</v>
      </c>
      <c r="M16" s="229" t="s">
        <v>454</v>
      </c>
      <c r="N16" s="240" t="s">
        <v>488</v>
      </c>
      <c r="O16" s="119">
        <v>445</v>
      </c>
      <c r="P16" s="119">
        <v>767</v>
      </c>
      <c r="Q16" s="119">
        <v>1036</v>
      </c>
      <c r="R16" s="119">
        <v>1050</v>
      </c>
      <c r="S16" s="119">
        <v>119</v>
      </c>
      <c r="T16" s="118" t="s">
        <v>450</v>
      </c>
      <c r="U16" s="229" t="s">
        <v>455</v>
      </c>
      <c r="V16" s="302">
        <v>15</v>
      </c>
      <c r="W16" s="302">
        <v>35</v>
      </c>
      <c r="X16" s="302">
        <v>40</v>
      </c>
      <c r="Y16" s="302">
        <v>40</v>
      </c>
      <c r="Z16" s="302">
        <v>115</v>
      </c>
      <c r="AA16" s="302">
        <v>115</v>
      </c>
      <c r="AB16" s="302">
        <v>115</v>
      </c>
      <c r="AC16" s="302">
        <v>115</v>
      </c>
      <c r="AD16" s="302">
        <v>115</v>
      </c>
      <c r="AE16" s="302">
        <v>115</v>
      </c>
      <c r="AF16" s="302">
        <v>115</v>
      </c>
      <c r="AG16" s="302">
        <v>115</v>
      </c>
      <c r="AH16" s="258">
        <v>24</v>
      </c>
      <c r="AI16" s="289">
        <v>73</v>
      </c>
      <c r="AJ16" s="289">
        <v>133</v>
      </c>
      <c r="AK16" s="121">
        <v>99</v>
      </c>
      <c r="AL16" s="121">
        <v>164</v>
      </c>
      <c r="AM16" s="289">
        <v>144</v>
      </c>
      <c r="AN16" s="121">
        <v>137</v>
      </c>
      <c r="AO16" s="121"/>
      <c r="AP16" s="121"/>
      <c r="AQ16" s="121"/>
      <c r="AR16" s="121"/>
      <c r="AS16" s="121"/>
      <c r="AT16" s="118">
        <f>SUM(AH16:AS16)</f>
        <v>774</v>
      </c>
      <c r="AU16" s="122">
        <f t="shared" si="0"/>
        <v>0.7371428571428571</v>
      </c>
      <c r="AV16" s="303" t="s">
        <v>568</v>
      </c>
      <c r="AW16" s="303" t="s">
        <v>593</v>
      </c>
      <c r="AX16" s="320"/>
      <c r="AY16" s="289"/>
    </row>
    <row r="17" spans="1:51" ht="105">
      <c r="A17" s="118"/>
      <c r="B17" s="118"/>
      <c r="C17" s="118"/>
      <c r="D17" s="118"/>
      <c r="E17" s="119" t="s">
        <v>456</v>
      </c>
      <c r="F17" s="118"/>
      <c r="G17" s="118"/>
      <c r="H17" s="118"/>
      <c r="I17" s="232" t="s">
        <v>458</v>
      </c>
      <c r="J17" s="226" t="s">
        <v>457</v>
      </c>
      <c r="K17" s="119" t="s">
        <v>446</v>
      </c>
      <c r="L17" s="121" t="s">
        <v>499</v>
      </c>
      <c r="M17" s="226" t="s">
        <v>459</v>
      </c>
      <c r="N17" s="234" t="s">
        <v>495</v>
      </c>
      <c r="O17" s="121"/>
      <c r="P17" s="121"/>
      <c r="Q17" s="121"/>
      <c r="R17" s="121"/>
      <c r="S17" s="121"/>
      <c r="T17" s="118" t="s">
        <v>450</v>
      </c>
      <c r="U17" s="118" t="s">
        <v>455</v>
      </c>
      <c r="V17" s="121"/>
      <c r="W17" s="237"/>
      <c r="X17" s="290"/>
      <c r="Y17" s="290"/>
      <c r="Z17" s="290"/>
      <c r="AA17" s="290"/>
      <c r="AB17" s="290"/>
      <c r="AC17" s="290"/>
      <c r="AD17" s="290"/>
      <c r="AE17" s="290"/>
      <c r="AF17" s="290"/>
      <c r="AG17" s="290"/>
      <c r="AH17" s="235">
        <v>451</v>
      </c>
      <c r="AI17" s="289">
        <v>1001</v>
      </c>
      <c r="AJ17" s="289">
        <v>1546</v>
      </c>
      <c r="AK17" s="289">
        <v>1176</v>
      </c>
      <c r="AL17" s="121">
        <v>1704</v>
      </c>
      <c r="AM17" s="121">
        <v>1569</v>
      </c>
      <c r="AN17" s="121">
        <v>1467</v>
      </c>
      <c r="AO17" s="121"/>
      <c r="AP17" s="121"/>
      <c r="AQ17" s="121"/>
      <c r="AR17" s="121"/>
      <c r="AS17" s="121"/>
      <c r="AT17" s="295">
        <v>8645</v>
      </c>
      <c r="AU17" s="259" t="e">
        <f>+AT17/R17</f>
        <v>#DIV/0!</v>
      </c>
      <c r="AV17" s="303" t="s">
        <v>594</v>
      </c>
      <c r="AW17" s="303" t="s">
        <v>567</v>
      </c>
      <c r="AX17" s="289"/>
      <c r="AY17" s="289"/>
    </row>
    <row r="18" spans="1:51" ht="63.75">
      <c r="A18" s="118"/>
      <c r="B18" s="118"/>
      <c r="C18" s="118"/>
      <c r="D18" s="118"/>
      <c r="E18" s="118">
        <v>4</v>
      </c>
      <c r="F18" s="118"/>
      <c r="G18" s="118"/>
      <c r="H18" s="118"/>
      <c r="I18" s="224" t="s">
        <v>460</v>
      </c>
      <c r="J18" s="225" t="s">
        <v>461</v>
      </c>
      <c r="K18" s="119" t="s">
        <v>445</v>
      </c>
      <c r="L18" s="121" t="s">
        <v>499</v>
      </c>
      <c r="M18" s="226" t="s">
        <v>462</v>
      </c>
      <c r="N18" s="234" t="s">
        <v>496</v>
      </c>
      <c r="O18" s="121"/>
      <c r="P18" s="121"/>
      <c r="Q18" s="121"/>
      <c r="R18" s="121"/>
      <c r="S18" s="121"/>
      <c r="T18" s="118" t="s">
        <v>450</v>
      </c>
      <c r="U18" s="118" t="s">
        <v>455</v>
      </c>
      <c r="V18" s="121"/>
      <c r="W18" s="237"/>
      <c r="X18" s="290"/>
      <c r="Y18" s="290"/>
      <c r="Z18" s="290"/>
      <c r="AA18" s="290"/>
      <c r="AB18" s="290"/>
      <c r="AC18" s="290"/>
      <c r="AD18" s="290"/>
      <c r="AE18" s="290"/>
      <c r="AF18" s="290"/>
      <c r="AG18" s="290"/>
      <c r="AH18" s="235">
        <v>12</v>
      </c>
      <c r="AI18" s="289">
        <v>38</v>
      </c>
      <c r="AJ18" s="289">
        <v>85</v>
      </c>
      <c r="AK18" s="121">
        <v>60</v>
      </c>
      <c r="AL18" s="121">
        <v>103</v>
      </c>
      <c r="AM18" s="289">
        <v>105</v>
      </c>
      <c r="AN18" s="121">
        <v>104</v>
      </c>
      <c r="AO18" s="121"/>
      <c r="AP18" s="121"/>
      <c r="AQ18" s="121"/>
      <c r="AR18" s="121"/>
      <c r="AS18" s="121"/>
      <c r="AT18" s="295">
        <f aca="true" t="shared" si="1" ref="AT18:AT24">SUM(AH18:AS18)</f>
        <v>507</v>
      </c>
      <c r="AU18" s="122" t="e">
        <f t="shared" si="0"/>
        <v>#DIV/0!</v>
      </c>
      <c r="AV18" s="303" t="s">
        <v>595</v>
      </c>
      <c r="AW18" s="303" t="s">
        <v>565</v>
      </c>
      <c r="AX18" s="289"/>
      <c r="AY18" s="289"/>
    </row>
    <row r="19" spans="1:51" ht="51">
      <c r="A19" s="118"/>
      <c r="B19" s="118"/>
      <c r="C19" s="118"/>
      <c r="D19" s="118"/>
      <c r="E19" s="118">
        <v>4</v>
      </c>
      <c r="F19" s="118"/>
      <c r="G19" s="118"/>
      <c r="H19" s="118"/>
      <c r="I19" s="224" t="s">
        <v>463</v>
      </c>
      <c r="J19" s="225" t="s">
        <v>464</v>
      </c>
      <c r="K19" s="119" t="s">
        <v>445</v>
      </c>
      <c r="L19" s="121" t="s">
        <v>499</v>
      </c>
      <c r="M19" s="226" t="s">
        <v>462</v>
      </c>
      <c r="N19" s="234" t="s">
        <v>498</v>
      </c>
      <c r="O19" s="121"/>
      <c r="P19" s="121"/>
      <c r="Q19" s="121"/>
      <c r="R19" s="121"/>
      <c r="S19" s="121"/>
      <c r="T19" s="118" t="s">
        <v>450</v>
      </c>
      <c r="U19" s="118" t="s">
        <v>455</v>
      </c>
      <c r="V19" s="121"/>
      <c r="W19" s="237"/>
      <c r="X19" s="290"/>
      <c r="Y19" s="290"/>
      <c r="Z19" s="290"/>
      <c r="AA19" s="290"/>
      <c r="AB19" s="290"/>
      <c r="AC19" s="290"/>
      <c r="AD19" s="290"/>
      <c r="AE19" s="290"/>
      <c r="AF19" s="290"/>
      <c r="AG19" s="290"/>
      <c r="AH19" s="235">
        <v>11</v>
      </c>
      <c r="AI19" s="289">
        <v>32</v>
      </c>
      <c r="AJ19" s="289">
        <v>45</v>
      </c>
      <c r="AK19" s="121">
        <v>35</v>
      </c>
      <c r="AL19" s="121">
        <v>61</v>
      </c>
      <c r="AM19" s="121">
        <v>35</v>
      </c>
      <c r="AN19" s="121">
        <v>29</v>
      </c>
      <c r="AO19" s="121"/>
      <c r="AP19" s="121"/>
      <c r="AQ19" s="121"/>
      <c r="AR19" s="121"/>
      <c r="AS19" s="121"/>
      <c r="AT19" s="295">
        <f t="shared" si="1"/>
        <v>248</v>
      </c>
      <c r="AU19" s="122" t="e">
        <f t="shared" si="0"/>
        <v>#DIV/0!</v>
      </c>
      <c r="AV19" s="303" t="s">
        <v>563</v>
      </c>
      <c r="AW19" s="303" t="s">
        <v>564</v>
      </c>
      <c r="AX19" s="289"/>
      <c r="AY19" s="289"/>
    </row>
    <row r="20" spans="1:51" ht="63.75">
      <c r="A20" s="118"/>
      <c r="B20" s="118"/>
      <c r="C20" s="118"/>
      <c r="D20" s="118"/>
      <c r="E20" s="118">
        <v>4</v>
      </c>
      <c r="F20" s="118"/>
      <c r="G20" s="118"/>
      <c r="H20" s="118"/>
      <c r="I20" s="224" t="s">
        <v>465</v>
      </c>
      <c r="J20" s="225" t="s">
        <v>466</v>
      </c>
      <c r="K20" s="119" t="s">
        <v>445</v>
      </c>
      <c r="L20" s="121" t="s">
        <v>499</v>
      </c>
      <c r="M20" s="226" t="s">
        <v>462</v>
      </c>
      <c r="N20" s="234" t="s">
        <v>497</v>
      </c>
      <c r="O20" s="121"/>
      <c r="P20" s="121"/>
      <c r="Q20" s="121"/>
      <c r="R20" s="121"/>
      <c r="S20" s="121"/>
      <c r="T20" s="118" t="s">
        <v>450</v>
      </c>
      <c r="U20" s="118" t="s">
        <v>455</v>
      </c>
      <c r="V20" s="121"/>
      <c r="W20" s="237"/>
      <c r="X20" s="290"/>
      <c r="Y20" s="290"/>
      <c r="Z20" s="290"/>
      <c r="AA20" s="290"/>
      <c r="AB20" s="290"/>
      <c r="AC20" s="290"/>
      <c r="AD20" s="290"/>
      <c r="AE20" s="290"/>
      <c r="AF20" s="290"/>
      <c r="AG20" s="290"/>
      <c r="AH20" s="235">
        <v>1</v>
      </c>
      <c r="AI20" s="289">
        <v>3</v>
      </c>
      <c r="AJ20" s="289">
        <v>3</v>
      </c>
      <c r="AK20" s="121">
        <v>4</v>
      </c>
      <c r="AL20" s="121">
        <v>0</v>
      </c>
      <c r="AM20" s="121">
        <v>4</v>
      </c>
      <c r="AN20" s="121">
        <v>4</v>
      </c>
      <c r="AO20" s="121"/>
      <c r="AP20" s="121"/>
      <c r="AQ20" s="121"/>
      <c r="AR20" s="121"/>
      <c r="AS20" s="121"/>
      <c r="AT20" s="295">
        <f t="shared" si="1"/>
        <v>19</v>
      </c>
      <c r="AU20" s="122" t="e">
        <f t="shared" si="0"/>
        <v>#DIV/0!</v>
      </c>
      <c r="AV20" s="303" t="s">
        <v>544</v>
      </c>
      <c r="AW20" s="303" t="s">
        <v>562</v>
      </c>
      <c r="AX20" s="289"/>
      <c r="AY20" s="289"/>
    </row>
    <row r="21" spans="1:51" ht="76.5">
      <c r="A21" s="118"/>
      <c r="B21" s="118"/>
      <c r="C21" s="118"/>
      <c r="D21" s="118"/>
      <c r="E21" s="118">
        <v>5</v>
      </c>
      <c r="F21" s="118"/>
      <c r="G21" s="118"/>
      <c r="H21" s="118"/>
      <c r="I21" s="226" t="s">
        <v>482</v>
      </c>
      <c r="J21" s="226" t="s">
        <v>467</v>
      </c>
      <c r="K21" s="119" t="s">
        <v>445</v>
      </c>
      <c r="L21" s="121" t="s">
        <v>499</v>
      </c>
      <c r="M21" s="226" t="s">
        <v>468</v>
      </c>
      <c r="N21" s="234" t="s">
        <v>502</v>
      </c>
      <c r="O21" s="121"/>
      <c r="P21" s="121"/>
      <c r="Q21" s="121"/>
      <c r="R21" s="237"/>
      <c r="S21" s="121"/>
      <c r="T21" s="118" t="s">
        <v>450</v>
      </c>
      <c r="U21" s="118" t="s">
        <v>455</v>
      </c>
      <c r="V21" s="235"/>
      <c r="W21" s="237"/>
      <c r="X21" s="290"/>
      <c r="Y21" s="290"/>
      <c r="Z21" s="290"/>
      <c r="AA21" s="290"/>
      <c r="AB21" s="290"/>
      <c r="AC21" s="290"/>
      <c r="AD21" s="290"/>
      <c r="AE21" s="290"/>
      <c r="AF21" s="290"/>
      <c r="AG21" s="290"/>
      <c r="AH21" s="258">
        <v>14</v>
      </c>
      <c r="AI21" s="289">
        <v>26</v>
      </c>
      <c r="AJ21" s="289">
        <v>31</v>
      </c>
      <c r="AK21" s="121">
        <v>37</v>
      </c>
      <c r="AL21" s="289">
        <v>52</v>
      </c>
      <c r="AM21" s="121">
        <v>59</v>
      </c>
      <c r="AN21" s="121">
        <v>46</v>
      </c>
      <c r="AO21" s="121"/>
      <c r="AP21" s="121"/>
      <c r="AQ21" s="121"/>
      <c r="AR21" s="121"/>
      <c r="AS21" s="121"/>
      <c r="AT21" s="295">
        <f t="shared" si="1"/>
        <v>265</v>
      </c>
      <c r="AU21" s="122" t="e">
        <f>+AT21/R21</f>
        <v>#DIV/0!</v>
      </c>
      <c r="AV21" s="303" t="s">
        <v>573</v>
      </c>
      <c r="AW21" s="303" t="s">
        <v>574</v>
      </c>
      <c r="AX21" s="289"/>
      <c r="AY21" s="289"/>
    </row>
    <row r="22" spans="1:52" ht="115.5" customHeight="1">
      <c r="A22" s="118"/>
      <c r="B22" s="118"/>
      <c r="C22" s="118"/>
      <c r="D22" s="118"/>
      <c r="E22" s="118" t="s">
        <v>472</v>
      </c>
      <c r="F22" s="118"/>
      <c r="G22" s="118"/>
      <c r="H22" s="118"/>
      <c r="I22" s="226" t="s">
        <v>473</v>
      </c>
      <c r="J22" s="226" t="s">
        <v>484</v>
      </c>
      <c r="K22" s="119" t="s">
        <v>445</v>
      </c>
      <c r="L22" s="121" t="s">
        <v>499</v>
      </c>
      <c r="M22" s="226" t="s">
        <v>483</v>
      </c>
      <c r="N22" s="234" t="s">
        <v>503</v>
      </c>
      <c r="O22" s="121"/>
      <c r="P22" s="121"/>
      <c r="Q22" s="121"/>
      <c r="R22" s="237"/>
      <c r="S22" s="121"/>
      <c r="T22" s="118" t="s">
        <v>450</v>
      </c>
      <c r="U22" s="118" t="s">
        <v>455</v>
      </c>
      <c r="V22" s="121"/>
      <c r="W22" s="237"/>
      <c r="X22" s="290"/>
      <c r="Y22" s="290"/>
      <c r="Z22" s="290"/>
      <c r="AA22" s="290"/>
      <c r="AB22" s="290"/>
      <c r="AC22" s="290"/>
      <c r="AD22" s="290"/>
      <c r="AE22" s="290"/>
      <c r="AF22" s="290"/>
      <c r="AG22" s="290"/>
      <c r="AH22" s="258">
        <f>261+23</f>
        <v>284</v>
      </c>
      <c r="AI22" s="289">
        <f>178+143</f>
        <v>321</v>
      </c>
      <c r="AJ22" s="289">
        <f>286+243</f>
        <v>529</v>
      </c>
      <c r="AK22" s="121">
        <f>203+198</f>
        <v>401</v>
      </c>
      <c r="AL22" s="121">
        <f>332+209</f>
        <v>541</v>
      </c>
      <c r="AM22" s="289">
        <f>309+224</f>
        <v>533</v>
      </c>
      <c r="AN22" s="121">
        <v>488</v>
      </c>
      <c r="AO22" s="121"/>
      <c r="AP22" s="121"/>
      <c r="AQ22" s="121"/>
      <c r="AR22" s="121"/>
      <c r="AS22" s="121"/>
      <c r="AT22" s="295">
        <f t="shared" si="1"/>
        <v>3097</v>
      </c>
      <c r="AU22" s="122" t="e">
        <f t="shared" si="0"/>
        <v>#DIV/0!</v>
      </c>
      <c r="AV22" s="303" t="s">
        <v>561</v>
      </c>
      <c r="AW22" s="303" t="s">
        <v>572</v>
      </c>
      <c r="AX22" s="303"/>
      <c r="AY22" s="289"/>
      <c r="AZ22" s="318"/>
    </row>
    <row r="23" spans="1:51" ht="150.75" customHeight="1">
      <c r="A23" s="118"/>
      <c r="B23" s="118"/>
      <c r="C23" s="118"/>
      <c r="D23" s="118"/>
      <c r="E23" s="118">
        <v>8</v>
      </c>
      <c r="F23" s="118"/>
      <c r="G23" s="118"/>
      <c r="H23" s="118"/>
      <c r="I23" s="226" t="s">
        <v>469</v>
      </c>
      <c r="J23" s="226" t="s">
        <v>485</v>
      </c>
      <c r="K23" s="119" t="s">
        <v>445</v>
      </c>
      <c r="L23" s="121" t="s">
        <v>499</v>
      </c>
      <c r="M23" s="226" t="s">
        <v>471</v>
      </c>
      <c r="N23" s="234" t="s">
        <v>504</v>
      </c>
      <c r="O23" s="121"/>
      <c r="P23" s="121"/>
      <c r="Q23" s="121"/>
      <c r="R23" s="121"/>
      <c r="S23" s="121"/>
      <c r="T23" s="118" t="s">
        <v>450</v>
      </c>
      <c r="U23" s="118" t="s">
        <v>455</v>
      </c>
      <c r="V23" s="121"/>
      <c r="W23" s="237"/>
      <c r="X23" s="290"/>
      <c r="Y23" s="290"/>
      <c r="Z23" s="290"/>
      <c r="AA23" s="290"/>
      <c r="AB23" s="290"/>
      <c r="AC23" s="290"/>
      <c r="AD23" s="290"/>
      <c r="AE23" s="290"/>
      <c r="AF23" s="290"/>
      <c r="AG23" s="290"/>
      <c r="AH23" s="258">
        <v>0</v>
      </c>
      <c r="AI23" s="289">
        <v>34</v>
      </c>
      <c r="AJ23" s="289">
        <v>29</v>
      </c>
      <c r="AK23" s="121">
        <v>22</v>
      </c>
      <c r="AL23" s="121">
        <v>22</v>
      </c>
      <c r="AM23" s="121">
        <v>24</v>
      </c>
      <c r="AN23" s="121">
        <v>21</v>
      </c>
      <c r="AO23" s="121"/>
      <c r="AP23" s="121"/>
      <c r="AQ23" s="121"/>
      <c r="AR23" s="121"/>
      <c r="AS23" s="121"/>
      <c r="AT23" s="118">
        <f t="shared" si="1"/>
        <v>152</v>
      </c>
      <c r="AU23" s="122" t="e">
        <f t="shared" si="0"/>
        <v>#DIV/0!</v>
      </c>
      <c r="AV23" s="303" t="s">
        <v>559</v>
      </c>
      <c r="AW23" s="303" t="s">
        <v>566</v>
      </c>
      <c r="AX23" s="303"/>
      <c r="AY23" s="289"/>
    </row>
    <row r="24" spans="1:51" ht="102" customHeight="1">
      <c r="A24" s="118"/>
      <c r="B24" s="118"/>
      <c r="C24" s="118"/>
      <c r="D24" s="118"/>
      <c r="E24" s="118">
        <v>11</v>
      </c>
      <c r="F24" s="118"/>
      <c r="G24" s="118"/>
      <c r="H24" s="118"/>
      <c r="I24" s="226" t="s">
        <v>470</v>
      </c>
      <c r="J24" s="226" t="s">
        <v>487</v>
      </c>
      <c r="K24" s="119" t="s">
        <v>445</v>
      </c>
      <c r="L24" s="121" t="s">
        <v>499</v>
      </c>
      <c r="M24" s="226" t="s">
        <v>486</v>
      </c>
      <c r="N24" s="234" t="s">
        <v>505</v>
      </c>
      <c r="O24" s="121"/>
      <c r="P24" s="121"/>
      <c r="Q24" s="121"/>
      <c r="R24" s="121"/>
      <c r="S24" s="121"/>
      <c r="T24" s="118" t="s">
        <v>450</v>
      </c>
      <c r="U24" s="118" t="s">
        <v>455</v>
      </c>
      <c r="V24" s="121"/>
      <c r="W24" s="237"/>
      <c r="X24" s="289">
        <v>637</v>
      </c>
      <c r="Y24" s="290"/>
      <c r="Z24" s="290"/>
      <c r="AA24" s="290"/>
      <c r="AB24" s="290"/>
      <c r="AC24" s="290"/>
      <c r="AD24" s="290"/>
      <c r="AE24" s="290"/>
      <c r="AF24" s="290"/>
      <c r="AG24" s="290"/>
      <c r="AH24" s="258">
        <v>0</v>
      </c>
      <c r="AI24" s="289">
        <v>253</v>
      </c>
      <c r="AJ24" s="289">
        <v>637</v>
      </c>
      <c r="AK24" s="121">
        <v>663</v>
      </c>
      <c r="AL24" s="121">
        <v>900</v>
      </c>
      <c r="AM24" s="121">
        <v>918</v>
      </c>
      <c r="AN24" s="121">
        <v>882</v>
      </c>
      <c r="AO24" s="121"/>
      <c r="AP24" s="121"/>
      <c r="AQ24" s="121"/>
      <c r="AR24" s="121"/>
      <c r="AS24" s="121"/>
      <c r="AT24" s="118">
        <f t="shared" si="1"/>
        <v>4253</v>
      </c>
      <c r="AU24" s="122" t="e">
        <f t="shared" si="0"/>
        <v>#DIV/0!</v>
      </c>
      <c r="AV24" s="303" t="s">
        <v>560</v>
      </c>
      <c r="AW24" s="303" t="s">
        <v>558</v>
      </c>
      <c r="AX24" s="303"/>
      <c r="AY24" s="289"/>
    </row>
    <row r="25" spans="1:51" ht="180">
      <c r="A25" s="118"/>
      <c r="B25" s="118"/>
      <c r="C25" s="118"/>
      <c r="D25" s="118"/>
      <c r="E25" s="118"/>
      <c r="F25" s="118"/>
      <c r="G25" s="233" t="s">
        <v>202</v>
      </c>
      <c r="H25" s="118"/>
      <c r="I25" s="224" t="s">
        <v>500</v>
      </c>
      <c r="J25" s="228" t="s">
        <v>474</v>
      </c>
      <c r="K25" s="119"/>
      <c r="L25" s="236">
        <v>1</v>
      </c>
      <c r="M25" s="119" t="s">
        <v>506</v>
      </c>
      <c r="N25" s="238" t="s">
        <v>501</v>
      </c>
      <c r="O25" s="121"/>
      <c r="P25" s="121"/>
      <c r="Q25" s="121"/>
      <c r="R25" s="121"/>
      <c r="S25" s="121"/>
      <c r="T25" s="118" t="s">
        <v>509</v>
      </c>
      <c r="U25" s="118" t="s">
        <v>455</v>
      </c>
      <c r="V25" s="121"/>
      <c r="W25" s="237"/>
      <c r="X25" s="290">
        <v>1</v>
      </c>
      <c r="Y25" s="290"/>
      <c r="Z25" s="290"/>
      <c r="AA25" s="290">
        <v>1</v>
      </c>
      <c r="AB25" s="290"/>
      <c r="AC25" s="290"/>
      <c r="AD25" s="290">
        <v>1</v>
      </c>
      <c r="AE25" s="290"/>
      <c r="AF25" s="290"/>
      <c r="AG25" s="290">
        <v>1</v>
      </c>
      <c r="AH25" s="258"/>
      <c r="AI25" s="289"/>
      <c r="AJ25" s="290">
        <v>1</v>
      </c>
      <c r="AK25" s="121"/>
      <c r="AL25" s="121"/>
      <c r="AM25" s="290">
        <v>1</v>
      </c>
      <c r="AN25" s="121"/>
      <c r="AO25" s="121"/>
      <c r="AP25" s="121"/>
      <c r="AQ25" s="121"/>
      <c r="AR25" s="121"/>
      <c r="AS25" s="121"/>
      <c r="AT25" s="118" t="s">
        <v>499</v>
      </c>
      <c r="AU25" s="122"/>
      <c r="AV25" s="303" t="s">
        <v>557</v>
      </c>
      <c r="AW25" s="303" t="s">
        <v>545</v>
      </c>
      <c r="AX25" s="320"/>
      <c r="AY25" s="289"/>
    </row>
    <row r="26" spans="1:51" ht="300">
      <c r="A26" s="118"/>
      <c r="B26" s="118"/>
      <c r="C26" s="118"/>
      <c r="D26" s="118"/>
      <c r="E26" s="118"/>
      <c r="F26" s="118"/>
      <c r="G26" s="233" t="s">
        <v>202</v>
      </c>
      <c r="H26" s="118"/>
      <c r="I26" s="224" t="s">
        <v>475</v>
      </c>
      <c r="J26" s="225" t="s">
        <v>476</v>
      </c>
      <c r="K26" s="119"/>
      <c r="L26" s="236">
        <v>1</v>
      </c>
      <c r="M26" s="119" t="s">
        <v>491</v>
      </c>
      <c r="N26" s="239" t="s">
        <v>477</v>
      </c>
      <c r="O26" s="121"/>
      <c r="P26" s="121"/>
      <c r="Q26" s="121"/>
      <c r="R26" s="121"/>
      <c r="S26" s="121"/>
      <c r="T26" s="118" t="s">
        <v>509</v>
      </c>
      <c r="U26" s="119" t="s">
        <v>513</v>
      </c>
      <c r="V26" s="121"/>
      <c r="W26" s="121"/>
      <c r="X26" s="290">
        <v>1</v>
      </c>
      <c r="Y26" s="290"/>
      <c r="Z26" s="290"/>
      <c r="AA26" s="290">
        <v>1</v>
      </c>
      <c r="AB26" s="290"/>
      <c r="AC26" s="290"/>
      <c r="AD26" s="290">
        <v>1</v>
      </c>
      <c r="AE26" s="290"/>
      <c r="AF26" s="290"/>
      <c r="AG26" s="290">
        <v>1</v>
      </c>
      <c r="AH26" s="258"/>
      <c r="AI26" s="289"/>
      <c r="AJ26" s="290">
        <v>1</v>
      </c>
      <c r="AK26" s="121"/>
      <c r="AL26" s="121"/>
      <c r="AM26" s="237">
        <v>1</v>
      </c>
      <c r="AN26" s="121"/>
      <c r="AO26" s="121"/>
      <c r="AP26" s="121"/>
      <c r="AQ26" s="121"/>
      <c r="AR26" s="121"/>
      <c r="AS26" s="121"/>
      <c r="AT26" s="118" t="s">
        <v>499</v>
      </c>
      <c r="AU26" s="122"/>
      <c r="AV26" s="303" t="s">
        <v>557</v>
      </c>
      <c r="AW26" s="303" t="s">
        <v>548</v>
      </c>
      <c r="AX26" s="320"/>
      <c r="AY26" s="289"/>
    </row>
    <row r="27" spans="1:51" ht="120">
      <c r="A27" s="118"/>
      <c r="B27" s="118"/>
      <c r="C27" s="118"/>
      <c r="D27" s="118"/>
      <c r="E27" s="118"/>
      <c r="F27" s="118"/>
      <c r="G27" s="233" t="s">
        <v>202</v>
      </c>
      <c r="H27" s="118"/>
      <c r="I27" s="224" t="s">
        <v>518</v>
      </c>
      <c r="J27" s="225" t="s">
        <v>480</v>
      </c>
      <c r="K27" s="119"/>
      <c r="L27" s="236">
        <v>1</v>
      </c>
      <c r="M27" s="119" t="s">
        <v>491</v>
      </c>
      <c r="N27" s="238" t="s">
        <v>481</v>
      </c>
      <c r="O27" s="121"/>
      <c r="P27" s="121"/>
      <c r="Q27" s="121"/>
      <c r="R27" s="121"/>
      <c r="S27" s="121"/>
      <c r="T27" s="118" t="s">
        <v>509</v>
      </c>
      <c r="U27" s="119" t="s">
        <v>514</v>
      </c>
      <c r="V27" s="121"/>
      <c r="W27" s="121"/>
      <c r="X27" s="290">
        <v>1</v>
      </c>
      <c r="Y27" s="290"/>
      <c r="Z27" s="290"/>
      <c r="AA27" s="290">
        <v>1</v>
      </c>
      <c r="AB27" s="290"/>
      <c r="AC27" s="290"/>
      <c r="AD27" s="290">
        <v>1</v>
      </c>
      <c r="AE27" s="290"/>
      <c r="AF27" s="290"/>
      <c r="AG27" s="290">
        <v>1</v>
      </c>
      <c r="AH27" s="258"/>
      <c r="AI27" s="289"/>
      <c r="AJ27" s="290">
        <v>1</v>
      </c>
      <c r="AK27" s="121"/>
      <c r="AL27" s="121"/>
      <c r="AM27" s="237">
        <v>1</v>
      </c>
      <c r="AN27" s="121"/>
      <c r="AO27" s="121"/>
      <c r="AP27" s="121"/>
      <c r="AQ27" s="121"/>
      <c r="AR27" s="121"/>
      <c r="AS27" s="121"/>
      <c r="AT27" s="118" t="s">
        <v>499</v>
      </c>
      <c r="AU27" s="122"/>
      <c r="AV27" s="303" t="s">
        <v>557</v>
      </c>
      <c r="AW27" s="303" t="s">
        <v>551</v>
      </c>
      <c r="AX27" s="320"/>
      <c r="AY27" s="289"/>
    </row>
    <row r="28" spans="1:51" ht="105">
      <c r="A28" s="118"/>
      <c r="B28" s="118"/>
      <c r="C28" s="118"/>
      <c r="D28" s="118"/>
      <c r="E28" s="118"/>
      <c r="F28" s="118"/>
      <c r="G28" s="233" t="s">
        <v>202</v>
      </c>
      <c r="H28" s="118"/>
      <c r="I28" s="224" t="s">
        <v>489</v>
      </c>
      <c r="J28" s="225" t="s">
        <v>490</v>
      </c>
      <c r="K28" s="121"/>
      <c r="L28" s="236">
        <v>1</v>
      </c>
      <c r="M28" s="119" t="s">
        <v>507</v>
      </c>
      <c r="N28" s="238" t="s">
        <v>508</v>
      </c>
      <c r="O28" s="121"/>
      <c r="P28" s="121"/>
      <c r="Q28" s="121"/>
      <c r="R28" s="121"/>
      <c r="S28" s="121"/>
      <c r="T28" s="118" t="s">
        <v>509</v>
      </c>
      <c r="U28" s="118" t="s">
        <v>515</v>
      </c>
      <c r="V28" s="121"/>
      <c r="W28" s="121"/>
      <c r="X28" s="290">
        <v>0.1</v>
      </c>
      <c r="Y28" s="290"/>
      <c r="Z28" s="290"/>
      <c r="AA28" s="290">
        <v>0.3</v>
      </c>
      <c r="AB28" s="290"/>
      <c r="AC28" s="290"/>
      <c r="AD28" s="290">
        <v>0.6</v>
      </c>
      <c r="AE28" s="290"/>
      <c r="AF28" s="290"/>
      <c r="AG28" s="290">
        <v>1</v>
      </c>
      <c r="AH28" s="258"/>
      <c r="AI28" s="289"/>
      <c r="AJ28" s="290">
        <v>0.1</v>
      </c>
      <c r="AK28" s="121"/>
      <c r="AL28" s="121"/>
      <c r="AM28" s="237">
        <v>0.3</v>
      </c>
      <c r="AN28" s="121"/>
      <c r="AO28" s="121"/>
      <c r="AP28" s="121"/>
      <c r="AQ28" s="121"/>
      <c r="AR28" s="121"/>
      <c r="AS28" s="121"/>
      <c r="AT28" s="118" t="s">
        <v>499</v>
      </c>
      <c r="AU28" s="122"/>
      <c r="AV28" s="303" t="s">
        <v>557</v>
      </c>
      <c r="AW28" s="303" t="s">
        <v>546</v>
      </c>
      <c r="AX28" s="320"/>
      <c r="AY28" s="289"/>
    </row>
    <row r="29" spans="1:51" ht="195">
      <c r="A29" s="118"/>
      <c r="B29" s="118"/>
      <c r="C29" s="118"/>
      <c r="D29" s="118"/>
      <c r="E29" s="118"/>
      <c r="F29" s="118"/>
      <c r="G29" s="233" t="s">
        <v>202</v>
      </c>
      <c r="H29" s="118"/>
      <c r="I29" s="230" t="s">
        <v>519</v>
      </c>
      <c r="J29" s="224" t="s">
        <v>478</v>
      </c>
      <c r="K29" s="119"/>
      <c r="L29" s="236">
        <v>1</v>
      </c>
      <c r="M29" s="119" t="s">
        <v>491</v>
      </c>
      <c r="N29" s="238" t="s">
        <v>479</v>
      </c>
      <c r="O29" s="121"/>
      <c r="P29" s="121"/>
      <c r="Q29" s="121"/>
      <c r="R29" s="121"/>
      <c r="S29" s="121"/>
      <c r="T29" s="118" t="s">
        <v>510</v>
      </c>
      <c r="U29" s="118" t="s">
        <v>516</v>
      </c>
      <c r="V29" s="121"/>
      <c r="W29" s="121"/>
      <c r="X29" s="289"/>
      <c r="Y29" s="289"/>
      <c r="Z29" s="289"/>
      <c r="AA29" s="290">
        <v>1</v>
      </c>
      <c r="AB29" s="289"/>
      <c r="AC29" s="289"/>
      <c r="AD29" s="289"/>
      <c r="AE29" s="289"/>
      <c r="AF29" s="289"/>
      <c r="AG29" s="290">
        <v>1</v>
      </c>
      <c r="AH29" s="258"/>
      <c r="AI29" s="289"/>
      <c r="AJ29" s="290">
        <v>0.25</v>
      </c>
      <c r="AK29" s="121"/>
      <c r="AL29" s="121"/>
      <c r="AM29" s="237">
        <v>0.25</v>
      </c>
      <c r="AN29" s="121"/>
      <c r="AO29" s="121"/>
      <c r="AP29" s="121"/>
      <c r="AQ29" s="121"/>
      <c r="AR29" s="121"/>
      <c r="AS29" s="121"/>
      <c r="AT29" s="294">
        <v>0.25</v>
      </c>
      <c r="AU29" s="122"/>
      <c r="AV29" s="303" t="s">
        <v>556</v>
      </c>
      <c r="AW29" s="303" t="s">
        <v>547</v>
      </c>
      <c r="AX29" s="320"/>
      <c r="AY29" s="289"/>
    </row>
    <row r="30" spans="1:51" ht="15">
      <c r="A30" s="667" t="s">
        <v>294</v>
      </c>
      <c r="B30" s="668"/>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9"/>
    </row>
    <row r="31" spans="1:51" ht="42" customHeight="1">
      <c r="A31" s="666" t="s">
        <v>64</v>
      </c>
      <c r="B31" s="666"/>
      <c r="C31" s="666"/>
      <c r="D31" s="662" t="s">
        <v>66</v>
      </c>
      <c r="E31" s="662"/>
      <c r="F31" s="662"/>
      <c r="G31" s="662"/>
      <c r="H31" s="662"/>
      <c r="I31" s="662"/>
      <c r="J31" s="660" t="s">
        <v>300</v>
      </c>
      <c r="K31" s="660"/>
      <c r="L31" s="660"/>
      <c r="M31" s="660"/>
      <c r="N31" s="660"/>
      <c r="O31" s="660"/>
      <c r="P31" s="662" t="s">
        <v>66</v>
      </c>
      <c r="Q31" s="662"/>
      <c r="R31" s="662"/>
      <c r="S31" s="662"/>
      <c r="T31" s="662"/>
      <c r="U31" s="662"/>
      <c r="V31" s="662" t="s">
        <v>66</v>
      </c>
      <c r="W31" s="662"/>
      <c r="X31" s="662"/>
      <c r="Y31" s="662"/>
      <c r="Z31" s="662"/>
      <c r="AA31" s="662"/>
      <c r="AB31" s="662"/>
      <c r="AC31" s="662"/>
      <c r="AD31" s="662" t="s">
        <v>66</v>
      </c>
      <c r="AE31" s="662"/>
      <c r="AF31" s="662"/>
      <c r="AG31" s="662"/>
      <c r="AH31" s="662"/>
      <c r="AI31" s="662"/>
      <c r="AJ31" s="662"/>
      <c r="AK31" s="662"/>
      <c r="AL31" s="662"/>
      <c r="AM31" s="662"/>
      <c r="AN31" s="662"/>
      <c r="AO31" s="662"/>
      <c r="AP31" s="660" t="s">
        <v>318</v>
      </c>
      <c r="AQ31" s="660"/>
      <c r="AR31" s="660"/>
      <c r="AS31" s="660"/>
      <c r="AT31" s="662" t="s">
        <v>13</v>
      </c>
      <c r="AU31" s="662"/>
      <c r="AV31" s="662"/>
      <c r="AW31" s="662"/>
      <c r="AX31" s="662"/>
      <c r="AY31" s="662"/>
    </row>
    <row r="32" spans="1:51" ht="15">
      <c r="A32" s="666"/>
      <c r="B32" s="666"/>
      <c r="C32" s="666"/>
      <c r="D32" s="662" t="s">
        <v>591</v>
      </c>
      <c r="E32" s="662"/>
      <c r="F32" s="662"/>
      <c r="G32" s="662"/>
      <c r="H32" s="662"/>
      <c r="I32" s="662"/>
      <c r="J32" s="660"/>
      <c r="K32" s="660"/>
      <c r="L32" s="660"/>
      <c r="M32" s="660"/>
      <c r="N32" s="660"/>
      <c r="O32" s="660"/>
      <c r="P32" s="662" t="s">
        <v>520</v>
      </c>
      <c r="Q32" s="662"/>
      <c r="R32" s="662"/>
      <c r="S32" s="662"/>
      <c r="T32" s="662"/>
      <c r="U32" s="662"/>
      <c r="V32" s="662" t="s">
        <v>522</v>
      </c>
      <c r="W32" s="662"/>
      <c r="X32" s="662"/>
      <c r="Y32" s="662"/>
      <c r="Z32" s="662"/>
      <c r="AA32" s="662"/>
      <c r="AB32" s="662"/>
      <c r="AC32" s="662"/>
      <c r="AD32" s="662" t="s">
        <v>65</v>
      </c>
      <c r="AE32" s="662"/>
      <c r="AF32" s="662"/>
      <c r="AG32" s="662"/>
      <c r="AH32" s="662"/>
      <c r="AI32" s="662"/>
      <c r="AJ32" s="662"/>
      <c r="AK32" s="662"/>
      <c r="AL32" s="662"/>
      <c r="AM32" s="662"/>
      <c r="AN32" s="662"/>
      <c r="AO32" s="662"/>
      <c r="AP32" s="660"/>
      <c r="AQ32" s="660"/>
      <c r="AR32" s="660"/>
      <c r="AS32" s="660"/>
      <c r="AT32" s="662" t="s">
        <v>65</v>
      </c>
      <c r="AU32" s="662"/>
      <c r="AV32" s="662"/>
      <c r="AW32" s="662"/>
      <c r="AX32" s="662"/>
      <c r="AY32" s="662"/>
    </row>
    <row r="33" spans="1:51" ht="29.25" customHeight="1">
      <c r="A33" s="666"/>
      <c r="B33" s="666"/>
      <c r="C33" s="666"/>
      <c r="D33" s="662" t="s">
        <v>592</v>
      </c>
      <c r="E33" s="662"/>
      <c r="F33" s="662"/>
      <c r="G33" s="662"/>
      <c r="H33" s="662"/>
      <c r="I33" s="662"/>
      <c r="J33" s="660"/>
      <c r="K33" s="660"/>
      <c r="L33" s="660"/>
      <c r="M33" s="660"/>
      <c r="N33" s="660"/>
      <c r="O33" s="660"/>
      <c r="P33" s="662" t="s">
        <v>521</v>
      </c>
      <c r="Q33" s="662"/>
      <c r="R33" s="662"/>
      <c r="S33" s="662"/>
      <c r="T33" s="662"/>
      <c r="U33" s="662"/>
      <c r="V33" s="662" t="s">
        <v>523</v>
      </c>
      <c r="W33" s="662"/>
      <c r="X33" s="662"/>
      <c r="Y33" s="662"/>
      <c r="Z33" s="662"/>
      <c r="AA33" s="662"/>
      <c r="AB33" s="662"/>
      <c r="AC33" s="662"/>
      <c r="AD33" s="662" t="s">
        <v>297</v>
      </c>
      <c r="AE33" s="662"/>
      <c r="AF33" s="662"/>
      <c r="AG33" s="662"/>
      <c r="AH33" s="662"/>
      <c r="AI33" s="662"/>
      <c r="AJ33" s="662"/>
      <c r="AK33" s="662"/>
      <c r="AL33" s="662"/>
      <c r="AM33" s="662"/>
      <c r="AN33" s="662"/>
      <c r="AO33" s="662"/>
      <c r="AP33" s="660"/>
      <c r="AQ33" s="660"/>
      <c r="AR33" s="660"/>
      <c r="AS33" s="660"/>
      <c r="AT33" s="662" t="s">
        <v>75</v>
      </c>
      <c r="AU33" s="662"/>
      <c r="AV33" s="662"/>
      <c r="AW33" s="662"/>
      <c r="AX33" s="662"/>
      <c r="AY33" s="662"/>
    </row>
  </sheetData>
  <sheetProtection/>
  <mergeCells count="57">
    <mergeCell ref="AX1:AY1"/>
    <mergeCell ref="AX2:AY2"/>
    <mergeCell ref="AX3:AY3"/>
    <mergeCell ref="AX4:AY4"/>
    <mergeCell ref="A1:AW1"/>
    <mergeCell ref="V11:AG11"/>
    <mergeCell ref="A9:C9"/>
    <mergeCell ref="A2:AW2"/>
    <mergeCell ref="A3:AW4"/>
    <mergeCell ref="AT11:AU11"/>
    <mergeCell ref="D32:I32"/>
    <mergeCell ref="D33:I33"/>
    <mergeCell ref="AD31:AO31"/>
    <mergeCell ref="AD32:AO32"/>
    <mergeCell ref="AD33:AO33"/>
    <mergeCell ref="AH11:AS11"/>
    <mergeCell ref="P31:U31"/>
    <mergeCell ref="I11:I12"/>
    <mergeCell ref="J11:J12"/>
    <mergeCell ref="K11:K12"/>
    <mergeCell ref="U11:U12"/>
    <mergeCell ref="O11:S11"/>
    <mergeCell ref="T11:T12"/>
    <mergeCell ref="N11:N12"/>
    <mergeCell ref="A11:F11"/>
    <mergeCell ref="G11:H11"/>
    <mergeCell ref="M11:M12"/>
    <mergeCell ref="A31:C33"/>
    <mergeCell ref="J31:O33"/>
    <mergeCell ref="P32:U32"/>
    <mergeCell ref="P33:U33"/>
    <mergeCell ref="V31:AC31"/>
    <mergeCell ref="A30:AY30"/>
    <mergeCell ref="AT32:AY32"/>
    <mergeCell ref="AT31:AY31"/>
    <mergeCell ref="AT33:AY33"/>
    <mergeCell ref="D31:I31"/>
    <mergeCell ref="AP31:AS33"/>
    <mergeCell ref="AX5:AX12"/>
    <mergeCell ref="AY5:AY12"/>
    <mergeCell ref="H7:I7"/>
    <mergeCell ref="H8:I8"/>
    <mergeCell ref="V32:AC32"/>
    <mergeCell ref="V33:AC33"/>
    <mergeCell ref="AW5:AW12"/>
    <mergeCell ref="AH5:AU10"/>
    <mergeCell ref="K6:U8"/>
    <mergeCell ref="AV5:AV12"/>
    <mergeCell ref="A5:AG5"/>
    <mergeCell ref="A6:C8"/>
    <mergeCell ref="D6:E8"/>
    <mergeCell ref="F6:G8"/>
    <mergeCell ref="H6:I6"/>
    <mergeCell ref="A10:C10"/>
    <mergeCell ref="D9:AG9"/>
    <mergeCell ref="D10:AG10"/>
    <mergeCell ref="L11:L12"/>
  </mergeCells>
  <dataValidations count="1">
    <dataValidation type="textLength" operator="lessThanOrEqual" allowBlank="1" showInputMessage="1" showErrorMessage="1" errorTitle="Máximo 2.000 caracteres" error="Máximo 2.000 caracteres" sqref="AZ21:AZ22">
      <formula1>2000</formula1>
    </dataValidation>
  </dataValidations>
  <printOptions/>
  <pageMargins left="0.75" right="0.75" top="1" bottom="1" header="0.3" footer="0.3"/>
  <pageSetup fitToHeight="1" fitToWidth="1" horizontalDpi="600" verticalDpi="600" orientation="landscape" scale="17"/>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80" zoomScaleNormal="80" zoomScalePageLayoutView="0" workbookViewId="0" topLeftCell="A1">
      <selection activeCell="BH32" sqref="BH32:BK32"/>
    </sheetView>
  </sheetViews>
  <sheetFormatPr defaultColWidth="19.421875" defaultRowHeight="15"/>
  <cols>
    <col min="1" max="1" width="29.421875" style="113" bestFit="1" customWidth="1"/>
    <col min="2" max="17" width="11.00390625" style="113" hidden="1" customWidth="1"/>
    <col min="18" max="19" width="12.140625" style="113" hidden="1" customWidth="1"/>
    <col min="20" max="23" width="8.140625" style="113" hidden="1" customWidth="1"/>
    <col min="24" max="24" width="9.421875" style="113" hidden="1" customWidth="1"/>
    <col min="25" max="25" width="8.140625" style="113" hidden="1" customWidth="1"/>
    <col min="26" max="30" width="7.8515625" style="113" hidden="1" customWidth="1"/>
    <col min="31" max="31" width="11.28125" style="113" hidden="1" customWidth="1"/>
    <col min="32" max="32" width="2.28125" style="113" hidden="1" customWidth="1"/>
    <col min="33" max="33" width="19.421875" style="113" hidden="1" customWidth="1"/>
    <col min="34" max="37" width="11.28125" style="113" hidden="1" customWidth="1"/>
    <col min="38" max="40" width="11.28125" style="113" customWidth="1"/>
    <col min="41" max="41" width="11.28125" style="113" hidden="1" customWidth="1"/>
    <col min="42" max="51" width="11.28125" style="113" customWidth="1"/>
    <col min="52" max="63" width="8.8515625" style="113" customWidth="1"/>
    <col min="64" max="16384" width="19.421875" style="113" customWidth="1"/>
  </cols>
  <sheetData>
    <row r="1" spans="1:63" ht="15.75" customHeight="1">
      <c r="A1" s="691" t="s">
        <v>16</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8" t="s">
        <v>18</v>
      </c>
      <c r="BJ1" s="698"/>
      <c r="BK1" s="698"/>
    </row>
    <row r="2" spans="1:63" ht="15.75" customHeight="1">
      <c r="A2" s="691" t="s">
        <v>17</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8" t="s">
        <v>413</v>
      </c>
      <c r="BJ2" s="698"/>
      <c r="BK2" s="698"/>
    </row>
    <row r="3" spans="1:63" ht="25.5" customHeight="1">
      <c r="A3" s="691" t="s">
        <v>187</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c r="AW3" s="691"/>
      <c r="AX3" s="691"/>
      <c r="AY3" s="691"/>
      <c r="AZ3" s="691"/>
      <c r="BA3" s="691"/>
      <c r="BB3" s="691"/>
      <c r="BC3" s="691"/>
      <c r="BD3" s="691"/>
      <c r="BE3" s="691"/>
      <c r="BF3" s="691"/>
      <c r="BG3" s="691"/>
      <c r="BH3" s="691"/>
      <c r="BI3" s="698" t="s">
        <v>419</v>
      </c>
      <c r="BJ3" s="698"/>
      <c r="BK3" s="698"/>
    </row>
    <row r="4" spans="1:63" ht="15.75" customHeight="1">
      <c r="A4" s="691" t="s">
        <v>172</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2" t="s">
        <v>183</v>
      </c>
      <c r="BJ4" s="693"/>
      <c r="BK4" s="694"/>
    </row>
    <row r="5" spans="1:63" ht="25.5" customHeight="1">
      <c r="A5" s="695" t="s">
        <v>319</v>
      </c>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G5" s="695" t="s">
        <v>320</v>
      </c>
      <c r="AH5" s="695"/>
      <c r="AI5" s="695"/>
      <c r="AJ5" s="695"/>
      <c r="AK5" s="695"/>
      <c r="AL5" s="695"/>
      <c r="AM5" s="695"/>
      <c r="AN5" s="695"/>
      <c r="AO5" s="695"/>
      <c r="AP5" s="695"/>
      <c r="AQ5" s="695"/>
      <c r="AR5" s="695"/>
      <c r="AS5" s="695"/>
      <c r="AT5" s="695"/>
      <c r="AU5" s="695"/>
      <c r="AV5" s="695"/>
      <c r="AW5" s="695"/>
      <c r="AX5" s="695"/>
      <c r="AY5" s="695"/>
      <c r="AZ5" s="695"/>
      <c r="BA5" s="695"/>
      <c r="BB5" s="695"/>
      <c r="BC5" s="695"/>
      <c r="BD5" s="695"/>
      <c r="BE5" s="695"/>
      <c r="BF5" s="695"/>
      <c r="BG5" s="695"/>
      <c r="BH5" s="695"/>
      <c r="BI5" s="696"/>
      <c r="BJ5" s="696"/>
      <c r="BK5" s="696"/>
    </row>
    <row r="6" spans="1:63" ht="31.5" customHeight="1">
      <c r="A6" s="163" t="s">
        <v>290</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row>
    <row r="7" spans="1:63" ht="31.5" customHeight="1">
      <c r="A7" s="164" t="s">
        <v>177</v>
      </c>
      <c r="B7" s="688"/>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89"/>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34" t="s">
        <v>90</v>
      </c>
      <c r="B9" s="306" t="s">
        <v>39</v>
      </c>
      <c r="C9" s="306" t="s">
        <v>40</v>
      </c>
      <c r="D9" s="688" t="s">
        <v>41</v>
      </c>
      <c r="E9" s="689"/>
      <c r="F9" s="306" t="s">
        <v>42</v>
      </c>
      <c r="G9" s="306" t="s">
        <v>43</v>
      </c>
      <c r="H9" s="688" t="s">
        <v>44</v>
      </c>
      <c r="I9" s="689"/>
      <c r="J9" s="306" t="s">
        <v>45</v>
      </c>
      <c r="K9" s="306" t="s">
        <v>46</v>
      </c>
      <c r="L9" s="688" t="s">
        <v>47</v>
      </c>
      <c r="M9" s="689"/>
      <c r="N9" s="306" t="s">
        <v>48</v>
      </c>
      <c r="O9" s="306" t="s">
        <v>49</v>
      </c>
      <c r="P9" s="688" t="s">
        <v>50</v>
      </c>
      <c r="Q9" s="689"/>
      <c r="R9" s="688" t="s">
        <v>91</v>
      </c>
      <c r="S9" s="689"/>
      <c r="T9" s="688" t="s">
        <v>289</v>
      </c>
      <c r="U9" s="690"/>
      <c r="V9" s="690"/>
      <c r="W9" s="690"/>
      <c r="X9" s="690"/>
      <c r="Y9" s="689"/>
      <c r="Z9" s="688" t="s">
        <v>288</v>
      </c>
      <c r="AA9" s="690"/>
      <c r="AB9" s="690"/>
      <c r="AC9" s="690"/>
      <c r="AD9" s="690"/>
      <c r="AE9" s="689"/>
      <c r="AG9" s="634" t="s">
        <v>90</v>
      </c>
      <c r="AH9" s="306" t="s">
        <v>39</v>
      </c>
      <c r="AI9" s="306" t="s">
        <v>40</v>
      </c>
      <c r="AJ9" s="688" t="s">
        <v>41</v>
      </c>
      <c r="AK9" s="689"/>
      <c r="AL9" s="306" t="s">
        <v>42</v>
      </c>
      <c r="AM9" s="306" t="s">
        <v>43</v>
      </c>
      <c r="AN9" s="688" t="s">
        <v>44</v>
      </c>
      <c r="AO9" s="689"/>
      <c r="AP9" s="306" t="s">
        <v>45</v>
      </c>
      <c r="AQ9" s="306" t="s">
        <v>46</v>
      </c>
      <c r="AR9" s="688" t="s">
        <v>47</v>
      </c>
      <c r="AS9" s="689"/>
      <c r="AT9" s="306" t="s">
        <v>48</v>
      </c>
      <c r="AU9" s="306" t="s">
        <v>49</v>
      </c>
      <c r="AV9" s="688" t="s">
        <v>50</v>
      </c>
      <c r="AW9" s="689"/>
      <c r="AX9" s="688" t="s">
        <v>91</v>
      </c>
      <c r="AY9" s="689"/>
      <c r="AZ9" s="688" t="s">
        <v>289</v>
      </c>
      <c r="BA9" s="690"/>
      <c r="BB9" s="690"/>
      <c r="BC9" s="690"/>
      <c r="BD9" s="690"/>
      <c r="BE9" s="689"/>
      <c r="BF9" s="688" t="s">
        <v>288</v>
      </c>
      <c r="BG9" s="690"/>
      <c r="BH9" s="690"/>
      <c r="BI9" s="690"/>
      <c r="BJ9" s="690"/>
      <c r="BK9" s="689"/>
    </row>
    <row r="10" spans="1:63" ht="36" customHeight="1">
      <c r="A10" s="636"/>
      <c r="B10" s="305" t="s">
        <v>372</v>
      </c>
      <c r="C10" s="305" t="s">
        <v>372</v>
      </c>
      <c r="D10" s="305" t="s">
        <v>372</v>
      </c>
      <c r="E10" s="305" t="s">
        <v>373</v>
      </c>
      <c r="F10" s="305" t="s">
        <v>372</v>
      </c>
      <c r="G10" s="305" t="s">
        <v>372</v>
      </c>
      <c r="H10" s="305" t="s">
        <v>372</v>
      </c>
      <c r="I10" s="305" t="s">
        <v>373</v>
      </c>
      <c r="J10" s="305" t="s">
        <v>372</v>
      </c>
      <c r="K10" s="305" t="s">
        <v>372</v>
      </c>
      <c r="L10" s="305" t="s">
        <v>372</v>
      </c>
      <c r="M10" s="305" t="s">
        <v>373</v>
      </c>
      <c r="N10" s="305" t="s">
        <v>372</v>
      </c>
      <c r="O10" s="305" t="s">
        <v>372</v>
      </c>
      <c r="P10" s="305" t="s">
        <v>372</v>
      </c>
      <c r="Q10" s="305" t="s">
        <v>373</v>
      </c>
      <c r="R10" s="305" t="s">
        <v>372</v>
      </c>
      <c r="S10" s="305" t="s">
        <v>373</v>
      </c>
      <c r="T10" s="198" t="s">
        <v>393</v>
      </c>
      <c r="U10" s="198" t="s">
        <v>394</v>
      </c>
      <c r="V10" s="198" t="s">
        <v>395</v>
      </c>
      <c r="W10" s="198" t="s">
        <v>305</v>
      </c>
      <c r="X10" s="199" t="s">
        <v>396</v>
      </c>
      <c r="Y10" s="198" t="s">
        <v>304</v>
      </c>
      <c r="Z10" s="305" t="s">
        <v>387</v>
      </c>
      <c r="AA10" s="157" t="s">
        <v>388</v>
      </c>
      <c r="AB10" s="305" t="s">
        <v>389</v>
      </c>
      <c r="AC10" s="305" t="s">
        <v>390</v>
      </c>
      <c r="AD10" s="305" t="s">
        <v>391</v>
      </c>
      <c r="AE10" s="305" t="s">
        <v>392</v>
      </c>
      <c r="AG10" s="636"/>
      <c r="AH10" s="305" t="s">
        <v>372</v>
      </c>
      <c r="AI10" s="305" t="s">
        <v>372</v>
      </c>
      <c r="AJ10" s="305" t="s">
        <v>372</v>
      </c>
      <c r="AK10" s="305" t="s">
        <v>373</v>
      </c>
      <c r="AL10" s="305" t="s">
        <v>372</v>
      </c>
      <c r="AM10" s="305" t="s">
        <v>372</v>
      </c>
      <c r="AN10" s="305" t="s">
        <v>372</v>
      </c>
      <c r="AO10" s="305" t="s">
        <v>373</v>
      </c>
      <c r="AP10" s="305" t="s">
        <v>372</v>
      </c>
      <c r="AQ10" s="305" t="s">
        <v>372</v>
      </c>
      <c r="AR10" s="305" t="s">
        <v>372</v>
      </c>
      <c r="AS10" s="305" t="s">
        <v>373</v>
      </c>
      <c r="AT10" s="305" t="s">
        <v>372</v>
      </c>
      <c r="AU10" s="305" t="s">
        <v>372</v>
      </c>
      <c r="AV10" s="305" t="s">
        <v>372</v>
      </c>
      <c r="AW10" s="305" t="s">
        <v>373</v>
      </c>
      <c r="AX10" s="305" t="s">
        <v>372</v>
      </c>
      <c r="AY10" s="305" t="s">
        <v>373</v>
      </c>
      <c r="AZ10" s="198" t="s">
        <v>393</v>
      </c>
      <c r="BA10" s="198" t="s">
        <v>394</v>
      </c>
      <c r="BB10" s="198" t="s">
        <v>395</v>
      </c>
      <c r="BC10" s="198" t="s">
        <v>305</v>
      </c>
      <c r="BD10" s="199" t="s">
        <v>396</v>
      </c>
      <c r="BE10" s="198" t="s">
        <v>304</v>
      </c>
      <c r="BF10" s="196" t="s">
        <v>387</v>
      </c>
      <c r="BG10" s="197" t="s">
        <v>388</v>
      </c>
      <c r="BH10" s="196" t="s">
        <v>389</v>
      </c>
      <c r="BI10" s="196" t="s">
        <v>390</v>
      </c>
      <c r="BJ10" s="196" t="s">
        <v>391</v>
      </c>
      <c r="BK10" s="196" t="s">
        <v>392</v>
      </c>
    </row>
    <row r="11" spans="1:63" ht="15">
      <c r="A11" s="158" t="s">
        <v>92</v>
      </c>
      <c r="B11" s="158"/>
      <c r="C11" s="158"/>
      <c r="D11" s="158"/>
      <c r="E11" s="209"/>
      <c r="F11" s="158"/>
      <c r="G11" s="158"/>
      <c r="H11" s="158"/>
      <c r="I11" s="209"/>
      <c r="J11" s="158"/>
      <c r="K11" s="158"/>
      <c r="L11" s="158"/>
      <c r="M11" s="209"/>
      <c r="N11" s="158"/>
      <c r="O11" s="158"/>
      <c r="P11" s="158"/>
      <c r="Q11" s="209"/>
      <c r="R11" s="201">
        <f aca="true" t="shared" si="0" ref="R11:R31">B11+C11+D11+F11+G11+H11+J11+K11+L11+N11+O11+P11</f>
        <v>0</v>
      </c>
      <c r="S11" s="165">
        <f aca="true" t="shared" si="1" ref="S11:S31">+E11+I11+M11+Q11</f>
        <v>0</v>
      </c>
      <c r="T11" s="200"/>
      <c r="U11" s="200"/>
      <c r="V11" s="200"/>
      <c r="W11" s="200"/>
      <c r="X11" s="200"/>
      <c r="Y11" s="160"/>
      <c r="Z11" s="160"/>
      <c r="AA11" s="160"/>
      <c r="AB11" s="160"/>
      <c r="AC11" s="160"/>
      <c r="AD11" s="160"/>
      <c r="AE11" s="161"/>
      <c r="AG11" s="158" t="s">
        <v>92</v>
      </c>
      <c r="AH11" s="256">
        <v>2</v>
      </c>
      <c r="AI11" s="256">
        <v>12</v>
      </c>
      <c r="AJ11" s="158">
        <v>29</v>
      </c>
      <c r="AK11" s="209"/>
      <c r="AL11" s="158">
        <v>18</v>
      </c>
      <c r="AM11" s="158">
        <v>20</v>
      </c>
      <c r="AN11" s="158">
        <v>14</v>
      </c>
      <c r="AO11" s="209"/>
      <c r="AP11" s="158">
        <v>17</v>
      </c>
      <c r="AQ11" s="158"/>
      <c r="AR11" s="158"/>
      <c r="AS11" s="209"/>
      <c r="AT11" s="158"/>
      <c r="AU11" s="158"/>
      <c r="AV11" s="158"/>
      <c r="AW11" s="209"/>
      <c r="AX11" s="201">
        <f aca="true" t="shared" si="2" ref="AX11:AX31">AH11+AI11+AJ11+AL11+AM11+AN11+AP11+AQ11+AR11+AT11+AU11+AV11</f>
        <v>112</v>
      </c>
      <c r="AY11" s="165">
        <f aca="true" t="shared" si="3" ref="AY11:AY31">+AK11+AO11+AS11+AW11</f>
        <v>0</v>
      </c>
      <c r="AZ11" s="256">
        <v>4</v>
      </c>
      <c r="BA11" s="256"/>
      <c r="BB11" s="256">
        <v>1</v>
      </c>
      <c r="BC11" s="256">
        <v>1</v>
      </c>
      <c r="BD11" s="256">
        <v>3</v>
      </c>
      <c r="BE11" s="256">
        <v>1</v>
      </c>
      <c r="BF11" s="256"/>
      <c r="BG11" s="256"/>
      <c r="BH11" s="256">
        <v>31</v>
      </c>
      <c r="BI11" s="256">
        <v>69</v>
      </c>
      <c r="BJ11" s="256">
        <v>5</v>
      </c>
      <c r="BK11" s="256"/>
    </row>
    <row r="12" spans="1:63" ht="15">
      <c r="A12" s="158" t="s">
        <v>93</v>
      </c>
      <c r="B12" s="158"/>
      <c r="C12" s="158"/>
      <c r="D12" s="158"/>
      <c r="E12" s="209"/>
      <c r="F12" s="158"/>
      <c r="G12" s="158"/>
      <c r="H12" s="158"/>
      <c r="I12" s="209"/>
      <c r="J12" s="158"/>
      <c r="K12" s="158"/>
      <c r="L12" s="158"/>
      <c r="M12" s="209"/>
      <c r="N12" s="158"/>
      <c r="O12" s="158"/>
      <c r="P12" s="158"/>
      <c r="Q12" s="209"/>
      <c r="R12" s="201">
        <f t="shared" si="0"/>
        <v>0</v>
      </c>
      <c r="S12" s="165">
        <f t="shared" si="1"/>
        <v>0</v>
      </c>
      <c r="T12" s="200"/>
      <c r="U12" s="200"/>
      <c r="V12" s="200"/>
      <c r="W12" s="200"/>
      <c r="X12" s="200"/>
      <c r="Y12" s="160"/>
      <c r="Z12" s="160"/>
      <c r="AA12" s="160"/>
      <c r="AB12" s="160"/>
      <c r="AC12" s="160"/>
      <c r="AD12" s="160"/>
      <c r="AE12" s="160"/>
      <c r="AG12" s="158" t="s">
        <v>93</v>
      </c>
      <c r="AH12" s="256"/>
      <c r="AI12" s="256">
        <v>21</v>
      </c>
      <c r="AJ12" s="158">
        <f>54-21</f>
        <v>33</v>
      </c>
      <c r="AK12" s="209"/>
      <c r="AL12" s="158">
        <v>33</v>
      </c>
      <c r="AM12" s="158">
        <v>50</v>
      </c>
      <c r="AN12" s="158">
        <v>29</v>
      </c>
      <c r="AO12" s="209"/>
      <c r="AP12" s="158">
        <v>40</v>
      </c>
      <c r="AQ12" s="158"/>
      <c r="AR12" s="158"/>
      <c r="AS12" s="209"/>
      <c r="AT12" s="158"/>
      <c r="AU12" s="158"/>
      <c r="AV12" s="158"/>
      <c r="AW12" s="209"/>
      <c r="AX12" s="201">
        <f t="shared" si="2"/>
        <v>206</v>
      </c>
      <c r="AY12" s="165">
        <f t="shared" si="3"/>
        <v>0</v>
      </c>
      <c r="AZ12" s="256">
        <v>1</v>
      </c>
      <c r="BA12" s="256">
        <v>1</v>
      </c>
      <c r="BB12" s="121"/>
      <c r="BC12" s="256">
        <v>2</v>
      </c>
      <c r="BD12" s="256">
        <v>3</v>
      </c>
      <c r="BE12" s="256">
        <v>7</v>
      </c>
      <c r="BF12" s="256"/>
      <c r="BG12" s="256"/>
      <c r="BH12" s="256">
        <v>47</v>
      </c>
      <c r="BI12" s="256">
        <v>139</v>
      </c>
      <c r="BJ12" s="256">
        <v>19</v>
      </c>
      <c r="BK12" s="257">
        <v>3</v>
      </c>
    </row>
    <row r="13" spans="1:63" ht="15">
      <c r="A13" s="158" t="s">
        <v>94</v>
      </c>
      <c r="B13" s="158"/>
      <c r="C13" s="158"/>
      <c r="D13" s="158"/>
      <c r="E13" s="209"/>
      <c r="F13" s="158"/>
      <c r="G13" s="158"/>
      <c r="H13" s="158"/>
      <c r="I13" s="209"/>
      <c r="J13" s="158"/>
      <c r="K13" s="158"/>
      <c r="L13" s="158"/>
      <c r="M13" s="209"/>
      <c r="N13" s="158"/>
      <c r="O13" s="158"/>
      <c r="P13" s="158"/>
      <c r="Q13" s="209"/>
      <c r="R13" s="201">
        <f t="shared" si="0"/>
        <v>0</v>
      </c>
      <c r="S13" s="165">
        <f t="shared" si="1"/>
        <v>0</v>
      </c>
      <c r="T13" s="200"/>
      <c r="U13" s="200"/>
      <c r="V13" s="200"/>
      <c r="W13" s="200"/>
      <c r="X13" s="200"/>
      <c r="Y13" s="160"/>
      <c r="Z13" s="160"/>
      <c r="AA13" s="160"/>
      <c r="AB13" s="160"/>
      <c r="AC13" s="160"/>
      <c r="AD13" s="160"/>
      <c r="AE13" s="160"/>
      <c r="AG13" s="158" t="s">
        <v>94</v>
      </c>
      <c r="AH13" s="256">
        <v>2</v>
      </c>
      <c r="AI13" s="256">
        <v>11</v>
      </c>
      <c r="AJ13" s="158">
        <f>29-13</f>
        <v>16</v>
      </c>
      <c r="AK13" s="209"/>
      <c r="AL13" s="158">
        <v>13</v>
      </c>
      <c r="AM13" s="158">
        <v>30</v>
      </c>
      <c r="AN13" s="158">
        <v>24</v>
      </c>
      <c r="AO13" s="209"/>
      <c r="AP13" s="158">
        <v>23</v>
      </c>
      <c r="AQ13" s="158"/>
      <c r="AR13" s="158"/>
      <c r="AS13" s="209"/>
      <c r="AT13" s="158"/>
      <c r="AU13" s="158"/>
      <c r="AV13" s="158"/>
      <c r="AW13" s="209"/>
      <c r="AX13" s="201">
        <f t="shared" si="2"/>
        <v>119</v>
      </c>
      <c r="AY13" s="165">
        <f t="shared" si="3"/>
        <v>0</v>
      </c>
      <c r="AZ13" s="256">
        <v>1</v>
      </c>
      <c r="BA13" s="256"/>
      <c r="BB13" s="121"/>
      <c r="BC13" s="256"/>
      <c r="BD13" s="256"/>
      <c r="BE13" s="256">
        <v>3</v>
      </c>
      <c r="BF13" s="256"/>
      <c r="BG13" s="256"/>
      <c r="BH13" s="256">
        <v>20</v>
      </c>
      <c r="BI13" s="256">
        <v>83</v>
      </c>
      <c r="BJ13" s="256">
        <v>16</v>
      </c>
      <c r="BK13" s="256"/>
    </row>
    <row r="14" spans="1:63" ht="15">
      <c r="A14" s="158" t="s">
        <v>95</v>
      </c>
      <c r="B14" s="158"/>
      <c r="C14" s="158"/>
      <c r="D14" s="158"/>
      <c r="E14" s="209"/>
      <c r="F14" s="158"/>
      <c r="G14" s="158"/>
      <c r="H14" s="158"/>
      <c r="I14" s="209"/>
      <c r="J14" s="158"/>
      <c r="K14" s="158"/>
      <c r="L14" s="158"/>
      <c r="M14" s="209"/>
      <c r="N14" s="158"/>
      <c r="O14" s="158"/>
      <c r="P14" s="158"/>
      <c r="Q14" s="209"/>
      <c r="R14" s="201">
        <f t="shared" si="0"/>
        <v>0</v>
      </c>
      <c r="S14" s="165">
        <f t="shared" si="1"/>
        <v>0</v>
      </c>
      <c r="T14" s="200"/>
      <c r="U14" s="200"/>
      <c r="V14" s="200"/>
      <c r="W14" s="200"/>
      <c r="X14" s="200"/>
      <c r="Y14" s="160"/>
      <c r="Z14" s="160"/>
      <c r="AA14" s="160"/>
      <c r="AB14" s="160"/>
      <c r="AC14" s="160"/>
      <c r="AD14" s="160"/>
      <c r="AE14" s="160"/>
      <c r="AG14" s="158" t="s">
        <v>95</v>
      </c>
      <c r="AH14" s="256"/>
      <c r="AI14" s="256">
        <v>3</v>
      </c>
      <c r="AJ14" s="158">
        <v>10</v>
      </c>
      <c r="AK14" s="209"/>
      <c r="AL14" s="158">
        <v>6</v>
      </c>
      <c r="AM14" s="158">
        <v>8</v>
      </c>
      <c r="AN14" s="158">
        <v>10</v>
      </c>
      <c r="AO14" s="209"/>
      <c r="AP14" s="158">
        <v>4</v>
      </c>
      <c r="AQ14" s="158"/>
      <c r="AR14" s="158"/>
      <c r="AS14" s="209"/>
      <c r="AT14" s="158"/>
      <c r="AU14" s="158"/>
      <c r="AV14" s="158"/>
      <c r="AW14" s="209"/>
      <c r="AX14" s="201">
        <f t="shared" si="2"/>
        <v>41</v>
      </c>
      <c r="AY14" s="165">
        <f t="shared" si="3"/>
        <v>0</v>
      </c>
      <c r="AZ14" s="256"/>
      <c r="BA14" s="256">
        <v>1</v>
      </c>
      <c r="BB14" s="121"/>
      <c r="BC14" s="256"/>
      <c r="BD14" s="256">
        <v>3</v>
      </c>
      <c r="BE14" s="256">
        <v>1</v>
      </c>
      <c r="BF14" s="256"/>
      <c r="BG14" s="256"/>
      <c r="BH14" s="256">
        <v>14</v>
      </c>
      <c r="BI14" s="256">
        <v>20</v>
      </c>
      <c r="BJ14" s="256">
        <v>6</v>
      </c>
      <c r="BK14" s="256">
        <v>1</v>
      </c>
    </row>
    <row r="15" spans="1:63" ht="15">
      <c r="A15" s="158" t="s">
        <v>96</v>
      </c>
      <c r="B15" s="158"/>
      <c r="C15" s="158"/>
      <c r="D15" s="158"/>
      <c r="E15" s="209"/>
      <c r="F15" s="158"/>
      <c r="G15" s="158"/>
      <c r="H15" s="158"/>
      <c r="I15" s="209"/>
      <c r="J15" s="158"/>
      <c r="K15" s="158"/>
      <c r="L15" s="158"/>
      <c r="M15" s="209"/>
      <c r="N15" s="158"/>
      <c r="O15" s="158"/>
      <c r="P15" s="158"/>
      <c r="Q15" s="209"/>
      <c r="R15" s="201">
        <f t="shared" si="0"/>
        <v>0</v>
      </c>
      <c r="S15" s="165">
        <f t="shared" si="1"/>
        <v>0</v>
      </c>
      <c r="T15" s="200"/>
      <c r="U15" s="200"/>
      <c r="V15" s="200"/>
      <c r="W15" s="200"/>
      <c r="X15" s="200"/>
      <c r="Y15" s="160"/>
      <c r="Z15" s="160"/>
      <c r="AA15" s="160"/>
      <c r="AB15" s="160"/>
      <c r="AC15" s="160"/>
      <c r="AD15" s="160"/>
      <c r="AE15" s="160"/>
      <c r="AG15" s="158" t="s">
        <v>96</v>
      </c>
      <c r="AH15" s="256">
        <v>42</v>
      </c>
      <c r="AI15" s="256">
        <v>90</v>
      </c>
      <c r="AJ15" s="158">
        <f>267-132</f>
        <v>135</v>
      </c>
      <c r="AK15" s="209"/>
      <c r="AL15" s="158">
        <v>101</v>
      </c>
      <c r="AM15" s="158">
        <v>128</v>
      </c>
      <c r="AN15" s="158">
        <v>131</v>
      </c>
      <c r="AO15" s="209"/>
      <c r="AP15" s="158">
        <v>105</v>
      </c>
      <c r="AQ15" s="158"/>
      <c r="AR15" s="158"/>
      <c r="AS15" s="209"/>
      <c r="AT15" s="158"/>
      <c r="AU15" s="158"/>
      <c r="AV15" s="158"/>
      <c r="AW15" s="209"/>
      <c r="AX15" s="201">
        <f t="shared" si="2"/>
        <v>732</v>
      </c>
      <c r="AY15" s="165">
        <f t="shared" si="3"/>
        <v>0</v>
      </c>
      <c r="AZ15" s="256">
        <v>5</v>
      </c>
      <c r="BA15" s="256">
        <v>3</v>
      </c>
      <c r="BB15" s="121"/>
      <c r="BC15" s="256"/>
      <c r="BD15" s="256">
        <v>13</v>
      </c>
      <c r="BE15" s="256">
        <v>16</v>
      </c>
      <c r="BF15" s="256"/>
      <c r="BG15" s="256"/>
      <c r="BH15" s="256">
        <v>239</v>
      </c>
      <c r="BI15" s="256">
        <v>410</v>
      </c>
      <c r="BJ15" s="256">
        <v>80</v>
      </c>
      <c r="BK15" s="256">
        <v>3</v>
      </c>
    </row>
    <row r="16" spans="1:63" ht="15">
      <c r="A16" s="158" t="s">
        <v>97</v>
      </c>
      <c r="B16" s="158"/>
      <c r="C16" s="158"/>
      <c r="D16" s="158"/>
      <c r="E16" s="209"/>
      <c r="F16" s="158"/>
      <c r="G16" s="158"/>
      <c r="H16" s="158"/>
      <c r="I16" s="209"/>
      <c r="J16" s="158"/>
      <c r="K16" s="158"/>
      <c r="L16" s="158"/>
      <c r="M16" s="209"/>
      <c r="N16" s="158"/>
      <c r="O16" s="158"/>
      <c r="P16" s="158"/>
      <c r="Q16" s="209"/>
      <c r="R16" s="201">
        <f t="shared" si="0"/>
        <v>0</v>
      </c>
      <c r="S16" s="165">
        <f t="shared" si="1"/>
        <v>0</v>
      </c>
      <c r="T16" s="200"/>
      <c r="U16" s="200"/>
      <c r="V16" s="200"/>
      <c r="W16" s="200"/>
      <c r="X16" s="200"/>
      <c r="Y16" s="160"/>
      <c r="Z16" s="160"/>
      <c r="AA16" s="160"/>
      <c r="AB16" s="160"/>
      <c r="AC16" s="160"/>
      <c r="AD16" s="160"/>
      <c r="AE16" s="160"/>
      <c r="AG16" s="158" t="s">
        <v>97</v>
      </c>
      <c r="AH16" s="256">
        <v>1</v>
      </c>
      <c r="AI16" s="256">
        <v>50</v>
      </c>
      <c r="AJ16" s="158">
        <f>128-51</f>
        <v>77</v>
      </c>
      <c r="AK16" s="209"/>
      <c r="AL16" s="158">
        <v>81</v>
      </c>
      <c r="AM16" s="158">
        <v>102</v>
      </c>
      <c r="AN16" s="158">
        <v>82</v>
      </c>
      <c r="AO16" s="209"/>
      <c r="AP16" s="158">
        <v>82</v>
      </c>
      <c r="AQ16" s="158"/>
      <c r="AR16" s="158"/>
      <c r="AS16" s="209"/>
      <c r="AT16" s="158"/>
      <c r="AU16" s="158"/>
      <c r="AV16" s="158"/>
      <c r="AW16" s="209"/>
      <c r="AX16" s="201">
        <f t="shared" si="2"/>
        <v>475</v>
      </c>
      <c r="AY16" s="165">
        <f t="shared" si="3"/>
        <v>0</v>
      </c>
      <c r="AZ16" s="256">
        <v>4</v>
      </c>
      <c r="BA16" s="256">
        <v>6</v>
      </c>
      <c r="BB16" s="121"/>
      <c r="BC16" s="256">
        <v>1</v>
      </c>
      <c r="BD16" s="256">
        <v>16</v>
      </c>
      <c r="BE16" s="256">
        <v>11</v>
      </c>
      <c r="BF16" s="256"/>
      <c r="BG16" s="256"/>
      <c r="BH16" s="256">
        <v>120</v>
      </c>
      <c r="BI16" s="256">
        <v>301</v>
      </c>
      <c r="BJ16" s="256">
        <v>54</v>
      </c>
      <c r="BK16" s="256">
        <v>2</v>
      </c>
    </row>
    <row r="17" spans="1:63" ht="15">
      <c r="A17" s="158" t="s">
        <v>98</v>
      </c>
      <c r="B17" s="158"/>
      <c r="C17" s="158"/>
      <c r="D17" s="158"/>
      <c r="E17" s="209"/>
      <c r="F17" s="158"/>
      <c r="G17" s="158"/>
      <c r="H17" s="158"/>
      <c r="I17" s="209"/>
      <c r="J17" s="158"/>
      <c r="K17" s="158"/>
      <c r="L17" s="158"/>
      <c r="M17" s="209"/>
      <c r="N17" s="158"/>
      <c r="O17" s="158"/>
      <c r="P17" s="158"/>
      <c r="Q17" s="209"/>
      <c r="R17" s="201">
        <f t="shared" si="0"/>
        <v>0</v>
      </c>
      <c r="S17" s="165">
        <f t="shared" si="1"/>
        <v>0</v>
      </c>
      <c r="T17" s="200"/>
      <c r="U17" s="200"/>
      <c r="V17" s="200"/>
      <c r="W17" s="200"/>
      <c r="X17" s="200"/>
      <c r="Y17" s="160"/>
      <c r="Z17" s="160"/>
      <c r="AA17" s="160"/>
      <c r="AB17" s="160"/>
      <c r="AC17" s="160"/>
      <c r="AD17" s="160"/>
      <c r="AE17" s="160"/>
      <c r="AG17" s="158" t="s">
        <v>98</v>
      </c>
      <c r="AH17" s="256"/>
      <c r="AI17" s="256">
        <v>8</v>
      </c>
      <c r="AJ17" s="158">
        <f>26-8</f>
        <v>18</v>
      </c>
      <c r="AK17" s="209"/>
      <c r="AL17" s="158">
        <v>7</v>
      </c>
      <c r="AM17" s="158">
        <v>18</v>
      </c>
      <c r="AN17" s="158">
        <v>7</v>
      </c>
      <c r="AO17" s="209"/>
      <c r="AP17" s="158">
        <v>10</v>
      </c>
      <c r="AQ17" s="158"/>
      <c r="AR17" s="158"/>
      <c r="AS17" s="209"/>
      <c r="AT17" s="158"/>
      <c r="AU17" s="158"/>
      <c r="AV17" s="158"/>
      <c r="AW17" s="209"/>
      <c r="AX17" s="201">
        <f t="shared" si="2"/>
        <v>68</v>
      </c>
      <c r="AY17" s="165">
        <f t="shared" si="3"/>
        <v>0</v>
      </c>
      <c r="AZ17" s="256"/>
      <c r="BA17" s="256">
        <v>1</v>
      </c>
      <c r="BB17" s="121"/>
      <c r="BC17" s="256"/>
      <c r="BD17" s="256">
        <v>1</v>
      </c>
      <c r="BE17" s="256">
        <v>1</v>
      </c>
      <c r="BF17" s="256"/>
      <c r="BG17" s="256"/>
      <c r="BH17" s="256">
        <v>18</v>
      </c>
      <c r="BI17" s="256">
        <v>46</v>
      </c>
      <c r="BJ17" s="256">
        <v>5</v>
      </c>
      <c r="BK17" s="256"/>
    </row>
    <row r="18" spans="1:63" ht="15">
      <c r="A18" s="158" t="s">
        <v>99</v>
      </c>
      <c r="B18" s="158"/>
      <c r="C18" s="158"/>
      <c r="D18" s="158"/>
      <c r="E18" s="209"/>
      <c r="F18" s="158"/>
      <c r="G18" s="158"/>
      <c r="H18" s="158"/>
      <c r="I18" s="209"/>
      <c r="J18" s="158"/>
      <c r="K18" s="158"/>
      <c r="L18" s="158"/>
      <c r="M18" s="209"/>
      <c r="N18" s="158"/>
      <c r="O18" s="158"/>
      <c r="P18" s="158"/>
      <c r="Q18" s="209"/>
      <c r="R18" s="201">
        <f t="shared" si="0"/>
        <v>0</v>
      </c>
      <c r="S18" s="165">
        <f t="shared" si="1"/>
        <v>0</v>
      </c>
      <c r="T18" s="200"/>
      <c r="U18" s="200"/>
      <c r="V18" s="200"/>
      <c r="W18" s="200"/>
      <c r="X18" s="200"/>
      <c r="Y18" s="160"/>
      <c r="Z18" s="160"/>
      <c r="AA18" s="160"/>
      <c r="AB18" s="160"/>
      <c r="AC18" s="160"/>
      <c r="AD18" s="160"/>
      <c r="AE18" s="160"/>
      <c r="AG18" s="158" t="s">
        <v>99</v>
      </c>
      <c r="AH18" s="256">
        <v>33</v>
      </c>
      <c r="AI18" s="256">
        <v>118</v>
      </c>
      <c r="AJ18" s="158">
        <f>325-151</f>
        <v>174</v>
      </c>
      <c r="AK18" s="209"/>
      <c r="AL18" s="158">
        <v>138</v>
      </c>
      <c r="AM18" s="158">
        <v>210</v>
      </c>
      <c r="AN18" s="158">
        <v>160</v>
      </c>
      <c r="AO18" s="209"/>
      <c r="AP18" s="158">
        <v>153</v>
      </c>
      <c r="AQ18" s="158"/>
      <c r="AR18" s="158"/>
      <c r="AS18" s="209"/>
      <c r="AT18" s="158"/>
      <c r="AU18" s="158"/>
      <c r="AV18" s="158"/>
      <c r="AW18" s="209"/>
      <c r="AX18" s="201">
        <f t="shared" si="2"/>
        <v>986</v>
      </c>
      <c r="AY18" s="165">
        <f t="shared" si="3"/>
        <v>0</v>
      </c>
      <c r="AZ18" s="256">
        <v>11</v>
      </c>
      <c r="BA18" s="256">
        <v>10</v>
      </c>
      <c r="BB18" s="121"/>
      <c r="BC18" s="256">
        <v>1</v>
      </c>
      <c r="BD18" s="256">
        <v>38</v>
      </c>
      <c r="BE18" s="256">
        <v>17</v>
      </c>
      <c r="BF18" s="256"/>
      <c r="BG18" s="256"/>
      <c r="BH18" s="256">
        <v>284</v>
      </c>
      <c r="BI18" s="256">
        <v>635</v>
      </c>
      <c r="BJ18" s="256">
        <v>68</v>
      </c>
      <c r="BK18" s="256">
        <v>1</v>
      </c>
    </row>
    <row r="19" spans="1:63" ht="15">
      <c r="A19" s="158" t="s">
        <v>100</v>
      </c>
      <c r="B19" s="158"/>
      <c r="C19" s="158"/>
      <c r="D19" s="158"/>
      <c r="E19" s="209"/>
      <c r="F19" s="158"/>
      <c r="G19" s="158"/>
      <c r="H19" s="158"/>
      <c r="I19" s="209"/>
      <c r="J19" s="158"/>
      <c r="K19" s="158"/>
      <c r="L19" s="158"/>
      <c r="M19" s="209"/>
      <c r="N19" s="158"/>
      <c r="O19" s="158"/>
      <c r="P19" s="158"/>
      <c r="Q19" s="209"/>
      <c r="R19" s="201">
        <f t="shared" si="0"/>
        <v>0</v>
      </c>
      <c r="S19" s="165">
        <f t="shared" si="1"/>
        <v>0</v>
      </c>
      <c r="T19" s="200"/>
      <c r="U19" s="200"/>
      <c r="V19" s="200"/>
      <c r="W19" s="200"/>
      <c r="X19" s="200"/>
      <c r="Y19" s="160"/>
      <c r="Z19" s="160"/>
      <c r="AA19" s="160"/>
      <c r="AB19" s="160"/>
      <c r="AC19" s="160"/>
      <c r="AD19" s="160"/>
      <c r="AE19" s="160"/>
      <c r="AG19" s="158" t="s">
        <v>100</v>
      </c>
      <c r="AH19" s="256">
        <v>25</v>
      </c>
      <c r="AI19" s="256">
        <v>68</v>
      </c>
      <c r="AJ19" s="158">
        <f>188-93</f>
        <v>95</v>
      </c>
      <c r="AK19" s="209"/>
      <c r="AL19" s="158">
        <v>78</v>
      </c>
      <c r="AM19" s="158">
        <v>88</v>
      </c>
      <c r="AN19" s="158">
        <v>91</v>
      </c>
      <c r="AO19" s="209"/>
      <c r="AP19" s="158">
        <v>81</v>
      </c>
      <c r="AQ19" s="158"/>
      <c r="AR19" s="158"/>
      <c r="AS19" s="209"/>
      <c r="AT19" s="158"/>
      <c r="AU19" s="158"/>
      <c r="AV19" s="158"/>
      <c r="AW19" s="209"/>
      <c r="AX19" s="201">
        <f t="shared" si="2"/>
        <v>526</v>
      </c>
      <c r="AY19" s="165">
        <f t="shared" si="3"/>
        <v>0</v>
      </c>
      <c r="AZ19" s="256">
        <v>2</v>
      </c>
      <c r="BA19" s="256">
        <v>3</v>
      </c>
      <c r="BB19" s="121"/>
      <c r="BC19" s="256"/>
      <c r="BD19" s="256">
        <v>16</v>
      </c>
      <c r="BE19" s="256">
        <v>9</v>
      </c>
      <c r="BF19" s="256"/>
      <c r="BG19" s="256"/>
      <c r="BH19" s="256">
        <v>129</v>
      </c>
      <c r="BI19" s="256">
        <v>364</v>
      </c>
      <c r="BJ19" s="256">
        <v>33</v>
      </c>
      <c r="BK19" s="256"/>
    </row>
    <row r="20" spans="1:63" ht="15">
      <c r="A20" s="158" t="s">
        <v>101</v>
      </c>
      <c r="B20" s="158"/>
      <c r="C20" s="158"/>
      <c r="D20" s="158"/>
      <c r="E20" s="209"/>
      <c r="F20" s="158"/>
      <c r="G20" s="158"/>
      <c r="H20" s="158"/>
      <c r="I20" s="209"/>
      <c r="J20" s="158"/>
      <c r="K20" s="158"/>
      <c r="L20" s="158"/>
      <c r="M20" s="209"/>
      <c r="N20" s="158"/>
      <c r="O20" s="158"/>
      <c r="P20" s="158"/>
      <c r="Q20" s="209"/>
      <c r="R20" s="201">
        <f t="shared" si="0"/>
        <v>0</v>
      </c>
      <c r="S20" s="165">
        <f t="shared" si="1"/>
        <v>0</v>
      </c>
      <c r="T20" s="200"/>
      <c r="U20" s="200"/>
      <c r="V20" s="200"/>
      <c r="W20" s="200"/>
      <c r="X20" s="200"/>
      <c r="Y20" s="160"/>
      <c r="Z20" s="160"/>
      <c r="AA20" s="160"/>
      <c r="AB20" s="160"/>
      <c r="AC20" s="160"/>
      <c r="AD20" s="160"/>
      <c r="AE20" s="160"/>
      <c r="AG20" s="158" t="s">
        <v>101</v>
      </c>
      <c r="AH20" s="256"/>
      <c r="AI20" s="256">
        <v>48</v>
      </c>
      <c r="AJ20" s="158">
        <f>114-48</f>
        <v>66</v>
      </c>
      <c r="AK20" s="209"/>
      <c r="AL20" s="158">
        <v>38</v>
      </c>
      <c r="AM20" s="158">
        <v>44</v>
      </c>
      <c r="AN20" s="158">
        <v>64</v>
      </c>
      <c r="AO20" s="209"/>
      <c r="AP20" s="158">
        <v>50</v>
      </c>
      <c r="AQ20" s="158"/>
      <c r="AR20" s="158"/>
      <c r="AS20" s="209"/>
      <c r="AT20" s="158"/>
      <c r="AU20" s="158"/>
      <c r="AV20" s="158"/>
      <c r="AW20" s="209"/>
      <c r="AX20" s="201">
        <f t="shared" si="2"/>
        <v>310</v>
      </c>
      <c r="AY20" s="165">
        <f t="shared" si="3"/>
        <v>0</v>
      </c>
      <c r="AZ20" s="256">
        <v>1</v>
      </c>
      <c r="BA20" s="256">
        <v>3</v>
      </c>
      <c r="BB20" s="121"/>
      <c r="BC20" s="256"/>
      <c r="BD20" s="256">
        <v>9</v>
      </c>
      <c r="BE20" s="256">
        <v>3</v>
      </c>
      <c r="BF20" s="256"/>
      <c r="BG20" s="256"/>
      <c r="BH20" s="256">
        <v>76</v>
      </c>
      <c r="BI20" s="256">
        <v>193</v>
      </c>
      <c r="BJ20" s="256">
        <v>40</v>
      </c>
      <c r="BK20" s="256">
        <v>1</v>
      </c>
    </row>
    <row r="21" spans="1:63" ht="15">
      <c r="A21" s="158" t="s">
        <v>102</v>
      </c>
      <c r="B21" s="158"/>
      <c r="C21" s="158"/>
      <c r="D21" s="158"/>
      <c r="E21" s="209"/>
      <c r="F21" s="158"/>
      <c r="G21" s="158"/>
      <c r="H21" s="158"/>
      <c r="I21" s="209"/>
      <c r="J21" s="158"/>
      <c r="K21" s="158"/>
      <c r="L21" s="158"/>
      <c r="M21" s="209"/>
      <c r="N21" s="158"/>
      <c r="O21" s="158"/>
      <c r="P21" s="158"/>
      <c r="Q21" s="209"/>
      <c r="R21" s="201">
        <f t="shared" si="0"/>
        <v>0</v>
      </c>
      <c r="S21" s="165">
        <f t="shared" si="1"/>
        <v>0</v>
      </c>
      <c r="T21" s="200"/>
      <c r="U21" s="200"/>
      <c r="V21" s="200"/>
      <c r="W21" s="200"/>
      <c r="X21" s="200"/>
      <c r="Y21" s="160"/>
      <c r="Z21" s="160"/>
      <c r="AA21" s="160"/>
      <c r="AB21" s="160"/>
      <c r="AC21" s="160"/>
      <c r="AD21" s="160"/>
      <c r="AE21" s="160"/>
      <c r="AG21" s="158" t="s">
        <v>102</v>
      </c>
      <c r="AH21" s="256">
        <v>1</v>
      </c>
      <c r="AI21" s="256">
        <v>32</v>
      </c>
      <c r="AJ21" s="158">
        <f>100-33</f>
        <v>67</v>
      </c>
      <c r="AK21" s="209"/>
      <c r="AL21" s="158">
        <v>42</v>
      </c>
      <c r="AM21" s="158">
        <v>52</v>
      </c>
      <c r="AN21" s="158">
        <v>49</v>
      </c>
      <c r="AO21" s="209"/>
      <c r="AP21" s="158">
        <v>56</v>
      </c>
      <c r="AQ21" s="158"/>
      <c r="AR21" s="158"/>
      <c r="AS21" s="209"/>
      <c r="AT21" s="158"/>
      <c r="AU21" s="158"/>
      <c r="AV21" s="158"/>
      <c r="AW21" s="209"/>
      <c r="AX21" s="201">
        <f t="shared" si="2"/>
        <v>299</v>
      </c>
      <c r="AY21" s="165">
        <f t="shared" si="3"/>
        <v>0</v>
      </c>
      <c r="AZ21" s="256">
        <v>3</v>
      </c>
      <c r="BA21" s="256">
        <v>2</v>
      </c>
      <c r="BB21" s="121"/>
      <c r="BC21" s="256"/>
      <c r="BD21" s="256">
        <v>5</v>
      </c>
      <c r="BE21" s="256">
        <v>4</v>
      </c>
      <c r="BF21" s="256"/>
      <c r="BG21" s="256"/>
      <c r="BH21" s="256">
        <v>65</v>
      </c>
      <c r="BI21" s="256">
        <v>194</v>
      </c>
      <c r="BJ21" s="256">
        <v>38</v>
      </c>
      <c r="BK21" s="256">
        <v>1</v>
      </c>
    </row>
    <row r="22" spans="1:63" ht="15">
      <c r="A22" s="158" t="s">
        <v>103</v>
      </c>
      <c r="B22" s="158"/>
      <c r="C22" s="158"/>
      <c r="D22" s="158"/>
      <c r="E22" s="209"/>
      <c r="F22" s="158"/>
      <c r="G22" s="158"/>
      <c r="H22" s="158"/>
      <c r="I22" s="209"/>
      <c r="J22" s="158"/>
      <c r="K22" s="158"/>
      <c r="L22" s="158"/>
      <c r="M22" s="209"/>
      <c r="N22" s="158"/>
      <c r="O22" s="158"/>
      <c r="P22" s="158"/>
      <c r="Q22" s="209"/>
      <c r="R22" s="201">
        <f t="shared" si="0"/>
        <v>0</v>
      </c>
      <c r="S22" s="165">
        <f t="shared" si="1"/>
        <v>0</v>
      </c>
      <c r="T22" s="200"/>
      <c r="U22" s="200"/>
      <c r="V22" s="200"/>
      <c r="W22" s="200"/>
      <c r="X22" s="200"/>
      <c r="Y22" s="160"/>
      <c r="Z22" s="160"/>
      <c r="AA22" s="160"/>
      <c r="AB22" s="160"/>
      <c r="AC22" s="160"/>
      <c r="AD22" s="160"/>
      <c r="AE22" s="160"/>
      <c r="AG22" s="158" t="s">
        <v>103</v>
      </c>
      <c r="AH22" s="256">
        <v>4</v>
      </c>
      <c r="AI22" s="256">
        <v>63</v>
      </c>
      <c r="AJ22" s="158">
        <f>162-67</f>
        <v>95</v>
      </c>
      <c r="AK22" s="209"/>
      <c r="AL22" s="158">
        <v>91</v>
      </c>
      <c r="AM22" s="158">
        <v>127</v>
      </c>
      <c r="AN22" s="158">
        <v>129</v>
      </c>
      <c r="AO22" s="209"/>
      <c r="AP22" s="158">
        <v>108</v>
      </c>
      <c r="AQ22" s="158"/>
      <c r="AR22" s="158"/>
      <c r="AS22" s="209"/>
      <c r="AT22" s="158"/>
      <c r="AU22" s="158"/>
      <c r="AV22" s="158"/>
      <c r="AW22" s="209"/>
      <c r="AX22" s="201">
        <f t="shared" si="2"/>
        <v>617</v>
      </c>
      <c r="AY22" s="165">
        <f t="shared" si="3"/>
        <v>0</v>
      </c>
      <c r="AZ22" s="256">
        <v>8</v>
      </c>
      <c r="BA22" s="256">
        <v>8</v>
      </c>
      <c r="BB22" s="121"/>
      <c r="BC22" s="256"/>
      <c r="BD22" s="256">
        <v>5</v>
      </c>
      <c r="BE22" s="256">
        <v>3</v>
      </c>
      <c r="BF22" s="256"/>
      <c r="BG22" s="256"/>
      <c r="BH22" s="256">
        <v>153</v>
      </c>
      <c r="BI22" s="256">
        <v>401</v>
      </c>
      <c r="BJ22" s="256">
        <v>61</v>
      </c>
      <c r="BK22" s="256">
        <v>2</v>
      </c>
    </row>
    <row r="23" spans="1:63" ht="15">
      <c r="A23" s="158" t="s">
        <v>104</v>
      </c>
      <c r="B23" s="158"/>
      <c r="C23" s="158"/>
      <c r="D23" s="158"/>
      <c r="E23" s="209"/>
      <c r="F23" s="158"/>
      <c r="G23" s="158"/>
      <c r="H23" s="158"/>
      <c r="I23" s="209"/>
      <c r="J23" s="158"/>
      <c r="K23" s="158"/>
      <c r="L23" s="158"/>
      <c r="M23" s="209"/>
      <c r="N23" s="158"/>
      <c r="O23" s="158"/>
      <c r="P23" s="158"/>
      <c r="Q23" s="209"/>
      <c r="R23" s="201">
        <f t="shared" si="0"/>
        <v>0</v>
      </c>
      <c r="S23" s="165">
        <f t="shared" si="1"/>
        <v>0</v>
      </c>
      <c r="T23" s="200"/>
      <c r="U23" s="200"/>
      <c r="V23" s="200"/>
      <c r="W23" s="200"/>
      <c r="X23" s="200"/>
      <c r="Y23" s="160"/>
      <c r="Z23" s="160"/>
      <c r="AA23" s="160"/>
      <c r="AB23" s="160"/>
      <c r="AC23" s="160"/>
      <c r="AD23" s="160"/>
      <c r="AE23" s="160"/>
      <c r="AG23" s="158" t="s">
        <v>104</v>
      </c>
      <c r="AH23" s="256">
        <v>5</v>
      </c>
      <c r="AI23" s="256">
        <v>30</v>
      </c>
      <c r="AJ23" s="158">
        <f>86-35</f>
        <v>51</v>
      </c>
      <c r="AK23" s="209"/>
      <c r="AL23" s="158">
        <v>26</v>
      </c>
      <c r="AM23" s="158">
        <v>38</v>
      </c>
      <c r="AN23" s="158">
        <v>36</v>
      </c>
      <c r="AO23" s="209"/>
      <c r="AP23" s="158">
        <v>27</v>
      </c>
      <c r="AQ23" s="158"/>
      <c r="AR23" s="158"/>
      <c r="AS23" s="209"/>
      <c r="AT23" s="158"/>
      <c r="AU23" s="158"/>
      <c r="AV23" s="158"/>
      <c r="AW23" s="209"/>
      <c r="AX23" s="201">
        <f t="shared" si="2"/>
        <v>213</v>
      </c>
      <c r="AY23" s="165">
        <f t="shared" si="3"/>
        <v>0</v>
      </c>
      <c r="AZ23" s="256">
        <v>1</v>
      </c>
      <c r="BA23" s="256"/>
      <c r="BB23" s="121"/>
      <c r="BC23" s="256"/>
      <c r="BD23" s="256">
        <v>4</v>
      </c>
      <c r="BE23" s="256">
        <v>5</v>
      </c>
      <c r="BF23" s="256"/>
      <c r="BG23" s="256"/>
      <c r="BH23" s="256">
        <v>52</v>
      </c>
      <c r="BI23" s="256">
        <v>144</v>
      </c>
      <c r="BJ23" s="256">
        <v>17</v>
      </c>
      <c r="BK23" s="256"/>
    </row>
    <row r="24" spans="1:63" ht="15">
      <c r="A24" s="158" t="s">
        <v>105</v>
      </c>
      <c r="B24" s="158"/>
      <c r="C24" s="158"/>
      <c r="D24" s="158"/>
      <c r="E24" s="209"/>
      <c r="F24" s="158"/>
      <c r="G24" s="158"/>
      <c r="H24" s="158"/>
      <c r="I24" s="209"/>
      <c r="J24" s="158"/>
      <c r="K24" s="158"/>
      <c r="L24" s="158"/>
      <c r="M24" s="209"/>
      <c r="N24" s="158"/>
      <c r="O24" s="158"/>
      <c r="P24" s="158"/>
      <c r="Q24" s="209"/>
      <c r="R24" s="201">
        <f t="shared" si="0"/>
        <v>0</v>
      </c>
      <c r="S24" s="165">
        <f t="shared" si="1"/>
        <v>0</v>
      </c>
      <c r="T24" s="200"/>
      <c r="U24" s="200"/>
      <c r="V24" s="200"/>
      <c r="W24" s="200"/>
      <c r="X24" s="200"/>
      <c r="Y24" s="160"/>
      <c r="Z24" s="160"/>
      <c r="AA24" s="160"/>
      <c r="AB24" s="160"/>
      <c r="AC24" s="160"/>
      <c r="AD24" s="160"/>
      <c r="AE24" s="160"/>
      <c r="AG24" s="158" t="s">
        <v>105</v>
      </c>
      <c r="AH24" s="256">
        <v>1</v>
      </c>
      <c r="AI24" s="256">
        <v>11</v>
      </c>
      <c r="AJ24" s="158">
        <v>6</v>
      </c>
      <c r="AK24" s="209"/>
      <c r="AL24" s="158">
        <v>3</v>
      </c>
      <c r="AM24" s="158">
        <v>7</v>
      </c>
      <c r="AN24" s="158">
        <v>4</v>
      </c>
      <c r="AO24" s="209"/>
      <c r="AP24" s="158">
        <v>14</v>
      </c>
      <c r="AQ24" s="158"/>
      <c r="AR24" s="158"/>
      <c r="AS24" s="209"/>
      <c r="AT24" s="158"/>
      <c r="AU24" s="158"/>
      <c r="AV24" s="158"/>
      <c r="AW24" s="209"/>
      <c r="AX24" s="201">
        <f t="shared" si="2"/>
        <v>46</v>
      </c>
      <c r="AY24" s="165">
        <f t="shared" si="3"/>
        <v>0</v>
      </c>
      <c r="AZ24" s="256">
        <v>2</v>
      </c>
      <c r="BA24" s="256"/>
      <c r="BB24" s="121"/>
      <c r="BC24" s="256"/>
      <c r="BD24" s="256"/>
      <c r="BE24" s="256">
        <v>3</v>
      </c>
      <c r="BF24" s="256"/>
      <c r="BG24" s="256"/>
      <c r="BH24" s="256">
        <v>13</v>
      </c>
      <c r="BI24" s="256">
        <v>26</v>
      </c>
      <c r="BJ24" s="256">
        <v>8</v>
      </c>
      <c r="BK24" s="256"/>
    </row>
    <row r="25" spans="1:63" ht="15">
      <c r="A25" s="158" t="s">
        <v>106</v>
      </c>
      <c r="B25" s="158"/>
      <c r="C25" s="158"/>
      <c r="D25" s="158"/>
      <c r="E25" s="209"/>
      <c r="F25" s="158"/>
      <c r="G25" s="158"/>
      <c r="H25" s="158"/>
      <c r="I25" s="209"/>
      <c r="J25" s="158"/>
      <c r="K25" s="158"/>
      <c r="L25" s="158"/>
      <c r="M25" s="209"/>
      <c r="N25" s="158"/>
      <c r="O25" s="158"/>
      <c r="P25" s="158"/>
      <c r="Q25" s="209"/>
      <c r="R25" s="201">
        <f t="shared" si="0"/>
        <v>0</v>
      </c>
      <c r="S25" s="165">
        <f t="shared" si="1"/>
        <v>0</v>
      </c>
      <c r="T25" s="200"/>
      <c r="U25" s="200"/>
      <c r="V25" s="200"/>
      <c r="W25" s="200"/>
      <c r="X25" s="200"/>
      <c r="Y25" s="160"/>
      <c r="Z25" s="160"/>
      <c r="AA25" s="160"/>
      <c r="AB25" s="160"/>
      <c r="AC25" s="160"/>
      <c r="AD25" s="160"/>
      <c r="AE25" s="160"/>
      <c r="AG25" s="158" t="s">
        <v>106</v>
      </c>
      <c r="AH25" s="256"/>
      <c r="AI25" s="256">
        <v>15</v>
      </c>
      <c r="AJ25" s="158">
        <v>10</v>
      </c>
      <c r="AK25" s="209"/>
      <c r="AL25" s="158">
        <v>17</v>
      </c>
      <c r="AM25" s="158">
        <v>18</v>
      </c>
      <c r="AN25" s="158">
        <v>14</v>
      </c>
      <c r="AO25" s="209"/>
      <c r="AP25" s="158">
        <v>19</v>
      </c>
      <c r="AQ25" s="158"/>
      <c r="AR25" s="158"/>
      <c r="AS25" s="209"/>
      <c r="AT25" s="158"/>
      <c r="AU25" s="158"/>
      <c r="AV25" s="158"/>
      <c r="AW25" s="209"/>
      <c r="AX25" s="201">
        <f t="shared" si="2"/>
        <v>93</v>
      </c>
      <c r="AY25" s="165">
        <f t="shared" si="3"/>
        <v>0</v>
      </c>
      <c r="AZ25" s="256">
        <v>2</v>
      </c>
      <c r="BA25" s="256"/>
      <c r="BB25" s="121"/>
      <c r="BC25" s="256"/>
      <c r="BD25" s="256">
        <v>4</v>
      </c>
      <c r="BE25" s="256">
        <v>2</v>
      </c>
      <c r="BF25" s="256"/>
      <c r="BG25" s="256"/>
      <c r="BH25" s="256">
        <v>24</v>
      </c>
      <c r="BI25" s="256">
        <v>60</v>
      </c>
      <c r="BJ25" s="256">
        <v>9</v>
      </c>
      <c r="BK25" s="256"/>
    </row>
    <row r="26" spans="1:63" ht="15">
      <c r="A26" s="158" t="s">
        <v>107</v>
      </c>
      <c r="B26" s="158"/>
      <c r="C26" s="158"/>
      <c r="D26" s="158"/>
      <c r="E26" s="209"/>
      <c r="F26" s="158"/>
      <c r="G26" s="158"/>
      <c r="H26" s="158"/>
      <c r="I26" s="209"/>
      <c r="J26" s="158"/>
      <c r="K26" s="158"/>
      <c r="L26" s="158"/>
      <c r="M26" s="209"/>
      <c r="N26" s="158"/>
      <c r="O26" s="158"/>
      <c r="P26" s="158"/>
      <c r="Q26" s="209"/>
      <c r="R26" s="201">
        <f t="shared" si="0"/>
        <v>0</v>
      </c>
      <c r="S26" s="165">
        <f t="shared" si="1"/>
        <v>0</v>
      </c>
      <c r="T26" s="200"/>
      <c r="U26" s="200"/>
      <c r="V26" s="200"/>
      <c r="W26" s="200"/>
      <c r="X26" s="200"/>
      <c r="Y26" s="160"/>
      <c r="Z26" s="160"/>
      <c r="AA26" s="160"/>
      <c r="AB26" s="160"/>
      <c r="AC26" s="160"/>
      <c r="AD26" s="160"/>
      <c r="AE26" s="160"/>
      <c r="AG26" s="158" t="s">
        <v>107</v>
      </c>
      <c r="AH26" s="256"/>
      <c r="AI26" s="256">
        <v>3</v>
      </c>
      <c r="AJ26" s="158">
        <v>10</v>
      </c>
      <c r="AK26" s="209"/>
      <c r="AL26" s="158">
        <v>5</v>
      </c>
      <c r="AM26" s="158">
        <v>3</v>
      </c>
      <c r="AN26" s="158">
        <v>3</v>
      </c>
      <c r="AO26" s="209"/>
      <c r="AP26" s="158">
        <v>5</v>
      </c>
      <c r="AQ26" s="158"/>
      <c r="AR26" s="158"/>
      <c r="AS26" s="209"/>
      <c r="AT26" s="158"/>
      <c r="AU26" s="158"/>
      <c r="AV26" s="158"/>
      <c r="AW26" s="209"/>
      <c r="AX26" s="201">
        <f t="shared" si="2"/>
        <v>29</v>
      </c>
      <c r="AY26" s="165">
        <f t="shared" si="3"/>
        <v>0</v>
      </c>
      <c r="AZ26" s="256"/>
      <c r="BA26" s="256"/>
      <c r="BB26" s="121"/>
      <c r="BC26" s="256"/>
      <c r="BD26" s="256"/>
      <c r="BE26" s="256">
        <v>1</v>
      </c>
      <c r="BF26" s="256"/>
      <c r="BG26" s="256"/>
      <c r="BH26" s="256">
        <v>4</v>
      </c>
      <c r="BI26" s="256">
        <v>21</v>
      </c>
      <c r="BJ26" s="256">
        <v>4</v>
      </c>
      <c r="BK26" s="256"/>
    </row>
    <row r="27" spans="1:63" ht="15">
      <c r="A27" s="158" t="s">
        <v>108</v>
      </c>
      <c r="B27" s="158"/>
      <c r="C27" s="158"/>
      <c r="D27" s="158"/>
      <c r="E27" s="209"/>
      <c r="F27" s="158"/>
      <c r="G27" s="158"/>
      <c r="H27" s="158"/>
      <c r="I27" s="209"/>
      <c r="J27" s="158"/>
      <c r="K27" s="158"/>
      <c r="L27" s="158"/>
      <c r="M27" s="209"/>
      <c r="N27" s="158"/>
      <c r="O27" s="158"/>
      <c r="P27" s="158"/>
      <c r="Q27" s="209"/>
      <c r="R27" s="201">
        <f t="shared" si="0"/>
        <v>0</v>
      </c>
      <c r="S27" s="165">
        <f t="shared" si="1"/>
        <v>0</v>
      </c>
      <c r="T27" s="200"/>
      <c r="U27" s="200"/>
      <c r="V27" s="200"/>
      <c r="W27" s="200"/>
      <c r="X27" s="200"/>
      <c r="Y27" s="160"/>
      <c r="Z27" s="160"/>
      <c r="AA27" s="160"/>
      <c r="AB27" s="160"/>
      <c r="AC27" s="160"/>
      <c r="AD27" s="160"/>
      <c r="AE27" s="160"/>
      <c r="AG27" s="158" t="s">
        <v>108</v>
      </c>
      <c r="AH27" s="256">
        <v>2</v>
      </c>
      <c r="AI27" s="256">
        <v>9</v>
      </c>
      <c r="AJ27" s="158">
        <v>20</v>
      </c>
      <c r="AK27" s="209"/>
      <c r="AL27" s="158">
        <v>9</v>
      </c>
      <c r="AM27" s="158">
        <v>9</v>
      </c>
      <c r="AN27" s="158">
        <v>20</v>
      </c>
      <c r="AO27" s="209"/>
      <c r="AP27" s="158">
        <v>32</v>
      </c>
      <c r="AQ27" s="158"/>
      <c r="AR27" s="158"/>
      <c r="AS27" s="209"/>
      <c r="AT27" s="158"/>
      <c r="AU27" s="158"/>
      <c r="AV27" s="158"/>
      <c r="AW27" s="209"/>
      <c r="AX27" s="201">
        <f t="shared" si="2"/>
        <v>101</v>
      </c>
      <c r="AY27" s="165">
        <f t="shared" si="3"/>
        <v>0</v>
      </c>
      <c r="AZ27" s="256"/>
      <c r="BA27" s="256">
        <v>2</v>
      </c>
      <c r="BB27" s="121"/>
      <c r="BC27" s="256"/>
      <c r="BD27" s="256"/>
      <c r="BE27" s="256">
        <v>1</v>
      </c>
      <c r="BF27" s="256"/>
      <c r="BG27" s="256"/>
      <c r="BH27" s="256">
        <v>26</v>
      </c>
      <c r="BI27" s="256">
        <v>68</v>
      </c>
      <c r="BJ27" s="256">
        <v>7</v>
      </c>
      <c r="BK27" s="256"/>
    </row>
    <row r="28" spans="1:63" ht="15">
      <c r="A28" s="158" t="s">
        <v>109</v>
      </c>
      <c r="B28" s="158"/>
      <c r="C28" s="158"/>
      <c r="D28" s="158"/>
      <c r="E28" s="209"/>
      <c r="F28" s="158"/>
      <c r="G28" s="158"/>
      <c r="H28" s="158"/>
      <c r="I28" s="209"/>
      <c r="J28" s="158"/>
      <c r="K28" s="158"/>
      <c r="L28" s="158"/>
      <c r="M28" s="209"/>
      <c r="N28" s="158"/>
      <c r="O28" s="158"/>
      <c r="P28" s="158"/>
      <c r="Q28" s="209"/>
      <c r="R28" s="201">
        <f t="shared" si="0"/>
        <v>0</v>
      </c>
      <c r="S28" s="165">
        <f t="shared" si="1"/>
        <v>0</v>
      </c>
      <c r="T28" s="200"/>
      <c r="U28" s="200"/>
      <c r="V28" s="200"/>
      <c r="W28" s="200"/>
      <c r="X28" s="200"/>
      <c r="Y28" s="160"/>
      <c r="Z28" s="160"/>
      <c r="AA28" s="160"/>
      <c r="AB28" s="160"/>
      <c r="AC28" s="160"/>
      <c r="AD28" s="160"/>
      <c r="AE28" s="160"/>
      <c r="AG28" s="158" t="s">
        <v>109</v>
      </c>
      <c r="AH28" s="256"/>
      <c r="AI28" s="256">
        <v>1</v>
      </c>
      <c r="AJ28" s="158">
        <v>3</v>
      </c>
      <c r="AK28" s="209"/>
      <c r="AL28" s="158">
        <v>0</v>
      </c>
      <c r="AM28" s="158">
        <v>1</v>
      </c>
      <c r="AN28" s="158">
        <v>1</v>
      </c>
      <c r="AO28" s="209"/>
      <c r="AP28" s="158">
        <v>2</v>
      </c>
      <c r="AQ28" s="158"/>
      <c r="AR28" s="158"/>
      <c r="AS28" s="209"/>
      <c r="AT28" s="158"/>
      <c r="AU28" s="158"/>
      <c r="AV28" s="158"/>
      <c r="AW28" s="209"/>
      <c r="AX28" s="201">
        <f t="shared" si="2"/>
        <v>8</v>
      </c>
      <c r="AY28" s="165">
        <f t="shared" si="3"/>
        <v>0</v>
      </c>
      <c r="AZ28" s="256"/>
      <c r="BA28" s="256"/>
      <c r="BB28" s="121"/>
      <c r="BC28" s="256"/>
      <c r="BD28" s="256"/>
      <c r="BE28" s="256">
        <v>1</v>
      </c>
      <c r="BF28" s="256"/>
      <c r="BG28" s="256"/>
      <c r="BH28" s="256">
        <v>2</v>
      </c>
      <c r="BI28" s="256">
        <v>3</v>
      </c>
      <c r="BJ28" s="256">
        <v>3</v>
      </c>
      <c r="BK28" s="256"/>
    </row>
    <row r="29" spans="1:63" ht="15">
      <c r="A29" s="158" t="s">
        <v>110</v>
      </c>
      <c r="B29" s="158"/>
      <c r="C29" s="158"/>
      <c r="D29" s="158"/>
      <c r="E29" s="209"/>
      <c r="F29" s="158"/>
      <c r="G29" s="158"/>
      <c r="H29" s="158"/>
      <c r="I29" s="209"/>
      <c r="J29" s="158"/>
      <c r="K29" s="158"/>
      <c r="L29" s="158"/>
      <c r="M29" s="209"/>
      <c r="N29" s="158"/>
      <c r="O29" s="158"/>
      <c r="P29" s="158"/>
      <c r="Q29" s="209"/>
      <c r="R29" s="201">
        <f t="shared" si="0"/>
        <v>0</v>
      </c>
      <c r="S29" s="165">
        <f t="shared" si="1"/>
        <v>0</v>
      </c>
      <c r="T29" s="200"/>
      <c r="U29" s="200"/>
      <c r="V29" s="200"/>
      <c r="W29" s="200"/>
      <c r="X29" s="200"/>
      <c r="Y29" s="160"/>
      <c r="Z29" s="160"/>
      <c r="AA29" s="160"/>
      <c r="AB29" s="160"/>
      <c r="AC29" s="160"/>
      <c r="AD29" s="160"/>
      <c r="AE29" s="160"/>
      <c r="AG29" s="158" t="s">
        <v>110</v>
      </c>
      <c r="AH29" s="256"/>
      <c r="AI29" s="256">
        <v>15</v>
      </c>
      <c r="AJ29" s="158">
        <f>43-15</f>
        <v>28</v>
      </c>
      <c r="AK29" s="209"/>
      <c r="AL29" s="158">
        <v>23</v>
      </c>
      <c r="AM29" s="158">
        <v>25</v>
      </c>
      <c r="AN29" s="158">
        <v>20</v>
      </c>
      <c r="AO29" s="209"/>
      <c r="AP29" s="158">
        <v>30</v>
      </c>
      <c r="AQ29" s="158"/>
      <c r="AR29" s="158"/>
      <c r="AS29" s="209"/>
      <c r="AT29" s="158"/>
      <c r="AU29" s="158"/>
      <c r="AV29" s="158"/>
      <c r="AW29" s="209"/>
      <c r="AX29" s="201">
        <f t="shared" si="2"/>
        <v>141</v>
      </c>
      <c r="AY29" s="165">
        <f t="shared" si="3"/>
        <v>0</v>
      </c>
      <c r="AZ29" s="256">
        <v>1</v>
      </c>
      <c r="BA29" s="256">
        <v>6</v>
      </c>
      <c r="BB29" s="121">
        <v>1</v>
      </c>
      <c r="BC29" s="256"/>
      <c r="BD29" s="256">
        <v>6</v>
      </c>
      <c r="BE29" s="256">
        <v>4</v>
      </c>
      <c r="BF29" s="256"/>
      <c r="BG29" s="256"/>
      <c r="BH29" s="256">
        <v>38</v>
      </c>
      <c r="BI29" s="256">
        <v>96</v>
      </c>
      <c r="BJ29" s="256">
        <v>7</v>
      </c>
      <c r="BK29" s="256"/>
    </row>
    <row r="30" spans="1:63" ht="15">
      <c r="A30" s="158" t="s">
        <v>111</v>
      </c>
      <c r="B30" s="158"/>
      <c r="C30" s="158"/>
      <c r="D30" s="158"/>
      <c r="E30" s="209"/>
      <c r="F30" s="158"/>
      <c r="G30" s="158"/>
      <c r="H30" s="158"/>
      <c r="I30" s="209"/>
      <c r="J30" s="158"/>
      <c r="K30" s="158"/>
      <c r="L30" s="158"/>
      <c r="M30" s="209"/>
      <c r="N30" s="158"/>
      <c r="O30" s="158"/>
      <c r="P30" s="158"/>
      <c r="Q30" s="209"/>
      <c r="R30" s="201">
        <f t="shared" si="0"/>
        <v>0</v>
      </c>
      <c r="S30" s="165">
        <f t="shared" si="1"/>
        <v>0</v>
      </c>
      <c r="T30" s="200"/>
      <c r="U30" s="200"/>
      <c r="V30" s="200"/>
      <c r="W30" s="200"/>
      <c r="X30" s="200"/>
      <c r="Y30" s="160"/>
      <c r="Z30" s="160"/>
      <c r="AA30" s="160"/>
      <c r="AB30" s="160"/>
      <c r="AC30" s="160"/>
      <c r="AD30" s="160"/>
      <c r="AE30" s="160"/>
      <c r="AG30" s="158" t="s">
        <v>111</v>
      </c>
      <c r="AH30" s="256">
        <v>47</v>
      </c>
      <c r="AI30" s="256">
        <v>134</v>
      </c>
      <c r="AJ30" s="158">
        <f>344-181</f>
        <v>163</v>
      </c>
      <c r="AK30" s="209"/>
      <c r="AL30" s="158">
        <v>126</v>
      </c>
      <c r="AM30" s="158">
        <v>217</v>
      </c>
      <c r="AN30" s="158">
        <v>189</v>
      </c>
      <c r="AO30" s="209"/>
      <c r="AP30" s="158">
        <v>186</v>
      </c>
      <c r="AQ30" s="158"/>
      <c r="AR30" s="158"/>
      <c r="AS30" s="209"/>
      <c r="AT30" s="158"/>
      <c r="AU30" s="158"/>
      <c r="AV30" s="158"/>
      <c r="AW30" s="209"/>
      <c r="AX30" s="201">
        <f t="shared" si="2"/>
        <v>1062</v>
      </c>
      <c r="AY30" s="165">
        <f t="shared" si="3"/>
        <v>0</v>
      </c>
      <c r="AZ30" s="256">
        <v>10</v>
      </c>
      <c r="BA30" s="256">
        <v>8</v>
      </c>
      <c r="BB30" s="121"/>
      <c r="BC30" s="256">
        <v>1</v>
      </c>
      <c r="BD30" s="256">
        <v>23</v>
      </c>
      <c r="BE30" s="256">
        <v>15</v>
      </c>
      <c r="BF30" s="256"/>
      <c r="BG30" s="256"/>
      <c r="BH30" s="256">
        <v>315</v>
      </c>
      <c r="BI30" s="256">
        <v>659</v>
      </c>
      <c r="BJ30" s="256">
        <v>86</v>
      </c>
      <c r="BK30" s="256">
        <v>2</v>
      </c>
    </row>
    <row r="31" spans="1:63" ht="15">
      <c r="A31" s="158" t="s">
        <v>112</v>
      </c>
      <c r="B31" s="158"/>
      <c r="C31" s="158"/>
      <c r="D31" s="158"/>
      <c r="E31" s="209"/>
      <c r="F31" s="158"/>
      <c r="G31" s="158"/>
      <c r="H31" s="158"/>
      <c r="I31" s="209"/>
      <c r="J31" s="158"/>
      <c r="K31" s="158"/>
      <c r="L31" s="158"/>
      <c r="M31" s="209"/>
      <c r="N31" s="158"/>
      <c r="O31" s="158"/>
      <c r="P31" s="158"/>
      <c r="Q31" s="209"/>
      <c r="R31" s="201">
        <f t="shared" si="0"/>
        <v>0</v>
      </c>
      <c r="S31" s="165">
        <f t="shared" si="1"/>
        <v>0</v>
      </c>
      <c r="T31" s="200"/>
      <c r="U31" s="200"/>
      <c r="V31" s="200"/>
      <c r="W31" s="200"/>
      <c r="X31" s="200"/>
      <c r="Y31" s="160"/>
      <c r="Z31" s="160"/>
      <c r="AA31" s="160"/>
      <c r="AB31" s="160"/>
      <c r="AC31" s="160"/>
      <c r="AD31" s="160"/>
      <c r="AE31" s="160"/>
      <c r="AG31" s="158" t="s">
        <v>112</v>
      </c>
      <c r="AH31" s="158"/>
      <c r="AI31" s="256">
        <v>0</v>
      </c>
      <c r="AJ31" s="158">
        <v>0</v>
      </c>
      <c r="AK31" s="209"/>
      <c r="AL31" s="158">
        <v>0</v>
      </c>
      <c r="AM31" s="158">
        <v>0</v>
      </c>
      <c r="AN31" s="158">
        <v>0</v>
      </c>
      <c r="AO31" s="209"/>
      <c r="AP31" s="158">
        <v>0</v>
      </c>
      <c r="AQ31" s="158"/>
      <c r="AR31" s="158"/>
      <c r="AS31" s="209"/>
      <c r="AT31" s="158"/>
      <c r="AU31" s="158"/>
      <c r="AV31" s="158"/>
      <c r="AW31" s="209"/>
      <c r="AX31" s="201">
        <f t="shared" si="2"/>
        <v>0</v>
      </c>
      <c r="AY31" s="165">
        <f t="shared" si="3"/>
        <v>0</v>
      </c>
      <c r="AZ31" s="256"/>
      <c r="BA31" s="256"/>
      <c r="BB31" s="121"/>
      <c r="BC31" s="256"/>
      <c r="BD31" s="256"/>
      <c r="BE31" s="256"/>
      <c r="BF31" s="256"/>
      <c r="BG31" s="256"/>
      <c r="BH31" s="256"/>
      <c r="BI31" s="256"/>
      <c r="BJ31" s="256"/>
      <c r="BK31" s="256"/>
    </row>
    <row r="32" spans="1:63" ht="15">
      <c r="A32" s="162" t="s">
        <v>113</v>
      </c>
      <c r="B32" s="159">
        <f aca="true" t="shared" si="4" ref="B32:AE32">SUM(B11:B31)</f>
        <v>0</v>
      </c>
      <c r="C32" s="159">
        <f t="shared" si="4"/>
        <v>0</v>
      </c>
      <c r="D32" s="159">
        <f t="shared" si="4"/>
        <v>0</v>
      </c>
      <c r="E32" s="210">
        <f t="shared" si="4"/>
        <v>0</v>
      </c>
      <c r="F32" s="159">
        <f t="shared" si="4"/>
        <v>0</v>
      </c>
      <c r="G32" s="159">
        <f t="shared" si="4"/>
        <v>0</v>
      </c>
      <c r="H32" s="159">
        <f t="shared" si="4"/>
        <v>0</v>
      </c>
      <c r="I32" s="210">
        <f t="shared" si="4"/>
        <v>0</v>
      </c>
      <c r="J32" s="159">
        <f t="shared" si="4"/>
        <v>0</v>
      </c>
      <c r="K32" s="159">
        <f t="shared" si="4"/>
        <v>0</v>
      </c>
      <c r="L32" s="159">
        <f t="shared" si="4"/>
        <v>0</v>
      </c>
      <c r="M32" s="210">
        <f t="shared" si="4"/>
        <v>0</v>
      </c>
      <c r="N32" s="159">
        <f t="shared" si="4"/>
        <v>0</v>
      </c>
      <c r="O32" s="159">
        <f t="shared" si="4"/>
        <v>0</v>
      </c>
      <c r="P32" s="159">
        <f t="shared" si="4"/>
        <v>0</v>
      </c>
      <c r="Q32" s="210">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10">
        <f t="shared" si="5"/>
        <v>0</v>
      </c>
      <c r="AL32" s="159">
        <f t="shared" si="5"/>
        <v>855</v>
      </c>
      <c r="AM32" s="159">
        <f t="shared" si="5"/>
        <v>1195</v>
      </c>
      <c r="AN32" s="159">
        <f t="shared" si="5"/>
        <v>1077</v>
      </c>
      <c r="AO32" s="210">
        <f t="shared" si="5"/>
        <v>0</v>
      </c>
      <c r="AP32" s="159">
        <f t="shared" si="5"/>
        <v>1044</v>
      </c>
      <c r="AQ32" s="159">
        <f t="shared" si="5"/>
        <v>0</v>
      </c>
      <c r="AR32" s="159">
        <f t="shared" si="5"/>
        <v>0</v>
      </c>
      <c r="AS32" s="210">
        <f t="shared" si="5"/>
        <v>0</v>
      </c>
      <c r="AT32" s="159">
        <f t="shared" si="5"/>
        <v>0</v>
      </c>
      <c r="AU32" s="159">
        <f t="shared" si="5"/>
        <v>0</v>
      </c>
      <c r="AV32" s="159">
        <f t="shared" si="5"/>
        <v>0</v>
      </c>
      <c r="AW32" s="210">
        <f t="shared" si="5"/>
        <v>0</v>
      </c>
      <c r="AX32" s="202">
        <f t="shared" si="5"/>
        <v>6184</v>
      </c>
      <c r="AY32" s="166">
        <f t="shared" si="5"/>
        <v>0</v>
      </c>
      <c r="AZ32" s="159">
        <f>SUM(AZ11:AZ31)</f>
        <v>56</v>
      </c>
      <c r="BA32" s="159">
        <f t="shared" si="5"/>
        <v>54</v>
      </c>
      <c r="BB32" s="159"/>
      <c r="BC32" s="159">
        <f t="shared" si="5"/>
        <v>6</v>
      </c>
      <c r="BD32" s="159">
        <f t="shared" si="5"/>
        <v>149</v>
      </c>
      <c r="BE32" s="159">
        <f t="shared" si="5"/>
        <v>108</v>
      </c>
      <c r="BF32" s="159">
        <f t="shared" si="5"/>
        <v>0</v>
      </c>
      <c r="BG32" s="159">
        <f t="shared" si="5"/>
        <v>0</v>
      </c>
      <c r="BH32" s="159">
        <f t="shared" si="5"/>
        <v>1670</v>
      </c>
      <c r="BI32" s="159">
        <f t="shared" si="5"/>
        <v>3932</v>
      </c>
      <c r="BJ32" s="159">
        <f t="shared" si="5"/>
        <v>566</v>
      </c>
      <c r="BK32" s="159">
        <f t="shared" si="5"/>
        <v>16</v>
      </c>
    </row>
    <row r="35" spans="1:63" ht="30" customHeight="1">
      <c r="A35" s="634" t="s">
        <v>90</v>
      </c>
      <c r="B35" s="306" t="s">
        <v>39</v>
      </c>
      <c r="C35" s="306" t="s">
        <v>40</v>
      </c>
      <c r="D35" s="688" t="s">
        <v>41</v>
      </c>
      <c r="E35" s="689"/>
      <c r="F35" s="306" t="s">
        <v>42</v>
      </c>
      <c r="G35" s="306" t="s">
        <v>43</v>
      </c>
      <c r="H35" s="688" t="s">
        <v>44</v>
      </c>
      <c r="I35" s="689"/>
      <c r="J35" s="306" t="s">
        <v>45</v>
      </c>
      <c r="K35" s="306" t="s">
        <v>46</v>
      </c>
      <c r="L35" s="688" t="s">
        <v>47</v>
      </c>
      <c r="M35" s="689"/>
      <c r="N35" s="306" t="s">
        <v>48</v>
      </c>
      <c r="O35" s="306" t="s">
        <v>49</v>
      </c>
      <c r="P35" s="688" t="s">
        <v>50</v>
      </c>
      <c r="Q35" s="689"/>
      <c r="R35" s="688" t="s">
        <v>91</v>
      </c>
      <c r="S35" s="689"/>
      <c r="T35" s="688" t="s">
        <v>289</v>
      </c>
      <c r="U35" s="690"/>
      <c r="V35" s="690"/>
      <c r="W35" s="690"/>
      <c r="X35" s="690"/>
      <c r="Y35" s="689"/>
      <c r="Z35" s="688" t="s">
        <v>288</v>
      </c>
      <c r="AA35" s="690"/>
      <c r="AB35" s="690"/>
      <c r="AC35" s="690"/>
      <c r="AD35" s="690"/>
      <c r="AE35" s="689"/>
      <c r="AG35" s="634" t="s">
        <v>90</v>
      </c>
      <c r="AH35" s="306" t="s">
        <v>39</v>
      </c>
      <c r="AI35" s="306" t="s">
        <v>40</v>
      </c>
      <c r="AJ35" s="688" t="s">
        <v>41</v>
      </c>
      <c r="AK35" s="689"/>
      <c r="AL35" s="306" t="s">
        <v>42</v>
      </c>
      <c r="AM35" s="306" t="s">
        <v>43</v>
      </c>
      <c r="AN35" s="688" t="s">
        <v>44</v>
      </c>
      <c r="AO35" s="689"/>
      <c r="AP35" s="306" t="s">
        <v>45</v>
      </c>
      <c r="AQ35" s="306" t="s">
        <v>46</v>
      </c>
      <c r="AR35" s="688" t="s">
        <v>47</v>
      </c>
      <c r="AS35" s="689"/>
      <c r="AT35" s="306" t="s">
        <v>48</v>
      </c>
      <c r="AU35" s="306" t="s">
        <v>49</v>
      </c>
      <c r="AV35" s="688" t="s">
        <v>50</v>
      </c>
      <c r="AW35" s="689"/>
      <c r="AX35" s="688" t="s">
        <v>91</v>
      </c>
      <c r="AY35" s="689"/>
      <c r="AZ35" s="688" t="s">
        <v>289</v>
      </c>
      <c r="BA35" s="690"/>
      <c r="BB35" s="690"/>
      <c r="BC35" s="690"/>
      <c r="BD35" s="690"/>
      <c r="BE35" s="689"/>
      <c r="BF35" s="688" t="s">
        <v>288</v>
      </c>
      <c r="BG35" s="690"/>
      <c r="BH35" s="690"/>
      <c r="BI35" s="690"/>
      <c r="BJ35" s="690"/>
      <c r="BK35" s="689"/>
    </row>
    <row r="36" spans="1:63" ht="36" customHeight="1">
      <c r="A36" s="636"/>
      <c r="B36" s="305" t="s">
        <v>372</v>
      </c>
      <c r="C36" s="305" t="s">
        <v>372</v>
      </c>
      <c r="D36" s="305" t="s">
        <v>372</v>
      </c>
      <c r="E36" s="305" t="s">
        <v>373</v>
      </c>
      <c r="F36" s="305" t="s">
        <v>372</v>
      </c>
      <c r="G36" s="305" t="s">
        <v>372</v>
      </c>
      <c r="H36" s="305" t="s">
        <v>372</v>
      </c>
      <c r="I36" s="305" t="s">
        <v>373</v>
      </c>
      <c r="J36" s="305" t="s">
        <v>372</v>
      </c>
      <c r="K36" s="305" t="s">
        <v>372</v>
      </c>
      <c r="L36" s="305" t="s">
        <v>372</v>
      </c>
      <c r="M36" s="305" t="s">
        <v>373</v>
      </c>
      <c r="N36" s="305" t="s">
        <v>372</v>
      </c>
      <c r="O36" s="305" t="s">
        <v>372</v>
      </c>
      <c r="P36" s="305" t="s">
        <v>372</v>
      </c>
      <c r="Q36" s="305" t="s">
        <v>373</v>
      </c>
      <c r="R36" s="305" t="s">
        <v>372</v>
      </c>
      <c r="S36" s="305" t="s">
        <v>373</v>
      </c>
      <c r="T36" s="198" t="s">
        <v>393</v>
      </c>
      <c r="U36" s="198" t="s">
        <v>394</v>
      </c>
      <c r="V36" s="198" t="s">
        <v>395</v>
      </c>
      <c r="W36" s="198" t="s">
        <v>305</v>
      </c>
      <c r="X36" s="199" t="s">
        <v>396</v>
      </c>
      <c r="Y36" s="198" t="s">
        <v>304</v>
      </c>
      <c r="Z36" s="305" t="s">
        <v>387</v>
      </c>
      <c r="AA36" s="157" t="s">
        <v>388</v>
      </c>
      <c r="AB36" s="305" t="s">
        <v>389</v>
      </c>
      <c r="AC36" s="305" t="s">
        <v>390</v>
      </c>
      <c r="AD36" s="305" t="s">
        <v>391</v>
      </c>
      <c r="AE36" s="305" t="s">
        <v>392</v>
      </c>
      <c r="AG36" s="636"/>
      <c r="AH36" s="305" t="s">
        <v>372</v>
      </c>
      <c r="AI36" s="305" t="s">
        <v>372</v>
      </c>
      <c r="AJ36" s="305" t="s">
        <v>372</v>
      </c>
      <c r="AK36" s="305" t="s">
        <v>373</v>
      </c>
      <c r="AL36" s="305" t="s">
        <v>372</v>
      </c>
      <c r="AM36" s="305" t="s">
        <v>372</v>
      </c>
      <c r="AN36" s="305" t="s">
        <v>372</v>
      </c>
      <c r="AO36" s="305" t="s">
        <v>373</v>
      </c>
      <c r="AP36" s="305" t="s">
        <v>372</v>
      </c>
      <c r="AQ36" s="305" t="s">
        <v>372</v>
      </c>
      <c r="AR36" s="305" t="s">
        <v>372</v>
      </c>
      <c r="AS36" s="305" t="s">
        <v>373</v>
      </c>
      <c r="AT36" s="305" t="s">
        <v>372</v>
      </c>
      <c r="AU36" s="305" t="s">
        <v>372</v>
      </c>
      <c r="AV36" s="305" t="s">
        <v>372</v>
      </c>
      <c r="AW36" s="305" t="s">
        <v>373</v>
      </c>
      <c r="AX36" s="305" t="s">
        <v>372</v>
      </c>
      <c r="AY36" s="305" t="s">
        <v>373</v>
      </c>
      <c r="AZ36" s="198" t="s">
        <v>393</v>
      </c>
      <c r="BA36" s="198" t="s">
        <v>394</v>
      </c>
      <c r="BB36" s="198" t="s">
        <v>395</v>
      </c>
      <c r="BC36" s="198" t="s">
        <v>305</v>
      </c>
      <c r="BD36" s="199" t="s">
        <v>396</v>
      </c>
      <c r="BE36" s="198" t="s">
        <v>304</v>
      </c>
      <c r="BF36" s="196" t="s">
        <v>387</v>
      </c>
      <c r="BG36" s="197" t="s">
        <v>388</v>
      </c>
      <c r="BH36" s="196" t="s">
        <v>389</v>
      </c>
      <c r="BI36" s="196" t="s">
        <v>390</v>
      </c>
      <c r="BJ36" s="196" t="s">
        <v>391</v>
      </c>
      <c r="BK36" s="196" t="s">
        <v>392</v>
      </c>
    </row>
    <row r="37" spans="1:63" ht="15">
      <c r="A37" s="158" t="s">
        <v>92</v>
      </c>
      <c r="B37" s="158"/>
      <c r="C37" s="158"/>
      <c r="D37" s="158"/>
      <c r="E37" s="209"/>
      <c r="F37" s="158"/>
      <c r="G37" s="158"/>
      <c r="H37" s="158"/>
      <c r="I37" s="209"/>
      <c r="J37" s="158"/>
      <c r="K37" s="158"/>
      <c r="L37" s="158"/>
      <c r="M37" s="209"/>
      <c r="N37" s="158"/>
      <c r="O37" s="158"/>
      <c r="P37" s="158"/>
      <c r="Q37" s="209"/>
      <c r="R37" s="201">
        <f aca="true" t="shared" si="6" ref="R37:R57">B37+C37+D37+F37+G37+H37+J37+K37+L37+N37+O37+P37</f>
        <v>0</v>
      </c>
      <c r="S37" s="165">
        <f aca="true" t="shared" si="7" ref="S37:S57">+E37+I37+M37+Q37</f>
        <v>0</v>
      </c>
      <c r="T37" s="200"/>
      <c r="U37" s="200"/>
      <c r="V37" s="200"/>
      <c r="W37" s="200"/>
      <c r="X37" s="200"/>
      <c r="Y37" s="160"/>
      <c r="Z37" s="160"/>
      <c r="AA37" s="160"/>
      <c r="AB37" s="160"/>
      <c r="AC37" s="160"/>
      <c r="AD37" s="160"/>
      <c r="AE37" s="161"/>
      <c r="AG37" s="158" t="s">
        <v>92</v>
      </c>
      <c r="AH37" s="158"/>
      <c r="AI37" s="158"/>
      <c r="AJ37" s="158"/>
      <c r="AK37" s="209"/>
      <c r="AL37" s="158"/>
      <c r="AM37" s="158"/>
      <c r="AN37" s="158"/>
      <c r="AO37" s="209"/>
      <c r="AP37" s="158"/>
      <c r="AQ37" s="158"/>
      <c r="AR37" s="158"/>
      <c r="AS37" s="209"/>
      <c r="AT37" s="158"/>
      <c r="AU37" s="158"/>
      <c r="AV37" s="158"/>
      <c r="AW37" s="209"/>
      <c r="AX37" s="201">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9"/>
      <c r="F38" s="158"/>
      <c r="G38" s="158"/>
      <c r="H38" s="158"/>
      <c r="I38" s="209"/>
      <c r="J38" s="158"/>
      <c r="K38" s="158"/>
      <c r="L38" s="158"/>
      <c r="M38" s="209"/>
      <c r="N38" s="158"/>
      <c r="O38" s="158"/>
      <c r="P38" s="158"/>
      <c r="Q38" s="209"/>
      <c r="R38" s="201">
        <f t="shared" si="6"/>
        <v>0</v>
      </c>
      <c r="S38" s="165">
        <f t="shared" si="7"/>
        <v>0</v>
      </c>
      <c r="T38" s="200"/>
      <c r="U38" s="200"/>
      <c r="V38" s="200"/>
      <c r="W38" s="200"/>
      <c r="X38" s="200"/>
      <c r="Y38" s="160"/>
      <c r="Z38" s="160"/>
      <c r="AA38" s="160"/>
      <c r="AB38" s="160"/>
      <c r="AC38" s="160"/>
      <c r="AD38" s="160"/>
      <c r="AE38" s="160"/>
      <c r="AG38" s="158" t="s">
        <v>93</v>
      </c>
      <c r="AH38" s="158"/>
      <c r="AI38" s="158"/>
      <c r="AJ38" s="158"/>
      <c r="AK38" s="209"/>
      <c r="AL38" s="158"/>
      <c r="AM38" s="158"/>
      <c r="AN38" s="158"/>
      <c r="AO38" s="209"/>
      <c r="AP38" s="158"/>
      <c r="AQ38" s="158"/>
      <c r="AR38" s="158"/>
      <c r="AS38" s="209"/>
      <c r="AT38" s="158"/>
      <c r="AU38" s="158"/>
      <c r="AV38" s="158"/>
      <c r="AW38" s="209"/>
      <c r="AX38" s="201">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9"/>
      <c r="F39" s="158"/>
      <c r="G39" s="158"/>
      <c r="H39" s="158"/>
      <c r="I39" s="209"/>
      <c r="J39" s="158"/>
      <c r="K39" s="158"/>
      <c r="L39" s="158"/>
      <c r="M39" s="209"/>
      <c r="N39" s="158"/>
      <c r="O39" s="158"/>
      <c r="P39" s="158"/>
      <c r="Q39" s="209"/>
      <c r="R39" s="201">
        <f t="shared" si="6"/>
        <v>0</v>
      </c>
      <c r="S39" s="165">
        <f t="shared" si="7"/>
        <v>0</v>
      </c>
      <c r="T39" s="200"/>
      <c r="U39" s="200"/>
      <c r="V39" s="200"/>
      <c r="W39" s="200"/>
      <c r="X39" s="200"/>
      <c r="Y39" s="160"/>
      <c r="Z39" s="160"/>
      <c r="AA39" s="160"/>
      <c r="AB39" s="160"/>
      <c r="AC39" s="160"/>
      <c r="AD39" s="160"/>
      <c r="AE39" s="160"/>
      <c r="AG39" s="158" t="s">
        <v>94</v>
      </c>
      <c r="AH39" s="158"/>
      <c r="AI39" s="158"/>
      <c r="AJ39" s="158"/>
      <c r="AK39" s="209"/>
      <c r="AL39" s="158"/>
      <c r="AM39" s="158"/>
      <c r="AN39" s="158"/>
      <c r="AO39" s="209"/>
      <c r="AP39" s="158"/>
      <c r="AQ39" s="158"/>
      <c r="AR39" s="158"/>
      <c r="AS39" s="209"/>
      <c r="AT39" s="158"/>
      <c r="AU39" s="158"/>
      <c r="AV39" s="158"/>
      <c r="AW39" s="209"/>
      <c r="AX39" s="201">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9"/>
      <c r="F40" s="158"/>
      <c r="G40" s="158"/>
      <c r="H40" s="158"/>
      <c r="I40" s="209"/>
      <c r="J40" s="158"/>
      <c r="K40" s="158"/>
      <c r="L40" s="158"/>
      <c r="M40" s="209"/>
      <c r="N40" s="158"/>
      <c r="O40" s="158"/>
      <c r="P40" s="158"/>
      <c r="Q40" s="209"/>
      <c r="R40" s="201">
        <f t="shared" si="6"/>
        <v>0</v>
      </c>
      <c r="S40" s="165">
        <f t="shared" si="7"/>
        <v>0</v>
      </c>
      <c r="T40" s="200"/>
      <c r="U40" s="200"/>
      <c r="V40" s="200"/>
      <c r="W40" s="200"/>
      <c r="X40" s="200"/>
      <c r="Y40" s="160"/>
      <c r="Z40" s="160"/>
      <c r="AA40" s="160"/>
      <c r="AB40" s="160"/>
      <c r="AC40" s="160"/>
      <c r="AD40" s="160"/>
      <c r="AE40" s="160"/>
      <c r="AG40" s="158" t="s">
        <v>95</v>
      </c>
      <c r="AH40" s="158"/>
      <c r="AI40" s="158"/>
      <c r="AJ40" s="158"/>
      <c r="AK40" s="209"/>
      <c r="AL40" s="158"/>
      <c r="AM40" s="158"/>
      <c r="AN40" s="158"/>
      <c r="AO40" s="209"/>
      <c r="AP40" s="158"/>
      <c r="AQ40" s="158"/>
      <c r="AR40" s="158"/>
      <c r="AS40" s="209"/>
      <c r="AT40" s="158"/>
      <c r="AU40" s="158"/>
      <c r="AV40" s="158"/>
      <c r="AW40" s="209"/>
      <c r="AX40" s="201">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9"/>
      <c r="F41" s="158"/>
      <c r="G41" s="158"/>
      <c r="H41" s="158"/>
      <c r="I41" s="209"/>
      <c r="J41" s="158"/>
      <c r="K41" s="158"/>
      <c r="L41" s="158"/>
      <c r="M41" s="209"/>
      <c r="N41" s="158"/>
      <c r="O41" s="158"/>
      <c r="P41" s="158"/>
      <c r="Q41" s="209"/>
      <c r="R41" s="201">
        <f t="shared" si="6"/>
        <v>0</v>
      </c>
      <c r="S41" s="165">
        <f t="shared" si="7"/>
        <v>0</v>
      </c>
      <c r="T41" s="200"/>
      <c r="U41" s="200"/>
      <c r="V41" s="200"/>
      <c r="W41" s="200"/>
      <c r="X41" s="200"/>
      <c r="Y41" s="160"/>
      <c r="Z41" s="160"/>
      <c r="AA41" s="160"/>
      <c r="AB41" s="160"/>
      <c r="AC41" s="160"/>
      <c r="AD41" s="160"/>
      <c r="AE41" s="160"/>
      <c r="AG41" s="158" t="s">
        <v>96</v>
      </c>
      <c r="AH41" s="158"/>
      <c r="AI41" s="158"/>
      <c r="AJ41" s="158"/>
      <c r="AK41" s="209"/>
      <c r="AL41" s="158"/>
      <c r="AM41" s="158"/>
      <c r="AN41" s="158"/>
      <c r="AO41" s="209"/>
      <c r="AP41" s="158"/>
      <c r="AQ41" s="158"/>
      <c r="AR41" s="158"/>
      <c r="AS41" s="209"/>
      <c r="AT41" s="158"/>
      <c r="AU41" s="158"/>
      <c r="AV41" s="158"/>
      <c r="AW41" s="209"/>
      <c r="AX41" s="201">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9"/>
      <c r="F42" s="158"/>
      <c r="G42" s="158"/>
      <c r="H42" s="158"/>
      <c r="I42" s="209"/>
      <c r="J42" s="158"/>
      <c r="K42" s="158"/>
      <c r="L42" s="158"/>
      <c r="M42" s="209"/>
      <c r="N42" s="158"/>
      <c r="O42" s="158"/>
      <c r="P42" s="158"/>
      <c r="Q42" s="209"/>
      <c r="R42" s="201">
        <f t="shared" si="6"/>
        <v>0</v>
      </c>
      <c r="S42" s="165">
        <f t="shared" si="7"/>
        <v>0</v>
      </c>
      <c r="T42" s="200"/>
      <c r="U42" s="200"/>
      <c r="V42" s="200"/>
      <c r="W42" s="200"/>
      <c r="X42" s="200"/>
      <c r="Y42" s="160"/>
      <c r="Z42" s="160"/>
      <c r="AA42" s="160"/>
      <c r="AB42" s="160"/>
      <c r="AC42" s="160"/>
      <c r="AD42" s="160"/>
      <c r="AE42" s="160"/>
      <c r="AG42" s="158" t="s">
        <v>97</v>
      </c>
      <c r="AH42" s="158"/>
      <c r="AI42" s="158"/>
      <c r="AJ42" s="158"/>
      <c r="AK42" s="209"/>
      <c r="AL42" s="158"/>
      <c r="AM42" s="158"/>
      <c r="AN42" s="158"/>
      <c r="AO42" s="209"/>
      <c r="AP42" s="158"/>
      <c r="AQ42" s="158"/>
      <c r="AR42" s="158"/>
      <c r="AS42" s="209"/>
      <c r="AT42" s="158"/>
      <c r="AU42" s="158"/>
      <c r="AV42" s="158"/>
      <c r="AW42" s="209"/>
      <c r="AX42" s="201">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9"/>
      <c r="F43" s="158"/>
      <c r="G43" s="158"/>
      <c r="H43" s="158"/>
      <c r="I43" s="209"/>
      <c r="J43" s="158"/>
      <c r="K43" s="158"/>
      <c r="L43" s="158"/>
      <c r="M43" s="209"/>
      <c r="N43" s="158"/>
      <c r="O43" s="158"/>
      <c r="P43" s="158"/>
      <c r="Q43" s="209"/>
      <c r="R43" s="201">
        <f t="shared" si="6"/>
        <v>0</v>
      </c>
      <c r="S43" s="165">
        <f t="shared" si="7"/>
        <v>0</v>
      </c>
      <c r="T43" s="200"/>
      <c r="U43" s="200"/>
      <c r="V43" s="200"/>
      <c r="W43" s="200"/>
      <c r="X43" s="200"/>
      <c r="Y43" s="160"/>
      <c r="Z43" s="160"/>
      <c r="AA43" s="160"/>
      <c r="AB43" s="160"/>
      <c r="AC43" s="160"/>
      <c r="AD43" s="160"/>
      <c r="AE43" s="160"/>
      <c r="AG43" s="158" t="s">
        <v>98</v>
      </c>
      <c r="AH43" s="158"/>
      <c r="AI43" s="158"/>
      <c r="AJ43" s="158"/>
      <c r="AK43" s="209"/>
      <c r="AL43" s="158"/>
      <c r="AM43" s="158"/>
      <c r="AN43" s="158"/>
      <c r="AO43" s="209"/>
      <c r="AP43" s="158"/>
      <c r="AQ43" s="158"/>
      <c r="AR43" s="158"/>
      <c r="AS43" s="209"/>
      <c r="AT43" s="158"/>
      <c r="AU43" s="158"/>
      <c r="AV43" s="158"/>
      <c r="AW43" s="209"/>
      <c r="AX43" s="201">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9"/>
      <c r="F44" s="158"/>
      <c r="G44" s="158"/>
      <c r="H44" s="158"/>
      <c r="I44" s="209"/>
      <c r="J44" s="158"/>
      <c r="K44" s="158"/>
      <c r="L44" s="158"/>
      <c r="M44" s="209"/>
      <c r="N44" s="158"/>
      <c r="O44" s="158"/>
      <c r="P44" s="158"/>
      <c r="Q44" s="209"/>
      <c r="R44" s="201">
        <f t="shared" si="6"/>
        <v>0</v>
      </c>
      <c r="S44" s="165">
        <f t="shared" si="7"/>
        <v>0</v>
      </c>
      <c r="T44" s="200"/>
      <c r="U44" s="200"/>
      <c r="V44" s="200"/>
      <c r="W44" s="200"/>
      <c r="X44" s="200"/>
      <c r="Y44" s="160"/>
      <c r="Z44" s="160"/>
      <c r="AA44" s="160"/>
      <c r="AB44" s="160"/>
      <c r="AC44" s="160"/>
      <c r="AD44" s="160"/>
      <c r="AE44" s="160"/>
      <c r="AG44" s="158" t="s">
        <v>99</v>
      </c>
      <c r="AH44" s="158"/>
      <c r="AI44" s="158"/>
      <c r="AJ44" s="158"/>
      <c r="AK44" s="209"/>
      <c r="AL44" s="158"/>
      <c r="AM44" s="158"/>
      <c r="AN44" s="158"/>
      <c r="AO44" s="209"/>
      <c r="AP44" s="158"/>
      <c r="AQ44" s="158"/>
      <c r="AR44" s="158"/>
      <c r="AS44" s="209"/>
      <c r="AT44" s="158"/>
      <c r="AU44" s="158"/>
      <c r="AV44" s="158"/>
      <c r="AW44" s="209"/>
      <c r="AX44" s="201">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9"/>
      <c r="F45" s="158"/>
      <c r="G45" s="158"/>
      <c r="H45" s="158"/>
      <c r="I45" s="209"/>
      <c r="J45" s="158"/>
      <c r="K45" s="158"/>
      <c r="L45" s="158"/>
      <c r="M45" s="209"/>
      <c r="N45" s="158"/>
      <c r="O45" s="158"/>
      <c r="P45" s="158"/>
      <c r="Q45" s="209"/>
      <c r="R45" s="201">
        <f t="shared" si="6"/>
        <v>0</v>
      </c>
      <c r="S45" s="165">
        <f t="shared" si="7"/>
        <v>0</v>
      </c>
      <c r="T45" s="200"/>
      <c r="U45" s="200"/>
      <c r="V45" s="200"/>
      <c r="W45" s="200"/>
      <c r="X45" s="200"/>
      <c r="Y45" s="160"/>
      <c r="Z45" s="160"/>
      <c r="AA45" s="160"/>
      <c r="AB45" s="160"/>
      <c r="AC45" s="160"/>
      <c r="AD45" s="160"/>
      <c r="AE45" s="160"/>
      <c r="AG45" s="158" t="s">
        <v>100</v>
      </c>
      <c r="AH45" s="158"/>
      <c r="AI45" s="158"/>
      <c r="AJ45" s="158"/>
      <c r="AK45" s="209"/>
      <c r="AL45" s="158"/>
      <c r="AM45" s="158"/>
      <c r="AN45" s="158"/>
      <c r="AO45" s="209"/>
      <c r="AP45" s="158"/>
      <c r="AQ45" s="158"/>
      <c r="AR45" s="158"/>
      <c r="AS45" s="209"/>
      <c r="AT45" s="158"/>
      <c r="AU45" s="158"/>
      <c r="AV45" s="158"/>
      <c r="AW45" s="209"/>
      <c r="AX45" s="201">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9"/>
      <c r="F46" s="158"/>
      <c r="G46" s="158"/>
      <c r="H46" s="158"/>
      <c r="I46" s="209"/>
      <c r="J46" s="158"/>
      <c r="K46" s="158"/>
      <c r="L46" s="158"/>
      <c r="M46" s="209"/>
      <c r="N46" s="158"/>
      <c r="O46" s="158"/>
      <c r="P46" s="158"/>
      <c r="Q46" s="209"/>
      <c r="R46" s="201">
        <f t="shared" si="6"/>
        <v>0</v>
      </c>
      <c r="S46" s="165">
        <f t="shared" si="7"/>
        <v>0</v>
      </c>
      <c r="T46" s="200"/>
      <c r="U46" s="200"/>
      <c r="V46" s="200"/>
      <c r="W46" s="200"/>
      <c r="X46" s="200"/>
      <c r="Y46" s="160"/>
      <c r="Z46" s="160"/>
      <c r="AA46" s="160"/>
      <c r="AB46" s="160"/>
      <c r="AC46" s="160"/>
      <c r="AD46" s="160"/>
      <c r="AE46" s="160"/>
      <c r="AG46" s="158" t="s">
        <v>101</v>
      </c>
      <c r="AH46" s="158"/>
      <c r="AI46" s="158"/>
      <c r="AJ46" s="158"/>
      <c r="AK46" s="209"/>
      <c r="AL46" s="158"/>
      <c r="AM46" s="158"/>
      <c r="AN46" s="158"/>
      <c r="AO46" s="209"/>
      <c r="AP46" s="158"/>
      <c r="AQ46" s="158"/>
      <c r="AR46" s="158"/>
      <c r="AS46" s="209"/>
      <c r="AT46" s="158"/>
      <c r="AU46" s="158"/>
      <c r="AV46" s="158"/>
      <c r="AW46" s="209"/>
      <c r="AX46" s="201">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9"/>
      <c r="F47" s="158"/>
      <c r="G47" s="158"/>
      <c r="H47" s="158"/>
      <c r="I47" s="209"/>
      <c r="J47" s="158"/>
      <c r="K47" s="158"/>
      <c r="L47" s="158"/>
      <c r="M47" s="209"/>
      <c r="N47" s="158"/>
      <c r="O47" s="158"/>
      <c r="P47" s="158"/>
      <c r="Q47" s="209"/>
      <c r="R47" s="201">
        <f t="shared" si="6"/>
        <v>0</v>
      </c>
      <c r="S47" s="165">
        <f t="shared" si="7"/>
        <v>0</v>
      </c>
      <c r="T47" s="200"/>
      <c r="U47" s="200"/>
      <c r="V47" s="200"/>
      <c r="W47" s="200"/>
      <c r="X47" s="200"/>
      <c r="Y47" s="160"/>
      <c r="Z47" s="160"/>
      <c r="AA47" s="160"/>
      <c r="AB47" s="160"/>
      <c r="AC47" s="160"/>
      <c r="AD47" s="160"/>
      <c r="AE47" s="160"/>
      <c r="AG47" s="158" t="s">
        <v>102</v>
      </c>
      <c r="AH47" s="158"/>
      <c r="AI47" s="158"/>
      <c r="AJ47" s="158"/>
      <c r="AK47" s="209"/>
      <c r="AL47" s="158"/>
      <c r="AM47" s="158"/>
      <c r="AN47" s="158"/>
      <c r="AO47" s="209"/>
      <c r="AP47" s="158"/>
      <c r="AQ47" s="158"/>
      <c r="AR47" s="158"/>
      <c r="AS47" s="209"/>
      <c r="AT47" s="158"/>
      <c r="AU47" s="158"/>
      <c r="AV47" s="158"/>
      <c r="AW47" s="209"/>
      <c r="AX47" s="201">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9"/>
      <c r="F48" s="158"/>
      <c r="G48" s="158"/>
      <c r="H48" s="158"/>
      <c r="I48" s="209"/>
      <c r="J48" s="158"/>
      <c r="K48" s="158"/>
      <c r="L48" s="158"/>
      <c r="M48" s="209"/>
      <c r="N48" s="158"/>
      <c r="O48" s="158"/>
      <c r="P48" s="158"/>
      <c r="Q48" s="209"/>
      <c r="R48" s="201">
        <f t="shared" si="6"/>
        <v>0</v>
      </c>
      <c r="S48" s="165">
        <f t="shared" si="7"/>
        <v>0</v>
      </c>
      <c r="T48" s="200"/>
      <c r="U48" s="200"/>
      <c r="V48" s="200"/>
      <c r="W48" s="200"/>
      <c r="X48" s="200"/>
      <c r="Y48" s="160"/>
      <c r="Z48" s="160"/>
      <c r="AA48" s="160"/>
      <c r="AB48" s="160"/>
      <c r="AC48" s="160"/>
      <c r="AD48" s="160"/>
      <c r="AE48" s="160"/>
      <c r="AG48" s="158" t="s">
        <v>103</v>
      </c>
      <c r="AH48" s="158"/>
      <c r="AI48" s="158"/>
      <c r="AJ48" s="158"/>
      <c r="AK48" s="209"/>
      <c r="AL48" s="158"/>
      <c r="AM48" s="158"/>
      <c r="AN48" s="158"/>
      <c r="AO48" s="209"/>
      <c r="AP48" s="158"/>
      <c r="AQ48" s="158"/>
      <c r="AR48" s="158"/>
      <c r="AS48" s="209"/>
      <c r="AT48" s="158"/>
      <c r="AU48" s="158"/>
      <c r="AV48" s="158"/>
      <c r="AW48" s="209"/>
      <c r="AX48" s="201">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9"/>
      <c r="F49" s="158"/>
      <c r="G49" s="158"/>
      <c r="H49" s="158"/>
      <c r="I49" s="209"/>
      <c r="J49" s="158"/>
      <c r="K49" s="158"/>
      <c r="L49" s="158"/>
      <c r="M49" s="209"/>
      <c r="N49" s="158"/>
      <c r="O49" s="158"/>
      <c r="P49" s="158"/>
      <c r="Q49" s="209"/>
      <c r="R49" s="201">
        <f t="shared" si="6"/>
        <v>0</v>
      </c>
      <c r="S49" s="165">
        <f t="shared" si="7"/>
        <v>0</v>
      </c>
      <c r="T49" s="200"/>
      <c r="U49" s="200"/>
      <c r="V49" s="200"/>
      <c r="W49" s="200"/>
      <c r="X49" s="200"/>
      <c r="Y49" s="160"/>
      <c r="Z49" s="160"/>
      <c r="AA49" s="160"/>
      <c r="AB49" s="160"/>
      <c r="AC49" s="160"/>
      <c r="AD49" s="160"/>
      <c r="AE49" s="160"/>
      <c r="AG49" s="158" t="s">
        <v>104</v>
      </c>
      <c r="AH49" s="158"/>
      <c r="AI49" s="158"/>
      <c r="AJ49" s="158"/>
      <c r="AK49" s="209"/>
      <c r="AL49" s="158"/>
      <c r="AM49" s="158"/>
      <c r="AN49" s="158"/>
      <c r="AO49" s="209"/>
      <c r="AP49" s="158"/>
      <c r="AQ49" s="158"/>
      <c r="AR49" s="158"/>
      <c r="AS49" s="209"/>
      <c r="AT49" s="158"/>
      <c r="AU49" s="158"/>
      <c r="AV49" s="158"/>
      <c r="AW49" s="209"/>
      <c r="AX49" s="201">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9"/>
      <c r="F50" s="158"/>
      <c r="G50" s="158"/>
      <c r="H50" s="158"/>
      <c r="I50" s="209"/>
      <c r="J50" s="158"/>
      <c r="K50" s="158"/>
      <c r="L50" s="158"/>
      <c r="M50" s="209"/>
      <c r="N50" s="158"/>
      <c r="O50" s="158"/>
      <c r="P50" s="158"/>
      <c r="Q50" s="209"/>
      <c r="R50" s="201">
        <f t="shared" si="6"/>
        <v>0</v>
      </c>
      <c r="S50" s="165">
        <f t="shared" si="7"/>
        <v>0</v>
      </c>
      <c r="T50" s="200"/>
      <c r="U50" s="200"/>
      <c r="V50" s="200"/>
      <c r="W50" s="200"/>
      <c r="X50" s="200"/>
      <c r="Y50" s="160"/>
      <c r="Z50" s="160"/>
      <c r="AA50" s="160"/>
      <c r="AB50" s="160"/>
      <c r="AC50" s="160"/>
      <c r="AD50" s="160"/>
      <c r="AE50" s="160"/>
      <c r="AG50" s="158" t="s">
        <v>105</v>
      </c>
      <c r="AH50" s="158"/>
      <c r="AI50" s="158"/>
      <c r="AJ50" s="158"/>
      <c r="AK50" s="209"/>
      <c r="AL50" s="158"/>
      <c r="AM50" s="158"/>
      <c r="AN50" s="158"/>
      <c r="AO50" s="209"/>
      <c r="AP50" s="158"/>
      <c r="AQ50" s="158"/>
      <c r="AR50" s="158"/>
      <c r="AS50" s="209"/>
      <c r="AT50" s="158"/>
      <c r="AU50" s="158"/>
      <c r="AV50" s="158"/>
      <c r="AW50" s="209"/>
      <c r="AX50" s="201">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9"/>
      <c r="F51" s="158"/>
      <c r="G51" s="158"/>
      <c r="H51" s="158"/>
      <c r="I51" s="209"/>
      <c r="J51" s="158"/>
      <c r="K51" s="158"/>
      <c r="L51" s="158"/>
      <c r="M51" s="209"/>
      <c r="N51" s="158"/>
      <c r="O51" s="158"/>
      <c r="P51" s="158"/>
      <c r="Q51" s="209"/>
      <c r="R51" s="201">
        <f t="shared" si="6"/>
        <v>0</v>
      </c>
      <c r="S51" s="165">
        <f t="shared" si="7"/>
        <v>0</v>
      </c>
      <c r="T51" s="200"/>
      <c r="U51" s="200"/>
      <c r="V51" s="200"/>
      <c r="W51" s="200"/>
      <c r="X51" s="200"/>
      <c r="Y51" s="160"/>
      <c r="Z51" s="160"/>
      <c r="AA51" s="160"/>
      <c r="AB51" s="160"/>
      <c r="AC51" s="160"/>
      <c r="AD51" s="160"/>
      <c r="AE51" s="160"/>
      <c r="AG51" s="158" t="s">
        <v>106</v>
      </c>
      <c r="AH51" s="158"/>
      <c r="AI51" s="158"/>
      <c r="AJ51" s="158"/>
      <c r="AK51" s="209"/>
      <c r="AL51" s="158"/>
      <c r="AM51" s="158"/>
      <c r="AN51" s="158"/>
      <c r="AO51" s="209"/>
      <c r="AP51" s="158"/>
      <c r="AQ51" s="158"/>
      <c r="AR51" s="158"/>
      <c r="AS51" s="209"/>
      <c r="AT51" s="158"/>
      <c r="AU51" s="158"/>
      <c r="AV51" s="158"/>
      <c r="AW51" s="209"/>
      <c r="AX51" s="201">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9"/>
      <c r="F52" s="158"/>
      <c r="G52" s="158"/>
      <c r="H52" s="158"/>
      <c r="I52" s="209"/>
      <c r="J52" s="158"/>
      <c r="K52" s="158"/>
      <c r="L52" s="158"/>
      <c r="M52" s="209"/>
      <c r="N52" s="158"/>
      <c r="O52" s="158"/>
      <c r="P52" s="158"/>
      <c r="Q52" s="209"/>
      <c r="R52" s="201">
        <f t="shared" si="6"/>
        <v>0</v>
      </c>
      <c r="S52" s="165">
        <f t="shared" si="7"/>
        <v>0</v>
      </c>
      <c r="T52" s="200"/>
      <c r="U52" s="200"/>
      <c r="V52" s="200"/>
      <c r="W52" s="200"/>
      <c r="X52" s="200"/>
      <c r="Y52" s="160"/>
      <c r="Z52" s="160"/>
      <c r="AA52" s="160"/>
      <c r="AB52" s="160"/>
      <c r="AC52" s="160"/>
      <c r="AD52" s="160"/>
      <c r="AE52" s="160"/>
      <c r="AG52" s="158" t="s">
        <v>107</v>
      </c>
      <c r="AH52" s="158"/>
      <c r="AI52" s="158"/>
      <c r="AJ52" s="158"/>
      <c r="AK52" s="209"/>
      <c r="AL52" s="158"/>
      <c r="AM52" s="158"/>
      <c r="AN52" s="158"/>
      <c r="AO52" s="209"/>
      <c r="AP52" s="158"/>
      <c r="AQ52" s="158"/>
      <c r="AR52" s="158"/>
      <c r="AS52" s="209"/>
      <c r="AT52" s="158"/>
      <c r="AU52" s="158"/>
      <c r="AV52" s="158"/>
      <c r="AW52" s="209"/>
      <c r="AX52" s="201">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9"/>
      <c r="F53" s="158"/>
      <c r="G53" s="158"/>
      <c r="H53" s="158"/>
      <c r="I53" s="209"/>
      <c r="J53" s="158"/>
      <c r="K53" s="158"/>
      <c r="L53" s="158"/>
      <c r="M53" s="209"/>
      <c r="N53" s="158"/>
      <c r="O53" s="158"/>
      <c r="P53" s="158"/>
      <c r="Q53" s="209"/>
      <c r="R53" s="201">
        <f t="shared" si="6"/>
        <v>0</v>
      </c>
      <c r="S53" s="165">
        <f t="shared" si="7"/>
        <v>0</v>
      </c>
      <c r="T53" s="200"/>
      <c r="U53" s="200"/>
      <c r="V53" s="200"/>
      <c r="W53" s="200"/>
      <c r="X53" s="200"/>
      <c r="Y53" s="160"/>
      <c r="Z53" s="160"/>
      <c r="AA53" s="160"/>
      <c r="AB53" s="160"/>
      <c r="AC53" s="160"/>
      <c r="AD53" s="160"/>
      <c r="AE53" s="160"/>
      <c r="AG53" s="158" t="s">
        <v>108</v>
      </c>
      <c r="AH53" s="158"/>
      <c r="AI53" s="158"/>
      <c r="AJ53" s="158"/>
      <c r="AK53" s="209"/>
      <c r="AL53" s="158"/>
      <c r="AM53" s="158"/>
      <c r="AN53" s="158"/>
      <c r="AO53" s="209"/>
      <c r="AP53" s="158"/>
      <c r="AQ53" s="158"/>
      <c r="AR53" s="158"/>
      <c r="AS53" s="209"/>
      <c r="AT53" s="158"/>
      <c r="AU53" s="158"/>
      <c r="AV53" s="158"/>
      <c r="AW53" s="209"/>
      <c r="AX53" s="201">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9"/>
      <c r="F54" s="158"/>
      <c r="G54" s="158"/>
      <c r="H54" s="158"/>
      <c r="I54" s="209"/>
      <c r="J54" s="158"/>
      <c r="K54" s="158"/>
      <c r="L54" s="158"/>
      <c r="M54" s="209"/>
      <c r="N54" s="158"/>
      <c r="O54" s="158"/>
      <c r="P54" s="158"/>
      <c r="Q54" s="209"/>
      <c r="R54" s="201">
        <f t="shared" si="6"/>
        <v>0</v>
      </c>
      <c r="S54" s="165">
        <f t="shared" si="7"/>
        <v>0</v>
      </c>
      <c r="T54" s="200"/>
      <c r="U54" s="200"/>
      <c r="V54" s="200"/>
      <c r="W54" s="200"/>
      <c r="X54" s="200"/>
      <c r="Y54" s="160"/>
      <c r="Z54" s="160"/>
      <c r="AA54" s="160"/>
      <c r="AB54" s="160"/>
      <c r="AC54" s="160"/>
      <c r="AD54" s="160"/>
      <c r="AE54" s="160"/>
      <c r="AG54" s="158" t="s">
        <v>109</v>
      </c>
      <c r="AH54" s="158"/>
      <c r="AI54" s="158"/>
      <c r="AJ54" s="158"/>
      <c r="AK54" s="209"/>
      <c r="AL54" s="158"/>
      <c r="AM54" s="158"/>
      <c r="AN54" s="158"/>
      <c r="AO54" s="209"/>
      <c r="AP54" s="158"/>
      <c r="AQ54" s="158"/>
      <c r="AR54" s="158"/>
      <c r="AS54" s="209"/>
      <c r="AT54" s="158"/>
      <c r="AU54" s="158"/>
      <c r="AV54" s="158"/>
      <c r="AW54" s="209"/>
      <c r="AX54" s="201">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9"/>
      <c r="F55" s="158"/>
      <c r="G55" s="158"/>
      <c r="H55" s="158"/>
      <c r="I55" s="209"/>
      <c r="J55" s="158"/>
      <c r="K55" s="158"/>
      <c r="L55" s="158"/>
      <c r="M55" s="209"/>
      <c r="N55" s="158"/>
      <c r="O55" s="158"/>
      <c r="P55" s="158"/>
      <c r="Q55" s="209"/>
      <c r="R55" s="201">
        <f t="shared" si="6"/>
        <v>0</v>
      </c>
      <c r="S55" s="165">
        <f t="shared" si="7"/>
        <v>0</v>
      </c>
      <c r="T55" s="200"/>
      <c r="U55" s="200"/>
      <c r="V55" s="200"/>
      <c r="W55" s="200"/>
      <c r="X55" s="200"/>
      <c r="Y55" s="160"/>
      <c r="Z55" s="160"/>
      <c r="AA55" s="160"/>
      <c r="AB55" s="160"/>
      <c r="AC55" s="160"/>
      <c r="AD55" s="160"/>
      <c r="AE55" s="160"/>
      <c r="AG55" s="158" t="s">
        <v>110</v>
      </c>
      <c r="AH55" s="158"/>
      <c r="AI55" s="158"/>
      <c r="AJ55" s="158"/>
      <c r="AK55" s="209"/>
      <c r="AL55" s="158"/>
      <c r="AM55" s="158"/>
      <c r="AN55" s="158"/>
      <c r="AO55" s="209"/>
      <c r="AP55" s="158"/>
      <c r="AQ55" s="158"/>
      <c r="AR55" s="158"/>
      <c r="AS55" s="209"/>
      <c r="AT55" s="158"/>
      <c r="AU55" s="158"/>
      <c r="AV55" s="158"/>
      <c r="AW55" s="209"/>
      <c r="AX55" s="201">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9"/>
      <c r="F56" s="158"/>
      <c r="G56" s="158"/>
      <c r="H56" s="158"/>
      <c r="I56" s="209"/>
      <c r="J56" s="158"/>
      <c r="K56" s="158"/>
      <c r="L56" s="158"/>
      <c r="M56" s="209"/>
      <c r="N56" s="158"/>
      <c r="O56" s="158"/>
      <c r="P56" s="158"/>
      <c r="Q56" s="209"/>
      <c r="R56" s="201">
        <f t="shared" si="6"/>
        <v>0</v>
      </c>
      <c r="S56" s="165">
        <f t="shared" si="7"/>
        <v>0</v>
      </c>
      <c r="T56" s="200"/>
      <c r="U56" s="200"/>
      <c r="V56" s="200"/>
      <c r="W56" s="200"/>
      <c r="X56" s="200"/>
      <c r="Y56" s="160"/>
      <c r="Z56" s="160"/>
      <c r="AA56" s="160"/>
      <c r="AB56" s="160"/>
      <c r="AC56" s="160"/>
      <c r="AD56" s="160"/>
      <c r="AE56" s="160"/>
      <c r="AG56" s="158" t="s">
        <v>111</v>
      </c>
      <c r="AH56" s="158"/>
      <c r="AI56" s="158"/>
      <c r="AJ56" s="158"/>
      <c r="AK56" s="209"/>
      <c r="AL56" s="158"/>
      <c r="AM56" s="158"/>
      <c r="AN56" s="158"/>
      <c r="AO56" s="209"/>
      <c r="AP56" s="158"/>
      <c r="AQ56" s="158"/>
      <c r="AR56" s="158"/>
      <c r="AS56" s="209"/>
      <c r="AT56" s="158"/>
      <c r="AU56" s="158"/>
      <c r="AV56" s="158"/>
      <c r="AW56" s="209"/>
      <c r="AX56" s="201">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9"/>
      <c r="F57" s="158"/>
      <c r="G57" s="158"/>
      <c r="H57" s="158"/>
      <c r="I57" s="209"/>
      <c r="J57" s="158"/>
      <c r="K57" s="158"/>
      <c r="L57" s="158"/>
      <c r="M57" s="209"/>
      <c r="N57" s="158"/>
      <c r="O57" s="158"/>
      <c r="P57" s="158"/>
      <c r="Q57" s="209"/>
      <c r="R57" s="201">
        <f t="shared" si="6"/>
        <v>0</v>
      </c>
      <c r="S57" s="165">
        <f t="shared" si="7"/>
        <v>0</v>
      </c>
      <c r="T57" s="200"/>
      <c r="U57" s="200"/>
      <c r="V57" s="200"/>
      <c r="W57" s="200"/>
      <c r="X57" s="200"/>
      <c r="Y57" s="160"/>
      <c r="Z57" s="160"/>
      <c r="AA57" s="160"/>
      <c r="AB57" s="160"/>
      <c r="AC57" s="160"/>
      <c r="AD57" s="160"/>
      <c r="AE57" s="160"/>
      <c r="AG57" s="158" t="s">
        <v>112</v>
      </c>
      <c r="AH57" s="158"/>
      <c r="AI57" s="158"/>
      <c r="AJ57" s="158"/>
      <c r="AK57" s="209"/>
      <c r="AL57" s="158"/>
      <c r="AM57" s="158"/>
      <c r="AN57" s="158"/>
      <c r="AO57" s="209"/>
      <c r="AP57" s="158"/>
      <c r="AQ57" s="158"/>
      <c r="AR57" s="158"/>
      <c r="AS57" s="209"/>
      <c r="AT57" s="158"/>
      <c r="AU57" s="158"/>
      <c r="AV57" s="158"/>
      <c r="AW57" s="209"/>
      <c r="AX57" s="201">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10">
        <f t="shared" si="10"/>
        <v>0</v>
      </c>
      <c r="F58" s="159">
        <f t="shared" si="10"/>
        <v>0</v>
      </c>
      <c r="G58" s="159">
        <f t="shared" si="10"/>
        <v>0</v>
      </c>
      <c r="H58" s="159">
        <f t="shared" si="10"/>
        <v>0</v>
      </c>
      <c r="I58" s="210">
        <f t="shared" si="10"/>
        <v>0</v>
      </c>
      <c r="J58" s="159">
        <f t="shared" si="10"/>
        <v>0</v>
      </c>
      <c r="K58" s="159">
        <f t="shared" si="10"/>
        <v>0</v>
      </c>
      <c r="L58" s="159">
        <f t="shared" si="10"/>
        <v>0</v>
      </c>
      <c r="M58" s="210">
        <f t="shared" si="10"/>
        <v>0</v>
      </c>
      <c r="N58" s="159">
        <f t="shared" si="10"/>
        <v>0</v>
      </c>
      <c r="O58" s="159">
        <f t="shared" si="10"/>
        <v>0</v>
      </c>
      <c r="P58" s="159">
        <f t="shared" si="10"/>
        <v>0</v>
      </c>
      <c r="Q58" s="210">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10">
        <f t="shared" si="11"/>
        <v>0</v>
      </c>
      <c r="AL58" s="159">
        <f t="shared" si="11"/>
        <v>0</v>
      </c>
      <c r="AM58" s="159">
        <f t="shared" si="11"/>
        <v>0</v>
      </c>
      <c r="AN58" s="159">
        <f t="shared" si="11"/>
        <v>0</v>
      </c>
      <c r="AO58" s="210">
        <f t="shared" si="11"/>
        <v>0</v>
      </c>
      <c r="AP58" s="159">
        <f t="shared" si="11"/>
        <v>0</v>
      </c>
      <c r="AQ58" s="159">
        <f t="shared" si="11"/>
        <v>0</v>
      </c>
      <c r="AR58" s="159">
        <f t="shared" si="11"/>
        <v>0</v>
      </c>
      <c r="AS58" s="210">
        <f t="shared" si="11"/>
        <v>0</v>
      </c>
      <c r="AT58" s="159">
        <f t="shared" si="11"/>
        <v>0</v>
      </c>
      <c r="AU58" s="159">
        <f t="shared" si="11"/>
        <v>0</v>
      </c>
      <c r="AV58" s="159">
        <f t="shared" si="11"/>
        <v>0</v>
      </c>
      <c r="AW58" s="210">
        <f t="shared" si="11"/>
        <v>0</v>
      </c>
      <c r="AX58" s="202">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1:BH1"/>
    <mergeCell ref="BI1:BK1"/>
    <mergeCell ref="A2:BH2"/>
    <mergeCell ref="BI2:BK2"/>
    <mergeCell ref="A3:BH3"/>
    <mergeCell ref="BI3:BK3"/>
    <mergeCell ref="A4:BH4"/>
    <mergeCell ref="BI4:BK4"/>
    <mergeCell ref="A5:AE5"/>
    <mergeCell ref="AG5:BK5"/>
    <mergeCell ref="B6:BK6"/>
    <mergeCell ref="B7:BK7"/>
    <mergeCell ref="A9:A10"/>
    <mergeCell ref="D9:E9"/>
    <mergeCell ref="H9:I9"/>
    <mergeCell ref="L9:M9"/>
    <mergeCell ref="P9:Q9"/>
    <mergeCell ref="R9:S9"/>
    <mergeCell ref="T9:Y9"/>
    <mergeCell ref="Z9:AE9"/>
    <mergeCell ref="AG9:AG10"/>
    <mergeCell ref="AJ9:AK9"/>
    <mergeCell ref="AN9:AO9"/>
    <mergeCell ref="AR9:AS9"/>
    <mergeCell ref="AV9:AW9"/>
    <mergeCell ref="AX9:AY9"/>
    <mergeCell ref="AZ9:BE9"/>
    <mergeCell ref="BF9:BK9"/>
    <mergeCell ref="A35:A36"/>
    <mergeCell ref="D35:E35"/>
    <mergeCell ref="H35:I35"/>
    <mergeCell ref="L35:M35"/>
    <mergeCell ref="P35:Q35"/>
    <mergeCell ref="R35:S35"/>
    <mergeCell ref="AV35:AW35"/>
    <mergeCell ref="AX35:AY35"/>
    <mergeCell ref="AZ35:BE35"/>
    <mergeCell ref="BF35:BK35"/>
    <mergeCell ref="T35:Y35"/>
    <mergeCell ref="Z35:AE35"/>
    <mergeCell ref="AG35:AG36"/>
    <mergeCell ref="AJ35:AK35"/>
    <mergeCell ref="AN35:AO35"/>
    <mergeCell ref="AR35:AS35"/>
  </mergeCells>
  <printOptions/>
  <pageMargins left="0.75" right="0.75" top="1" bottom="1" header="0.3" footer="0.3"/>
  <pageSetup fitToHeight="1" fitToWidth="1" horizontalDpi="600" verticalDpi="600" orientation="landscape" scale="3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lastPrinted>2023-07-11T01:32:18Z</cp:lastPrinted>
  <dcterms:created xsi:type="dcterms:W3CDTF">2011-04-26T22:16:52Z</dcterms:created>
  <dcterms:modified xsi:type="dcterms:W3CDTF">2023-08-08T16:52:14Z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