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0.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1.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drawings/drawing1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8" activeTab="8"/>
  </bookViews>
  <sheets>
    <sheet name="Metas PA proyecto" sheetId="1" state="hidden" r:id="rId1"/>
    <sheet name="Meta 1..n" sheetId="2" state="hidden" r:id="rId2"/>
    <sheet name="Indicadores PA" sheetId="3" state="hidden" r:id="rId3"/>
    <sheet name="Territorialización PA" sheetId="4" state="hidden" r:id="rId4"/>
    <sheet name="Instructivo" sheetId="5" state="hidden" r:id="rId5"/>
    <sheet name="Generalidades" sheetId="6" state="hidden" r:id="rId6"/>
    <sheet name="RESERVA" sheetId="7" state="hidden" r:id="rId7"/>
    <sheet name="VIGENCIA" sheetId="8" state="hidden" r:id="rId8"/>
    <sheet name="Meta 1" sheetId="9" r:id="rId9"/>
    <sheet name="Metas 2" sheetId="10" r:id="rId10"/>
    <sheet name="Meta 3" sheetId="11" r:id="rId11"/>
    <sheet name="Meta 4" sheetId="12" r:id="rId12"/>
    <sheet name="1. Ind. PA - DE" sheetId="13" state="hidden" r:id="rId13"/>
    <sheet name="2. Ind PA - GT" sheetId="14" state="hidden" r:id="rId14"/>
    <sheet name="3. Ind PA - TH" sheetId="15" state="hidden" r:id="rId15"/>
    <sheet name="4. Ind PA - Planeación" sheetId="16" state="hidden" r:id="rId16"/>
    <sheet name="5. Ind PA - Seg Ev y C" sheetId="17" state="hidden" r:id="rId17"/>
    <sheet name="6. Ind PA - GD" sheetId="18" state="hidden" r:id="rId18"/>
    <sheet name="7. Ind PA - GF" sheetId="19" state="hidden" r:id="rId19"/>
    <sheet name="8. Ind PA - GA" sheetId="20" state="hidden" r:id="rId20"/>
    <sheet name="9. Ind PA - CDI" sheetId="21" state="hidden" r:id="rId21"/>
    <sheet name="10. Ind PA - Contratación" sheetId="22" state="hidden" r:id="rId22"/>
    <sheet name="11. Ind PA - AC" sheetId="23" state="hidden" r:id="rId23"/>
    <sheet name="12. Ind PA - OAJ" sheetId="24" state="hidden" r:id="rId24"/>
    <sheet name="Hoja13" sheetId="25" state="hidden" r:id="rId25"/>
    <sheet name="Hoja1" sheetId="26" state="hidden" r:id="rId26"/>
  </sheets>
  <externalReferences>
    <externalReference r:id="rId29"/>
  </externalReferences>
  <definedNames>
    <definedName name="_xlfn.IFERROR" hidden="1">#NAME?</definedName>
    <definedName name="_xlnm.Print_Area" localSheetId="12">'1. Ind. PA - DE'!$A$1:$AY$20</definedName>
    <definedName name="_xlnm.Print_Area" localSheetId="21">'10. Ind PA - Contratación'!$A$3:$AY$23</definedName>
    <definedName name="_xlnm.Print_Area" localSheetId="22">'11. Ind PA - AC'!$A$1:$AY$25</definedName>
    <definedName name="_xlnm.Print_Area" localSheetId="23">'12. Ind PA - OAJ'!$A$1:$AY$22</definedName>
    <definedName name="_xlnm.Print_Area" localSheetId="13">'2. Ind PA - GT'!$A$1:$AY$23</definedName>
    <definedName name="_xlnm.Print_Area" localSheetId="14">'3. Ind PA - TH'!$A$1:$AY$21</definedName>
    <definedName name="_xlnm.Print_Area" localSheetId="15">'4. Ind PA - Planeación'!$A$1:$AY$22</definedName>
    <definedName name="_xlnm.Print_Area" localSheetId="16">'5. Ind PA - Seg Ev y C'!$A$1:$AY$19</definedName>
    <definedName name="_xlnm.Print_Area" localSheetId="17">'6. Ind PA - GD'!$A$1:$AY$20</definedName>
    <definedName name="_xlnm.Print_Area" localSheetId="18">'7. Ind PA - GF'!$A$1:$AY$19</definedName>
    <definedName name="_xlnm.Print_Area" localSheetId="19">'8. Ind PA - GA'!$A$1:$AY$20</definedName>
    <definedName name="_xlnm.Print_Area" localSheetId="20">'9. Ind PA - CDI'!$A$1:$AY$18</definedName>
    <definedName name="_xlnm.Print_Area" localSheetId="8">'Meta 1'!$A$1:$AD$43</definedName>
    <definedName name="_xlnm.Print_Area" localSheetId="10">'Meta 3'!$A$1:$AD$43</definedName>
    <definedName name="_xlnm.Print_Area" localSheetId="11">'Meta 4'!$A$1:$AD$50</definedName>
    <definedName name="_xlnm.Print_Area" localSheetId="9">'Metas 2'!$A$1:$AD$49</definedName>
    <definedName name="_xlnm.Print_Area" localSheetId="0">'Metas PA proyecto'!$A$1:$AD$45</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2.xml><?xml version="1.0" encoding="utf-8"?>
<comments xmlns="http://schemas.openxmlformats.org/spreadsheetml/2006/main">
  <authors>
    <author>Usuario de Microsoft Office</author>
    <author>Microsoft Office User</author>
    <author/>
  </authors>
  <commentList>
    <comment ref="O24" authorId="0">
      <text>
        <r>
          <rPr>
            <b/>
            <sz val="10"/>
            <rFont val="Calibri"/>
            <family val="2"/>
          </rPr>
          <t>Usuario de Microsoft Office:</t>
        </r>
        <r>
          <rPr>
            <sz val="10"/>
            <rFont val="Calibri"/>
            <family val="2"/>
          </rPr>
          <t xml:space="preserve">
Se tiene prevista la liberación de $2´200.000</t>
        </r>
      </text>
    </comment>
    <comment ref="C32"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3.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4"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5"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6"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 ref="N17"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8.xml><?xml version="1.0" encoding="utf-8"?>
<comments xmlns="http://schemas.openxmlformats.org/spreadsheetml/2006/main">
  <authors>
    <author>Microsoft Office User</author>
    <author>stefania vidal p</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M13" authorId="1">
      <text>
        <r>
          <rPr>
            <b/>
            <sz val="14"/>
            <rFont val="Tahoma"/>
            <family val="2"/>
          </rPr>
          <t>stefania vidal p:</t>
        </r>
        <r>
          <rPr>
            <sz val="14"/>
            <rFont val="Tahoma"/>
            <family val="2"/>
          </rPr>
          <t xml:space="preserve">
NO DEBE HABER INFORMACIÓN DE LOS MESES ABRIL Y MAYO, SOLO EN JUNIO, QUE ES EL MES DEL REPORTE PROGRAMADO. 
</t>
        </r>
        <r>
          <rPr>
            <b/>
            <sz val="14"/>
            <rFont val="Tahoma"/>
            <family val="2"/>
          </rPr>
          <t>Nayla Isaza:</t>
        </r>
        <r>
          <rPr>
            <sz val="14"/>
            <rFont val="Tahoma"/>
            <family val="2"/>
          </rPr>
          <t xml:space="preserve">
La razon por la que se colocaron los avances en metros de los meses de abril y mayo, es por el rezago que se trae de marzo, se ajusto en abril, y para cumplir en junio q solo salen 2 mts, creimos necesario que se viera que la mayor gestión fue en mayo con 13,25 mt., para con los 2mts de junio, cumplir con la meta de 27 mts.  Los voy a eliminar, pero es importante que uds tengan esa claridad, porque entonces quedamos con 1 solo mt de transferencia desde marzo a los 27 de junio.. Ok?</t>
        </r>
      </text>
    </comment>
    <comment ref="AW13" authorId="1">
      <text>
        <r>
          <rPr>
            <b/>
            <sz val="9"/>
            <rFont val="Tahoma"/>
            <family val="2"/>
          </rPr>
          <t>stefania vidal p:</t>
        </r>
        <r>
          <rPr>
            <sz val="9"/>
            <rFont val="Tahoma"/>
            <family val="2"/>
          </rPr>
          <t xml:space="preserve">
LA INFORMACIÓN A REPORTAR DEBE SER DE LOS 2 TRIMESTRES (1 ENERO - 30 DE JUNIO) NO SE DEBE ENUNCIAR EL MES MAYO. </t>
        </r>
      </text>
    </comment>
  </commentList>
</comments>
</file>

<file path=xl/comments19.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20.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5"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2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2.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3.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2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3.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<sst xmlns="http://schemas.openxmlformats.org/spreadsheetml/2006/main" count="3656" uniqueCount="988">
  <si>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</si>
  <si>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</si>
  <si>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</si>
  <si>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</si>
  <si>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</si>
  <si>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</si>
  <si>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</si>
  <si>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</si>
  <si>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</si>
  <si>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</si>
  <si>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</si>
  <si>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</si>
  <si>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</si>
  <si>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</si>
  <si>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</si>
  <si>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</si>
  <si>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</si>
  <si>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</si>
  <si>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</si>
  <si>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</si>
  <si>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</si>
  <si>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</si>
  <si>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</si>
  <si>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</si>
  <si>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</si>
  <si>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</si>
  <si>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</si>
  <si>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</si>
  <si>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</si>
  <si>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</si>
  <si>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</si>
  <si>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</si>
  <si>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</si>
  <si>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</si>
  <si>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</si>
  <si>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</si>
  <si>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</si>
  <si>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</si>
  <si>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</si>
  <si>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</si>
  <si>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</si>
  <si>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</si>
  <si>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</si>
  <si>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</si>
  <si>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</si>
  <si>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</si>
  <si>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</si>
  <si>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</si>
  <si>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</si>
  <si>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</si>
  <si>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</si>
  <si>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</si>
  <si>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</si>
  <si>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</si>
  <si>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</si>
  <si>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</si>
  <si>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</si>
  <si>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</si>
  <si>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</si>
  <si>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</si>
  <si>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</si>
  <si>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</si>
  <si>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</si>
  <si>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</si>
  <si>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</si>
  <si>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</si>
  <si>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</si>
  <si>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</si>
  <si>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</si>
  <si>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</si>
  <si>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</si>
  <si>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</si>
  <si>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</si>
  <si>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</si>
  <si>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</si>
  <si>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</si>
  <si>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</si>
  <si>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</si>
  <si>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</si>
  <si>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</si>
  <si>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</si>
  <si>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</si>
  <si>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</si>
  <si>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</si>
  <si>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</si>
  <si>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</si>
  <si>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</si>
  <si>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</si>
  <si>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</si>
  <si>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</si>
  <si>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</si>
  <si>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</si>
  <si>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</si>
  <si>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</si>
  <si>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</si>
  <si>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</si>
  <si>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</si>
  <si>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</si>
  <si>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</si>
  <si>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</si>
  <si>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</si>
  <si>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</si>
  <si>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</si>
  <si>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</si>
  <si>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</si>
  <si>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</si>
  <si>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</si>
  <si>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</si>
  <si>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</si>
  <si>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</si>
  <si>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</si>
  <si>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</si>
  <si>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</si>
  <si>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</si>
  <si>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</si>
  <si>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</si>
  <si>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</si>
  <si>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</si>
  <si>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</si>
  <si>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</si>
  <si>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</si>
  <si>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</si>
  <si>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</si>
  <si>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</si>
  <si>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</si>
  <si>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</si>
  <si>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</si>
  <si>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</si>
  <si>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</si>
  <si>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</si>
  <si>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</si>
  <si>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</si>
  <si>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</si>
  <si>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</si>
  <si>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</si>
  <si>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</si>
  <si>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</si>
  <si>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</si>
  <si>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</si>
  <si>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</si>
  <si>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</si>
  <si>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</si>
  <si>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</si>
  <si>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</si>
  <si>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</si>
  <si>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</si>
  <si>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</si>
  <si>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</si>
  <si>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</si>
  <si>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</si>
  <si>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</si>
  <si>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</si>
  <si>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</si>
  <si>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</si>
  <si>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</si>
  <si>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</si>
  <si>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</si>
  <si>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</si>
  <si>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</si>
  <si>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</si>
  <si>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</si>
  <si>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</si>
  <si>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</si>
  <si>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</si>
  <si>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</si>
  <si>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</si>
  <si>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</si>
  <si>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</si>
  <si>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</si>
  <si>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</si>
  <si>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</si>
  <si>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</si>
  <si>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</si>
  <si>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</si>
  <si>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</si>
  <si>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</si>
  <si>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</si>
  <si>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</si>
  <si>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</si>
  <si>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</si>
  <si>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</si>
  <si>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</si>
  <si>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</si>
  <si>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</si>
  <si>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</si>
  <si>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</si>
  <si>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</si>
  <si>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</si>
  <si>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</si>
  <si>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</si>
  <si>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</si>
  <si>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</si>
  <si>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</si>
  <si>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</si>
  <si>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</si>
  <si>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</si>
  <si>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</si>
  <si>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</si>
  <si>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</si>
  <si>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</si>
  <si>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</si>
  <si>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</si>
  <si>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</si>
  <si>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</si>
  <si>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</si>
  <si>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</si>
  <si>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</si>
  <si>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</si>
  <si>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</si>
  <si>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</si>
  <si>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</si>
  <si>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</si>
  <si>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</si>
  <si>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</si>
  <si>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</si>
  <si>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</si>
  <si>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</si>
  <si>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</si>
  <si>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</si>
  <si>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</si>
  <si>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</si>
  <si>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</si>
  <si>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</si>
  <si>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</si>
  <si>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</si>
  <si>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</si>
  <si>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</si>
  <si>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</si>
  <si>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</si>
  <si>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</si>
  <si>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</si>
  <si>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</si>
  <si>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</si>
  <si>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</si>
  <si>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</si>
  <si>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</si>
  <si>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</si>
  <si>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</si>
  <si>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</si>
  <si>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</si>
  <si>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</si>
  <si>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</si>
  <si>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</si>
  <si>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</si>
  <si>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</si>
  <si>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</si>
  <si>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</si>
  <si>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</si>
  <si>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</si>
  <si>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</si>
  <si>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</si>
  <si>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</si>
  <si>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</si>
  <si>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</si>
  <si>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</si>
  <si>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</si>
  <si>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</si>
  <si>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</si>
  <si>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</si>
  <si>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</si>
  <si>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</si>
  <si>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</si>
  <si>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</si>
  <si>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</si>
  <si>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</si>
  <si>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</si>
  <si>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</si>
  <si>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</si>
  <si>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</si>
  <si>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</si>
  <si>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</si>
  <si>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</si>
  <si>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</si>
  <si>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</si>
  <si>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</si>
  <si>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</si>
  <si>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</si>
  <si>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</si>
  <si>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</si>
  <si>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</si>
  <si>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</si>
  <si>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</si>
  <si>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</si>
  <si>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</si>
  <si>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</si>
  <si>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</si>
  <si>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</si>
  <si>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</si>
  <si>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</si>
  <si>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</si>
  <si>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</si>
  <si>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</si>
  <si>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</si>
  <si>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</si>
  <si>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</si>
  <si>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</si>
  <si>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</si>
  <si>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</si>
  <si>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</si>
  <si>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</si>
  <si>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</si>
  <si>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</si>
  <si>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</si>
  <si>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</si>
  <si>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</si>
  <si>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</si>
  <si>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</si>
  <si>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</si>
  <si>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</si>
  <si>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</si>
  <si>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</si>
  <si>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</si>
  <si>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</si>
  <si>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</si>
  <si>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</si>
  <si>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</si>
  <si>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</si>
  <si>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</si>
  <si>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</si>
  <si>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</si>
  <si>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</si>
  <si>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</si>
  <si>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</si>
  <si>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</si>
  <si>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</si>
  <si>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</si>
  <si>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</si>
  <si>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</si>
  <si>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</si>
  <si>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</si>
  <si>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</si>
  <si>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</si>
  <si>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</si>
  <si>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</si>
  <si>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</si>
  <si>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</si>
  <si>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</si>
  <si>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</si>
  <si>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</si>
  <si>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</si>
  <si>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</si>
  <si>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</si>
  <si>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</si>
  <si>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</si>
  <si>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</si>
  <si>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</si>
  <si>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</si>
  <si>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</si>
  <si>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</si>
  <si>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</si>
  <si>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</si>
  <si>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</si>
  <si>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</si>
  <si>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</si>
  <si>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</si>
  <si>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</si>
  <si>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</si>
  <si>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</si>
  <si>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</si>
  <si>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</si>
  <si>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</si>
  <si>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</si>
  <si>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</si>
  <si>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</si>
  <si>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</si>
  <si>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</si>
  <si>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</si>
  <si>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</si>
  <si>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</si>
  <si>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</si>
  <si>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</si>
  <si>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</si>
  <si>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</si>
  <si>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</si>
  <si>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</si>
  <si>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</si>
  <si>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</si>
  <si>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</si>
  <si>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</si>
  <si>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</si>
  <si>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</si>
  <si>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</si>
  <si>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</si>
  <si>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</si>
  <si>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</si>
  <si>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</si>
  <si>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</si>
  <si>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</si>
  <si>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</si>
  <si>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</si>
  <si>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</si>
  <si>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</si>
  <si>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</si>
  <si>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</si>
  <si>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</si>
  <si>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</si>
  <si>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</si>
  <si>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</si>
  <si>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</si>
  <si>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</si>
  <si>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</si>
  <si>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</si>
  <si>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</si>
  <si>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Avances y Logros Mensual (2.000 caracteres)</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</si>
  <si>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</si>
  <si>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</si>
  <si>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Avances y Logros Acumulado 
(2.000 caracteres)</t>
  </si>
  <si>
    <t>EXPLICACIÓN: En este campo se deberá diligenciar lo relacionando con los beneficio, de forma acumulada e integrada.</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</si>
  <si>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</si>
  <si>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</si>
  <si>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</si>
  <si>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</si>
  <si>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</si>
  <si>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</si>
  <si>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</si>
  <si>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</si>
  <si>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</si>
  <si>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</si>
  <si>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</si>
  <si>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</si>
  <si>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</si>
  <si>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</si>
  <si>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</si>
  <si>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</si>
  <si>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</si>
  <si>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</si>
  <si>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05 - Construir Bogotá Región con gobierno abierto, transparente y ciudadanía consciente</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</si>
  <si>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</si>
  <si>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</si>
  <si>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</si>
  <si>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Suma</t>
  </si>
  <si>
    <t>%</t>
  </si>
  <si>
    <t>(No de actualizaciones desarrolladas en plataformas virtuales/No de actualizaciones programadas o solicitadas en plataformas virtuales)*100*(peso ponderado del periodo de medición)</t>
  </si>
  <si>
    <t>Trimestral</t>
  </si>
  <si>
    <t>Evidencias de actualización de la Información relacionada al proceso de Atención a la Ciudadanía en plataformas virtuales</t>
  </si>
  <si>
    <t>Desarrollar actividades para evaluar el cumplimiento de los aspectos de accesibilidad al medio físico en los puntos de atención a la ciudadanía.</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</si>
  <si>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</si>
  <si>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</si>
  <si>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</si>
  <si>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</si>
  <si>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</si>
  <si>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</si>
  <si>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</si>
  <si>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</si>
  <si>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Cuatrimestral</t>
  </si>
  <si>
    <t>Evidencias del desarrollo de sensibilizaciones en temas de atención a la ciudadanía y gestión de peticiones ciudadanas</t>
  </si>
  <si>
    <t>Difundir mínimo 6 piezas comunicacionales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</si>
  <si>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</si>
  <si>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</si>
  <si>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</si>
  <si>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N/A</t>
  </si>
  <si>
    <t>Realizar el seguimiento y revisión de los documentos asociados al proceso de Atención a la Ciudadanía para identificar su necesidad de actualización.</t>
  </si>
  <si>
    <t>Porcentaje de avance en la ejecución de las actividades programadas para el seguimiento y actualización a la documentación del proceso de atención a la ciudadanía.</t>
  </si>
  <si>
    <t>Constante</t>
  </si>
  <si>
    <t>(Número de actividades de seguimiento a la documentación realizadas en el periodo de medición/Número de actividades programadas o solicitadas de seguimiento a la documentación)*100</t>
  </si>
  <si>
    <t>Semestral</t>
  </si>
  <si>
    <t>Actas de reuniones realizadas para revisión documental</t>
  </si>
  <si>
    <t>Recibir, registrar, asignar y hacer seguimiento a la gestión de las peticiones ciudadanas (PQRS) y al manejo del Sistema Distrital para la Gestión de Peticiones Ciudadanas, Bogotá te escucha.</t>
  </si>
  <si>
    <t>Porcentaje de respuestas peticiones ciudadanas con respuesta oportuna de acuerdo con la normatividad vigente</t>
  </si>
  <si>
    <t>(No de peticiones ciudadanas atendidas oportunamente/No de peticiones ciudadana recibidas)</t>
  </si>
  <si>
    <t>Mensual</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</si>
  <si>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</si>
  <si>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</si>
  <si>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</si>
  <si>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</si>
  <si>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</si>
  <si>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Adoptar las sugerencias enviadas por la Dirección Distrital de Calidad del Servicio de la Secretaría General de la Alcaldía Mayor, las cuales son remitidas a la Entidad solo cuando se generan observaciones frente al cumplimiento de los criterios de calidad y oportunidad en la emisión de respuestas de PQRS y la operatividad del Sistema Distrital para la Gestión de Peticiones Ciudadanas - Bogotá te escucha.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</si>
  <si>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</si>
  <si>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</si>
  <si>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Informes de seguimiento a la adopción de las sugerencias relacionadas con la emisión de respuestas y la operatividad del sistema Bogotá Te Escucha</t>
  </si>
  <si>
    <t>Elaborar informes mensuales de seguimiento a la gestión de las peticiones ciudadanas.</t>
  </si>
  <si>
    <t>Informes de seguimiento a la gestión de las peticiones ciudadanas.</t>
  </si>
  <si>
    <t>No. de informes de seguimiento a la gestión de las peticiones ciudadanas.</t>
  </si>
  <si>
    <t>Informes mensuales de seguimiento</t>
  </si>
  <si>
    <t>Medir la satisfacción de la ciudadanía con respecto a la atención y retroalimentar sus resultados.</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</si>
  <si>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</si>
  <si>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</si>
  <si>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</si>
  <si>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Fecha de Emisión: 10 de enero de 2023</t>
  </si>
  <si>
    <t>Planeación y Gestión</t>
  </si>
  <si>
    <t>NA</t>
  </si>
  <si>
    <t xml:space="preserve">Soportar el 100% en la implementación del Modelo Integrado de Planeación y Gestión </t>
  </si>
  <si>
    <t>(No. acciones ejecutadas del plan de adecuación y sostenibilidad de MIPG durante el periodo de medición / No. de acciones totales del plan de adecuación y sostenibilidad de MIPG)*100</t>
  </si>
  <si>
    <t>Seguimiento al plan de adecuación y sostenibilidad de MIPG</t>
  </si>
  <si>
    <t>Efectuar el 100% de las solicitudes documentales de los procesos  que lo requieran para la mejora del sistema de gestión.</t>
  </si>
  <si>
    <t xml:space="preserve">((No. de solicitudes documentales atendidas  / No. Total de solicitudes recibidas)*100)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</si>
  <si>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</si>
  <si>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</si>
  <si>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Ejecutar el 100% del Plan Institucional de Gestión Ambiental - PIGA 2023</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</si>
  <si>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</si>
  <si>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</si>
  <si>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Monitorear, orientar y acompañar al 100% de los procesos en las actividades de riesgos de corrupción, gestión y sarlaft </t>
  </si>
  <si>
    <t>(No. de procesos monitoreados, orientados y acompañados en actividades de riesgos / No. total de procesos) * 100</t>
  </si>
  <si>
    <t xml:space="preserve">Matriz de monitoreo, orientación y acompañamiento a riesgos </t>
  </si>
  <si>
    <t>Mantener actualizada al 100% la información que se debe publicar en el Botón de transparencia de acuerdo con la normatividad vigente</t>
  </si>
  <si>
    <t>(No. de publicaciones realizadas en Boton de Transparencia en el período de medición / No. de publicaciones solicitadas en el periodo de medición)* 100</t>
  </si>
  <si>
    <t>Matriz de seguimiento que refleje la actualización de información en el botón de transparencia en cada numeral y dependencia responsable.</t>
  </si>
  <si>
    <t>7662 - Fortalecimiento a la gestión institucional de la SDMujer en Bogotá</t>
  </si>
  <si>
    <t>Soportar al 100% la implementación de las políticas del Modelo Integrado de Planeación y Gestión</t>
  </si>
  <si>
    <t>Soportar la  implementación y mantenimiento del Sistema de Gestión en el marco de MIPG</t>
  </si>
  <si>
    <t>Implementar buenas prácticas de gestión en la Secretaría Distrital de la Mujer.</t>
  </si>
  <si>
    <t>Seguimiento Evaluación y Control</t>
  </si>
  <si>
    <t>Planear, ejecutar las auditorías programadas en el Plan Anual de Auditoría, asi como emitir y publicar el informe con los resultados.</t>
  </si>
  <si>
    <t>Informes de Auditoria elaborados, remitidos y publicados de acuerdo con el Plan Anual de Auditoría aprobado.</t>
  </si>
  <si>
    <t>Porcentaje</t>
  </si>
  <si>
    <t>(Número de Informes de auditoria emitidos/Número de Informes de auditoria programados)*100</t>
  </si>
  <si>
    <t>Informes de auditorías emitidos.</t>
  </si>
  <si>
    <t>Elaborar, remitir y publicar los informes de seguimiento establecidos en el Plan Anual de Auditoría aprobado.</t>
  </si>
  <si>
    <t>Informes de seguimiento elaborados, remitidos y publicados de acuerdo con el Plan Anual de Auditoría aprobado.</t>
  </si>
  <si>
    <t>(Número de Informes de seguimiento emitidos/Número de Informes de seguimiento programados)*100</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</si>
  <si>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</si>
  <si>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</si>
  <si>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</si>
  <si>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(Número de Informes reglamentarios emitidos/Número de Informes reglamentarios programados)*100</t>
  </si>
  <si>
    <t>Informes reglamentarios emitidos.</t>
  </si>
  <si>
    <t>Ejecutar actividades de consultoría (asesoría y aocmpañamiento) requeridas, que contribuyan al mejoramiento de la gestión y desempeño de la entidad.</t>
  </si>
  <si>
    <t>Actividades de consultoría (asesoría y aocmpañamiento)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</si>
  <si>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</si>
  <si>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</si>
  <si>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Control Disciplinario Interno</t>
  </si>
  <si>
    <t>Expedir cincuenta (50) decisiones de fondo dentro de los procesos disciplinarios iniciados en  2018, 2019, 2020, 2021, 2022 y 2023.</t>
  </si>
  <si>
    <t>Número de autos proferidos</t>
  </si>
  <si>
    <t>suma</t>
  </si>
  <si>
    <t>Autos</t>
  </si>
  <si>
    <t>Informe semestral de las decisones de fondo que son proferidas por la OCDI Sdmujer</t>
  </si>
  <si>
    <t>Informe semestral soportado a traves de una matriz de las decisones de fondo que son proferidas por la OCDI Sdmujer</t>
  </si>
  <si>
    <t>Adelantar veinte (20) jornadas de prevención de la falta disciplinaria dirigidas a servidoras, servidores y contratistas de la SDMujer.</t>
  </si>
  <si>
    <t>Número de jornadas de prevención.</t>
  </si>
  <si>
    <t>Jornadas</t>
  </si>
  <si>
    <t>Informe mensual de las diferentes jornadas adelantadas por la OCDI SDMujer</t>
  </si>
  <si>
    <t>Informe mensual de las diferentes jornadas de prevención  adelantadas por la OCDI SDMujer</t>
  </si>
  <si>
    <t>Realizar dos (2) Conversatorios de Derecho Disciplinario para servidoras, servidores y contratistas de la SDMujer.</t>
  </si>
  <si>
    <t>Número de Conversatorios de Derecho Disciplinario</t>
  </si>
  <si>
    <t>Conversatorios</t>
  </si>
  <si>
    <t>Gestión de Talento Humano</t>
  </si>
  <si>
    <t>Formular, ejecutar y evaluar el Plan de Bienestar Social, Estímulos e Incentivos en la Entidad, para la vigencia 2023.</t>
  </si>
  <si>
    <t>Porcentaje de actividades del Plan de Bienestar Social, Estímulos e Incentivos ejecutadas.</t>
  </si>
  <si>
    <t>(No. de actividades ejecutadas en el Plan de Bienestar Social, Estímulos e Incentivos durante el periodo de medición / No. de actividades programadas del Plan de Bienestar Social, Estímulos e Incentivos) *100</t>
  </si>
  <si>
    <t>TRIMESTRAL</t>
  </si>
  <si>
    <t>Actas, registros de asistencia, registros fotográficos, videos, piezas de comunicación, correos electrónicos, certificados, comunicaciones internas y externas, archivos de excel, presentaciones power point, invitaciones, entre otros, de las actividades ejecutadas.</t>
  </si>
  <si>
    <t>Plan Institucional de Capacitación - PIC.</t>
  </si>
  <si>
    <t>Formular, ejecutar y evaluar el Plan Institucional Capacitación - PIC, así como los programas de inducción y reinducción de la Secretaría Distrital de la Mujer, para la vigencia 2023.</t>
  </si>
  <si>
    <t>Porcentaje de actividades previstas en el Plan Institucional de Capacitación - PIC y de los programas de inducción y reinducción ejecutadas.</t>
  </si>
  <si>
    <t>(No. de actividades ejecutadas en el Plan Institucional de Capacitación - PIC durante el periodo de medición/ No. de actividades programadas en el Plan Institucional de Capacitación - PIC) *100</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</si>
  <si>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</si>
  <si>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2023.</t>
  </si>
  <si>
    <t>Porcentaje de las actividades previstas en el Plan de Trabajo Anual de Seguridad y Salud en el Trabajo ejecutadas</t>
  </si>
  <si>
    <t>(No. de actividades ejecutadas en el Plan Anual de Seguridad y Salud en el Trabajo durante el periodo de medición / No. de actividades programadas en el Plan Anual de Seguridad y Salud en el Trabajo) *100</t>
  </si>
  <si>
    <t>Formular y ejecutar el Plan  de Gestión de Integridad establecido en el Componente de Iniciativas Adicionales del Plan de Anticorrupción y Atención a la Ciudadanía - PAAC, para la vigencia 2023.</t>
  </si>
  <si>
    <t>Porcentaje de las actividades previstas en el el Plan  de Gestión de Integridad establecido en el Componente de Iniciativas Adicionales del Plan de Anticorrupción y Atención a la Ciudadanía - PAAC ejecutadas.</t>
  </si>
  <si>
    <t>(No. de actividades ejecutadas en el Plan  de Gestión de Integridad establecido en el Componente de Iniciativas Adicionales del Plan de Anticorrupción y Atención a la Ciudadanía - PAAC durante el periodo de medición / No. de actividades programadas en el el Plan  de Gestión de Integridad establecido en el Componente de Iniciativas Adicionales del Plan de Anticorrupción y Atención a la Ciudadanía - PAAC) *100</t>
  </si>
  <si>
    <t>CUATRIMESTRAL</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</si>
  <si>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</si>
  <si>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Dirección de 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</si>
  <si>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</si>
  <si>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</si>
  <si>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</si>
  <si>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</si>
  <si>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</si>
  <si>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</si>
  <si>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Minutas (Secop II) de los Contratos Electrónicos y Minutas (Secop I) cuando aplique</t>
  </si>
  <si>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</si>
  <si>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</si>
  <si>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</si>
  <si>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</si>
  <si>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</si>
  <si>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</si>
  <si>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</si>
  <si>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</si>
  <si>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Correos, oficios o memorandos con respuestas emitidas</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</si>
  <si>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</si>
  <si>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</si>
  <si>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</si>
  <si>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</si>
  <si>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(No. de liquidaciones realizadas  /No. de soliciutdes liquidaciones radicadas ) * 100 (peso porcentual del periodo)</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</si>
  <si>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</si>
  <si>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</si>
  <si>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</si>
  <si>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Memorandos y/o correos remitidos a las dependencias.</t>
  </si>
  <si>
    <t>Ejecutar el 100%  las actividades programadas para una correcta gestión administrativa y organizacional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</si>
  <si>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</si>
  <si>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t xml:space="preserve">CONTRATACIÓN : </t>
    </r>
    <r>
      <rPr>
        <sz val="11"/>
        <rFont val="Times New Roman"/>
        <family val="1"/>
      </rPr>
      <t>Tramitar las diferentes solicitudes radicadas en la Dirección de contratación  en las etapas (Precontractual, Contractual y Postcontractual).</t>
    </r>
  </si>
  <si>
    <r>
      <rPr>
        <b/>
        <sz val="11"/>
        <rFont val="Times New Roman"/>
        <family val="1"/>
      </rPr>
      <t>TALENTO HUMANO :</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</si>
  <si>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</si>
  <si>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</si>
  <si>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Informes enviados</t>
  </si>
  <si>
    <t xml:space="preserve">Sumatoria de informes de austeridad del gasto enviados </t>
  </si>
  <si>
    <t xml:space="preserve">Informes enviados a control interno y al Concejo en la fechas establecidas </t>
  </si>
  <si>
    <t>Actualizar oportunamente la matriz del esquema de publicación de informaciòn en el boton de transparencia en la página web de la SMMujer</t>
  </si>
  <si>
    <t>Esquema de publicaciòn actualizado y publicado</t>
  </si>
  <si>
    <t>Esquema publicado</t>
  </si>
  <si>
    <t>Anual de acuerdo a la normatividad vigente</t>
  </si>
  <si>
    <t>Esquema de publicacion actualizado y publicado</t>
  </si>
  <si>
    <t>Solicitudes de la mesa de ayuda gestionadas</t>
  </si>
  <si>
    <t>No. solicitudes gestionadas/No. Solicitudes recibidas en la mesa de ayuda</t>
  </si>
  <si>
    <t>Reporte Plataforma Mesa de Ayuda</t>
  </si>
  <si>
    <t xml:space="preserve">Mantener actualizado el inventario físico de los bienes y elementos de la Entidad. </t>
  </si>
  <si>
    <t>Informes de identificación y actualización del inventario de la entidad elaborados</t>
  </si>
  <si>
    <t>Informes elaborados</t>
  </si>
  <si>
    <t>Sumatoria de los informes elaborados de la actualización del inventario físico</t>
  </si>
  <si>
    <t>Informe parcial y final de la toma fisica de inventarios</t>
  </si>
  <si>
    <t xml:space="preserve"> </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</si>
  <si>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</si>
  <si>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</si>
  <si>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</si>
  <si>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</si>
  <si>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Publicaciones en la web</t>
  </si>
  <si>
    <t>Presentar la información tributaria (información exógena), de acuerdo con la normativa vigente</t>
  </si>
  <si>
    <t>Porcentaje de reportes de información exogena presentados da la SDH</t>
  </si>
  <si>
    <t>No de informes enviados a la SHD / No de reportes a presetar de acuerdo con la normatividad vigente</t>
  </si>
  <si>
    <t>De acuerdo a los tiempos establecidos por la SDH</t>
  </si>
  <si>
    <t>Informes enviados:
* Enero estampillas
* Abril exogena nacional
* Julio estampillas
* Julio exogena Distrital</t>
  </si>
  <si>
    <t>Tramitar las solicitudes de CDP y CRP requeridas en la Entidad.</t>
  </si>
  <si>
    <t xml:space="preserve">Porcentaje de CDP y CRP solicitados y emitidos </t>
  </si>
  <si>
    <t>Cantidad CDP y CRP</t>
  </si>
  <si>
    <t>No de CDP y CRP emitidos / No de CDP y CRP solicitados</t>
  </si>
  <si>
    <t>Reporte mensual de CDP y CRP registrados en Bogdata</t>
  </si>
  <si>
    <t>Elaborar y publicar reportes de seguimiento de la ejecución presupuestal y pagos programados a través de los aplicativos establecidos por la SDHacienda para tal fin</t>
  </si>
  <si>
    <t>Porcentaje de reportes de  ejecución presupuestal elaborados y publicados.</t>
  </si>
  <si>
    <t>Reportes publicados en la página web</t>
  </si>
  <si>
    <t>No de reportes publicados de ejecución presupuestal en la página web en el periodo de medición / 12</t>
  </si>
  <si>
    <t xml:space="preserve">Informes publicados en la página web </t>
  </si>
  <si>
    <t>30 - Incrementar la efectividad de la gestión pública distrital y local.</t>
  </si>
  <si>
    <t>56 - Gestión Pública Efectiva</t>
  </si>
  <si>
    <t>Avanzar en el 80% en las políticas de Gobierno Digital y Seguridad Digital contenidas en la Dimensión Gestión con valores para Resultados</t>
  </si>
  <si>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</si>
  <si>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</si>
  <si>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</si>
  <si>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</si>
  <si>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Apoyar el desarrollo del Plan Anual de Auditoría de la entidad, en ejercicio de los roles de la Oficina de Control Interno para la evaluación del Sistema de Control Interno</t>
  </si>
  <si>
    <t>Desarrollar acciones para la formulación, ejecución y seguimiento de los diferentes instrumentos de gestión en el marco de la planeación institucional y del Sistema de gestión.</t>
  </si>
  <si>
    <t>Versión: 08</t>
  </si>
  <si>
    <t>Fecha de Emisión: 4 de enero de 2022</t>
  </si>
  <si>
    <t>Ejecutar al 90% la implementación de la Política de Gestión Documental institucional</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</si>
  <si>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</si>
  <si>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</si>
  <si>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</si>
  <si>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</si>
  <si>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 xml:space="preserve"> Firma:</t>
  </si>
  <si>
    <t>APROBÓ</t>
  </si>
  <si>
    <t xml:space="preserve">Firma: </t>
  </si>
  <si>
    <t>REVISIÓN OFICINA ASESORA DE PLANEACIÓN</t>
  </si>
  <si>
    <t xml:space="preserve"> Firmas:</t>
  </si>
  <si>
    <t>Nombre: Zareth Ivana Doncel Baracaldo</t>
  </si>
  <si>
    <t xml:space="preserve">Cargo: Lideresa Técnica - Contratista Oficina Asesora de Planeación </t>
  </si>
  <si>
    <t xml:space="preserve">Cargo: Gerenta de Proyecto - Jefa Oficina Asesora de Planeación </t>
  </si>
  <si>
    <t>Transferencia Documental Primaria de 55 metros lineales de los archivos de gestión al  Archivo Central de la Entidad</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</si>
  <si>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</si>
  <si>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</si>
  <si>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</si>
  <si>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</si>
  <si>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</si>
  <si>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Direccionamiento Estratégico</t>
  </si>
  <si>
    <t>Revisar y llevar a aprobación del Comité Institucional de Gestión y Desempeño - CIGD, la formulación de los planes de acción formato DE-FO-05 de la entidad.</t>
  </si>
  <si>
    <t>Número de Planes de Acción formato DE-FO-05 revisados y llevados a aprobación del Comité Institucional de Gestión  y Desempeño.</t>
  </si>
  <si>
    <t xml:space="preserve">Corresponde a la sumatoria del número de planes de acción formulados y llevados a aprobación del CIGD. 
Los cuales deben contener la programación de magnitud y presupuesto por meta proyecto de inversion para los 11 proyectos de inversión, programación de magnitud de las metas del Plan de Desarrollo Distrital, programación de magnitud de los indicadores PMR e indicadores de los 22 procesos de la entidad, según aplique. </t>
  </si>
  <si>
    <t>Formato plan de acción DE-FO-05 (formulación)
Acta de Comité Institucional de Gestión y Desempeño - CIGD</t>
  </si>
  <si>
    <t>Revisar los reportes de seguimiento de los planes de acción formato DE-FO-05 de la entidad.</t>
  </si>
  <si>
    <t>Número de reportes de seguimiento a los Planes de Acción formato DE-FO-05 revisados.</t>
  </si>
  <si>
    <t>Corresponde a la sumatoria del número de reportes de seguimiento de planes de acción formato DE-FO-05 revisados.
Los cuales deben contener la ejecución cuantitativa y cualitativa de magnitud y presupuesto por meta proyecto de inversion para los 11 proyectos de inversión, de magnitud de las metas del Plan de Desarrollo Distrital,  de magnitud de los indicadores PMR e indicadores de los 22 procesos de la entidad, según aplique, con corte al cierre del mes inmediatamente anterior.</t>
  </si>
  <si>
    <t xml:space="preserve">Formato plan de acción DE-FO-05 (reporte de seguimiento)
</t>
  </si>
  <si>
    <t>Realizar seguimiento al Plan Estratégico Institucional 2020 - 2024</t>
  </si>
  <si>
    <t xml:space="preserve">Número de seguimientos al Plan Estratégico Institucional realizados durante la vigencia 
</t>
  </si>
  <si>
    <t>Informe de seguimiento al PEI o Presentación</t>
  </si>
  <si>
    <t>Consolidar, revisar y enviar el documento de anteproyecto de presupuesto para la vigencia correspondiente, de acuerdo con los lineamientos de la Secretaría Distrital de Hacienda - SDH.</t>
  </si>
  <si>
    <t>Documento de Anteproyecto presupuestal consolidado, revisado y enviado a SDH</t>
  </si>
  <si>
    <t>Corresponde al documento de anteproyecto que se debe consolidar, revisar y enviar a la SDH de acuerdo a las fechas establecidas en los lineamientos dispuestos por esta entidad para tal fin</t>
  </si>
  <si>
    <t xml:space="preserve">Documento de anteproyecto 2023 enviado a la SDH.
Soporte de radicación del documento en SDH </t>
  </si>
  <si>
    <t xml:space="preserve">Gestión Tecnológica </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</si>
  <si>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</si>
  <si>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</si>
  <si>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</si>
  <si>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</si>
  <si>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</si>
  <si>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</si>
  <si>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</si>
  <si>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</si>
  <si>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</si>
  <si>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</si>
  <si>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</si>
  <si>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</si>
  <si>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</si>
  <si>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</si>
  <si>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</si>
  <si>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</si>
  <si>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</si>
  <si>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</si>
  <si>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</si>
  <si>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</si>
  <si>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</si>
  <si>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</si>
  <si>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</si>
  <si>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</si>
  <si>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</si>
  <si>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</si>
  <si>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</si>
  <si>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</si>
  <si>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</si>
  <si>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</si>
  <si>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r>
      <t>Correos electrónicos y/o evidencias de reuniones</t>
    </r>
    <r>
      <rPr>
        <sz val="11"/>
        <color indexed="8"/>
        <rFont val="Times New Roman"/>
        <family val="1"/>
      </rPr>
      <t>(actas) y reportes de lucha</t>
    </r>
  </si>
  <si>
    <t>Gestiòn Documental</t>
  </si>
  <si>
    <t>Ejecutar al 90% la implementación de la politica de Gestión Documental institucional</t>
  </si>
  <si>
    <t>Archivos de la entidad organizados y transferidos, dispuestos para consulta</t>
  </si>
  <si>
    <t xml:space="preserve">Metros lineales de archivo transferido </t>
  </si>
  <si>
    <t>Sumatoria de metros lineales de archivo tranferido dispuestos para consulta durante el periodo de medición</t>
  </si>
  <si>
    <t>Actas de legalización de trasnferencia</t>
  </si>
  <si>
    <t>Archivos de la entidad organizados e intervenidos, dispuestos para trasnferencia primaria</t>
  </si>
  <si>
    <t xml:space="preserve">Metros lineales de archivo intervenido </t>
  </si>
  <si>
    <t>Sumatoria de metros lineales de archivo intervenido y dispuesto para transferencia primaria</t>
  </si>
  <si>
    <t>Reporte de seguimiento a la intervención</t>
  </si>
  <si>
    <t>Instrumentos archivisticos actualizados y publicados, dispuestos para consulta</t>
  </si>
  <si>
    <t>Instrumentos actualizados y publicados</t>
  </si>
  <si>
    <t>Sumatoria de instrumentos actualizados y publicados</t>
  </si>
  <si>
    <t>Instrumento actualizado y publicado</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</si>
  <si>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</si>
  <si>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</si>
  <si>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Reporte de seguimiento a la actividad</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</si>
  <si>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</si>
  <si>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</si>
  <si>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Gestión Administrativa</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</si>
  <si>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</si>
  <si>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</si>
  <si>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</si>
  <si>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</si>
  <si>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</si>
  <si>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</si>
  <si>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</si>
  <si>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</si>
  <si>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</si>
  <si>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</si>
  <si>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</si>
  <si>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</si>
  <si>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</si>
  <si>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</si>
  <si>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</si>
  <si>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constante</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</si>
  <si>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</si>
  <si>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</si>
  <si>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</si>
  <si>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</si>
  <si>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</si>
  <si>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</si>
  <si>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</si>
  <si>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</si>
  <si>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</si>
  <si>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</si>
  <si>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</si>
  <si>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</si>
  <si>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</si>
  <si>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</si>
  <si>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RESERVAS PRESUPUESTALES</t>
  </si>
  <si>
    <t>Etiquetas de fila</t>
  </si>
  <si>
    <t>Suma de RESERVAS 2023</t>
  </si>
  <si>
    <t>1. Avanzar en el 80% en las políticas de Gobierno Digital y Seguridad Digital contenidas en la Dimensión “Gestión con valores para  Resultados"</t>
  </si>
  <si>
    <t>2. Ejecutar el 100% de las actividades programadas para una correcta gestión administrativa y organizacional</t>
  </si>
  <si>
    <t>3. Soportar al 100%  la implementación de las políticas del Modelo Integrado de Planeación y Gestión</t>
  </si>
  <si>
    <t>4. Ejecutar al 90% la implementación de la Política de Gestión Documental institucional</t>
  </si>
  <si>
    <t>Total general</t>
  </si>
  <si>
    <t xml:space="preserve">Suma de Valor total estimado </t>
  </si>
  <si>
    <t>VIGENCIA</t>
  </si>
  <si>
    <t>Porcentaje de ejecución al Plan de Adecuación y Sostenibilidad del MIPG</t>
  </si>
  <si>
    <t>Porcentaje de solicitudes documentales atendidas.</t>
  </si>
  <si>
    <t>Porcentaje de solicitudes atendidas de acompañamiento a los procesos de la entidad para la formulacion de planes de mejoramiento derivados de las auditorias internas y externas.</t>
  </si>
  <si>
    <t>Porcentaje de ejecución del Plan Institucional de Gestión Ambiental - PIGA 2023</t>
  </si>
  <si>
    <t>Porcentaje de procesos monitoreados, orientados y acompañados en actividades de riesgos</t>
  </si>
  <si>
    <t>Porcentaje de información actualizada en el Botón de transparencia</t>
  </si>
  <si>
    <t>Gestionar el 100% de las solicitudes recibidas en la mesa de ayuda de almacen y mantenimiento</t>
  </si>
  <si>
    <t>Cerrar el 70% de las solicitudes recibidas en la mesa de ayuda de ayuda de almacen y mantenimiento</t>
  </si>
  <si>
    <t>Solcitudes de la mesa de ayuda cerradas</t>
  </si>
  <si>
    <t>No solicitudes cerradas/ No. Solicitudes recibidas</t>
  </si>
  <si>
    <t>Junio y noviembre 2023</t>
  </si>
  <si>
    <t>Nombre: Sandra Catalina Campos Romero</t>
  </si>
  <si>
    <t>Nombre: Diana Milena Blanco Jaimes</t>
  </si>
  <si>
    <t>Cargo: Contratista - Oficina Asesora de Planeación</t>
  </si>
  <si>
    <t>Cargo: Contratista Oficina Asesora de Planeación - Lideresa Técnica</t>
  </si>
  <si>
    <t>Cargo: Gerenta de Proyecto - Jefa Oficina Asesora de Planeación</t>
  </si>
  <si>
    <t>Página 1 de 16</t>
  </si>
  <si>
    <t>Página 2 de 16</t>
  </si>
  <si>
    <t>Página 3 de 16</t>
  </si>
  <si>
    <t>Página 4 de 16</t>
  </si>
  <si>
    <t>Página 5 de 16</t>
  </si>
  <si>
    <t>Página 6 de 16</t>
  </si>
  <si>
    <t>Página 7 de 16</t>
  </si>
  <si>
    <t>Página 8 de 16</t>
  </si>
  <si>
    <t>Página 9 de 16</t>
  </si>
  <si>
    <t>Página 10 de 16</t>
  </si>
  <si>
    <t>Página 11 de 16</t>
  </si>
  <si>
    <t>Página 12 de 16</t>
  </si>
  <si>
    <t>Página 13 de 16</t>
  </si>
  <si>
    <t>Página 14 de 16</t>
  </si>
  <si>
    <t>Página 15 de 16</t>
  </si>
  <si>
    <t>Página 16 de 16</t>
  </si>
  <si>
    <r>
      <t xml:space="preserve">ADMINISTRATIVA Y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Informaciòn Exogéna, Solcitudes de CDR y CRP,  Ejecución presupuestal)</t>
    </r>
  </si>
  <si>
    <r>
      <t xml:space="preserve">ADMINISTRATIVA Y FINANCIERA: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Fisica de Inventarios)</t>
    </r>
  </si>
  <si>
    <t>Nombre: Angela Johanna Márquez Mora</t>
  </si>
  <si>
    <t>Cargo: Jefa Oficina de Control Interno</t>
  </si>
  <si>
    <t>Nombre: Diego Andrés Pedraza Peña</t>
  </si>
  <si>
    <t>Cargo: Contratista - Subsecretaria de Gestión Corporativa</t>
  </si>
  <si>
    <t>Nombre: Luz Amparo Macías Quintana</t>
  </si>
  <si>
    <t>Nombre: Laura Marcela Tami Leal</t>
  </si>
  <si>
    <t>Cargo: Subsecretaria de Gestión Corporativa</t>
  </si>
  <si>
    <t>Nombre: Erika de Lourdes Cervantes Linero</t>
  </si>
  <si>
    <t>Cargo: Jefe de Oficina de Control Disciplinario Interno</t>
  </si>
  <si>
    <t>Nombre: Kelly Carolina Morantes Pérez</t>
  </si>
  <si>
    <t>Cargo: Profesional Especializado</t>
  </si>
  <si>
    <t>Nombre: Catalina Zota Bernal</t>
  </si>
  <si>
    <t>Cargo: Jefa Oficina Asesora Jurídica</t>
  </si>
  <si>
    <t>Nombre: Mónica Libia de la Cruz Villota</t>
  </si>
  <si>
    <t xml:space="preserve">Cargo: Contratista Oficina Asesora de Planeación </t>
  </si>
  <si>
    <t xml:space="preserve">Nombre: Jennifer Lorena Moreno Arcila </t>
  </si>
  <si>
    <t>Nombre: Luis Guillermo Flechas Salcedo</t>
  </si>
  <si>
    <t>Cargo: Director de Contratación</t>
  </si>
  <si>
    <t>Cargo: Contratista Dirección de Contratación</t>
  </si>
  <si>
    <t>Nombre: Claudia Marcela Garcia Santos</t>
  </si>
  <si>
    <t>Cargo: Directora de Talento Humano</t>
  </si>
  <si>
    <t>Nombre: Nayla Zoreth Isaza Tabon</t>
  </si>
  <si>
    <t>Cargo: Contratista Dirección Administrativa y Financiera</t>
  </si>
  <si>
    <t>Cargo: Directora Administrativa y Financiera</t>
  </si>
  <si>
    <t>Corresponde a la sumatoria de número de seguimientos semestrales que se realizarán al PEI de la entidad, teniendo en cuenta los siguientes cortes:
1 en el mes de enero correspondiente al segundo semestre de 2021
1 en el mes de julio correspondiente al primer semestre de 2022</t>
  </si>
  <si>
    <t>ENERO</t>
  </si>
  <si>
    <t>FEBRERO</t>
  </si>
  <si>
    <t>MARZO</t>
  </si>
  <si>
    <t>ABRIL</t>
  </si>
  <si>
    <t>MAYO</t>
  </si>
  <si>
    <t>JUNIO</t>
  </si>
  <si>
    <t>JULIO</t>
  </si>
  <si>
    <t>AGOSTO</t>
  </si>
  <si>
    <t>SEPTIEMBRE</t>
  </si>
  <si>
    <t>OCTUBRE</t>
  </si>
  <si>
    <t>NOVIEMBRE</t>
  </si>
  <si>
    <t>DICIEMBRE</t>
  </si>
  <si>
    <t>RESERVA DEF</t>
  </si>
  <si>
    <t>ANULACIONES</t>
  </si>
  <si>
    <t>SEGUIMIENTO OAP</t>
  </si>
  <si>
    <t>VIGENCIA DEF</t>
  </si>
  <si>
    <t>PLAN DE ACCIÓN</t>
  </si>
  <si>
    <t>VALIDACIÓN</t>
  </si>
  <si>
    <t>SPI</t>
  </si>
  <si>
    <t>AVANCE PLAN</t>
  </si>
  <si>
    <t>Se ha ejecutado el 1,88% de giros sobre los compromisos con corte a 28 de febrero de 2023</t>
  </si>
  <si>
    <t>Plan Estratégico de Tecnologías de la Información y las Comunicaciones -­ PETI</t>
  </si>
  <si>
    <t>Plan de Seguridad y Privacidad de la Información</t>
  </si>
  <si>
    <t>Plan de Incentivos Institucionales</t>
  </si>
  <si>
    <t>Plan Anticorrupción y Atención a la Ciudadanía</t>
  </si>
  <si>
    <t>Plan Anticorrupción y de Atención al Ciudadano</t>
  </si>
  <si>
    <t>Plan Institucional de Archivos de la Entidad ­PINAR</t>
  </si>
  <si>
    <t>Nombre: Andrea Milena Parada Ortiz</t>
  </si>
  <si>
    <t>Cargo: Profesional Universitaria Dirección de Talento Humano</t>
  </si>
  <si>
    <t>Nombre: Dayra Marcela Aldana Diaz</t>
  </si>
  <si>
    <t>Nombre: Lida Cubillos Hernandez</t>
  </si>
  <si>
    <t>Cargo: Contratista - Oficina Asesora de Planeación</t>
  </si>
  <si>
    <t>Se realizan reuniones de validación y compromisos de todos los procesos  de gestión tecnológica para la vigencia 2023, con el fin de garantizar el correcto funcionamiento de los servicios de la entidad.
Se realiza presentación de actividades macro ante el comité de gestión institucional para los avances a realizar en la vigencia 2023 del plan de seguridad de información y plan de gestión de riesgos de seguridad y los proyectos del PETI
Se realiza seguimiento permanente a la gestión de requerimiento y/o incidentes con la finalidad de garantizar la correcta operación de los servicios.
Se suscribió contrato 951 de 2023 con la empresa de telecomunicaciones ETB
Se suscribió IAAS y PAAS Orden de compra No. 108689 contrato 914-2023
Se suscribió el contrato 952 Kawak
Se suscribió contrato  Microsoft 932 de 2023
Se suscribió adquisición de certificados SSL contrato 975 de 2023</t>
  </si>
  <si>
    <t>1.  A la fecha los retrazos presentados por devoluciones de documentos contractuales han sido solucionado en la mayoria de los casos inmediatamente</t>
  </si>
  <si>
    <t>No hubo retrasos</t>
  </si>
  <si>
    <t xml:space="preserve">Implementar y mantener el modelo integrado de planeación y Gestión de la entidad - MIPG
Puesta en marcha de las buenas practicas en la entidad para la implementacion de las politicas del MIPG enmarcadas en los planes de mejora FURAG    
   </t>
  </si>
  <si>
    <t>Para dar cumplimiento a los objetivos del proyecto de inversión 7662, y poder brindar el soporte transversal necesario para la óptima ejecución de los recursos, la SD de la Mujer, en aras de cumplir con su misional, presentan los siguientes avances con corte al mes de junio: 
1. Avance del 96 % de cumplimiento en la contratación de Prestación  de Servicios Profesionales y de Apoyo a la gestión.
2. Se adelantaron estudios de mercado , estudios previos y expedición de CDPs de los procesos proyectados a iniciar en el primer semestre del proceso de gestión tecnológica. Se realizan reuniones de validación y compromisos de todos los procesos  con el fin de garantizar el correcto funcionamiento de los servicios de la entidad. Se realiza seguimiento permanente a la gestión de requerimiento y/o incidentes con la finalidad de garantizar la correcta operación de los servicios.
3. Se han llevado los temas programados al comite de MIPG que se realiza mensualmente para sus aprobaciones y socializaciones respectivas como planes Furag, cambios en el PAAC y en plan de acción, igualmente se actualizaron los  documentos solicitados por las áreas, se continua con los seguimientos y asesorías en materia de riesgos, se da cumplimiento a las actividades del plan PIGA y se dio inicio al diligenciamiento de los Indices de Transparencia de Bogotá y de Innovación Pública.</t>
  </si>
  <si>
    <t>Este mes no se reporta avance de este indicador, debido a la periodicidad de su programación.</t>
  </si>
  <si>
    <t>Se realizó revisión y aprobación de la documentación de Planes de Acción de los 11 proyectos de inversión para la vigencia 2023 en el Comité Institucional de Gestión y Desempeño mediante acta número 002 del 30 de enero de 2022.</t>
  </si>
  <si>
    <t>No se presentaron retrasos</t>
  </si>
  <si>
    <t>En el mes de julio se realizó la revisión de los reportes de seguimiento del plan de acción con corte a 30 de junio de 2023 de los 11 proyectos de inversión.</t>
  </si>
  <si>
    <t>Con corte al mes de julio se ha realizado la revisión del seguimiento del plan de acción de los 11 proyectos de inversión con corte al mes de diciembre de 2022, enero, febrero, marzo, abril, mayo y junio de 2023.</t>
  </si>
  <si>
    <t>Se realizó presentación del seguimiento al Plan Estratégico Institucional con corte al 30 de junio de 2023 en el Comité MIPG No.08.</t>
  </si>
  <si>
    <t>Se realizó presentación de seguimiento al Plan Estratégico Institucional con corte al 31 de diciembre de 2022 y con corte al 30 de junio de 2023 en el Comité MIPG No.08.</t>
  </si>
  <si>
    <t>Se realiza presentación de actividades macro ante el comité de gestión institucional para los avances a realizar en la vigencia 2023 del plan de seguridad de información y plan de gestión de riesgos de seguridad y los proyectos del PETI.
Para el mes de febrero a junio no se realizaron avances teniendo en cuenta que no esta contratado el profesional de seguridad.</t>
  </si>
  <si>
    <t>Este mes no se reporta avance de este indicador, debidoa que no se encuentra contratado el profesional de seguridad. El proceso de contratación del profesional de seguridad se suscribio el 30 de Junio por ende se inicia proceso de empalme para poner al día los temas referentes a Gobierno Digital y Seguridad Digital.</t>
  </si>
  <si>
    <t>Se suscribió contrato 932 de 2023 se cuenta con 5.331 suscripciones de productos con Microsoft, incluyendo las Powers BI, de las cuales se están utilizando 5.292 (99% de utilización).</t>
  </si>
  <si>
    <t>Se suscribió contrato 951 de 2023 con la empresa de telecomunicaciones ETB
Se suscribió IAAS y PAAS Orden de compra No. 108689 contrato 914-2023
Se suscribió el contrato 952 Kawak
Se suscribió contrato  Microsoft 932 de 2023
Se suscribió adquisición de certificados SSL contrato 975 de 2023</t>
  </si>
  <si>
    <t>Los requerimientos pendientes se atienden a principio de mes debido a que por su complejidad requieren mas tiempo para ser solucionados, la mayoria de casos pendiente son de SIMISIONAL y orfeo estos requieren de mayor tiempo para su cierre</t>
  </si>
  <si>
    <t>Continuar realizando seguimiento al ciere de casos en el momento de su atención</t>
  </si>
  <si>
    <t>Se están realizando ajustes al anexo técnico de aire acondicionado solicitados por contratos, UPS (respuesta a observaciones)</t>
  </si>
  <si>
    <t xml:space="preserve">Con corte a 30 de junio se realizaron los mantenimientos a los sistemas de información de acuerdo al cronograma </t>
  </si>
  <si>
    <t>Con corte a 30 de junio se han atendido 789 requerimientos de soporte a la fecha, onsolidado a corte 18 actualizaciones al aplicativo y 19 requerimientos adicional para mejoras en sistema del aplicativo Icops.
Con corte a 30 de junio se han atendido 1706 requerimientos relacionados con soporte a la página Web, los cuales corresponden a actualización de contenido y de funcionalidades.
Con corte a 30 de junio se ha realizado el alistamiento, configuración y actualización de los servidores que soportan los aplicativos de la entidad y portales institucionales con el fin de garantizar que los aplicativos estén disponibles y asegurados para los servicios de la entidad.</t>
  </si>
  <si>
    <t xml:space="preserve">Este mes no se reporta avance de este indicador, debidoa que no se encuentra contratado el profesional de seguridad </t>
  </si>
  <si>
    <t>El profesional fue contratado en el mes de julio y se encuentra realizando levantamiento de información para desarrollar plan para elcierre de brechas del semestre.</t>
  </si>
  <si>
    <t>El profesional se encuentra desarrollando plan para poner aldía los temas referentes a Gobierno Digital y Seguridad Digital.</t>
  </si>
  <si>
    <t xml:space="preserve">En el mes de julio se recibieron 597 requerimientos de los cuales se atendieron 430 quedando pendientes para el mes de julio 167 en su mayoría del SIMISIONAL (91 casos abiertas)" </t>
  </si>
  <si>
    <t>Con corte a 31 de julio se han recibido 4494 requerimientos por mesa de ayuda, de los cuales se atendieron 4166, quedando 328 para ser atendidos en el mes de agosto, debido a su complejidad, a la fecha se han atendido los requerimientos a satisfacción con el fin de garantizar que los funcionarios puedan trabajar de manera mas eficiente.</t>
  </si>
  <si>
    <t>Durante el primer semestre de 2023, se adelantaron las siguientes acciones, de acuerdo con el Plan de Bienestar Social e Incentivos aprobado para la vigencia 2023:
1. Elaboración y aprobación del plan de Bienestar Social e Incentivos para la vigencia 2023.
2. Conmemoración del día de autocuidado. 
3. Conmemoración del día de las y los auxiliares administrativos.
4. Se realizaron jornadas de mindfulness con las diferentes dependencias de la Entidad.
5. Participación en la actividad cultural de la película ALI.
6. Se enviaron mensajes de condolencias. 
7. Se realizaron ferias de servicios de la caja de compensación, escolar, salud, financiera, entre otros. 
8. Conmemoración del día por los derechos de las mujeres - 8M
9. Conmemoración de profesiones.
10. Se realizó socialización de las alianzas del DASCD.
11. Se desarrolló una caminata ecológica, con asistencia de 80 personas.
12. Se realizó la conmemoración del día internacional por la salud de las mujeres con la asistencia de 102 personas.
13. Se realizaron pausas mentales.
14. Se brindó apoyo emocional de primeros auxilios psicológicos a las servidoras que lo solicitaron.
15. Se dio inicio al torneo de bolos 2023, con la participación de 65 servidoras y servidores.
16. Se llevó a cabo la conmemoración del día nacional del servidor público y el 10° aniversario de la entidad. 
17. Se ejecutó el taller de manualidades con asistencia de 43 personas.
18. Durante el primer trimestre de 2023, se adelantaron las siguientes acciones, de acuerdo con el Plan de Bienestar Social e Incentivos aprobado para la vigencia 2023:</t>
  </si>
  <si>
    <t>Durante el primer semestre de 2023, se adelantaron las siguientes acciones de acuerdo con el Plan Institucional de Capacitación aprobado para la vigencia 2023:
1. Elaboración y aprobación del plan institucional de capacitación para la vigencia 2023.
2. Difusión del curso sobre gobernanza pública.
3. Capacitación sobre el uso de los nuevos teléfonos IP de la Entidad, asistencia de 16 personas.
4. Jornada de Inducción con la participación de 54 personas.
5. Capacitación en atención a mujeres con enfoque de género, asistencia de 40 personas.
6. Difusión del curso sobre políticas públicas.
7. Capacitación sobre fundamentos de big data, diseño y administración de bases de datos.
8. Capacitación sobre el uso del aplicativo LUCHA, con la asistencia de 69 personas.  
9. Capacitación sobre el uso del aplicativo MESA DE AYUDA, con la participación de 188 personas.
10. Capacitación sobre transversalización de la PPMYEG, con la asistencia de 124 personas. 
11. Capacitación sobre gestión contractual, con participación de 56 personas. 
12. Difusión del curso de Gobernanza Pública: Conceptualización desde los pilares de transparencia, participación y colaboración.
13. Capacitación sobre bases conceptuales y funcionamiento del SIDICU, con la asistencia de 122 personas.
14. Charla sobre lenguaje incluyente con la participación de 93 personas.
15. Capacitación sobre servicio a la ciudadanía con la asistencia de 76 personas.
16. Charla sobre prevención en acoso laboral con la participación de 76 personas.
17. Socialización del derecho a la paz con la asistencia de 73 personas.
18. Capacitación sobre el aplicativo KAWAK con la asistencia de 90 personas. 
19. Capacitación sobre el aplicativo SIMISIONAL 2.0 con la participación de 277 personas. 
20. Capacitación sobre ORFEO con la asistencia de 34 personas. 
21. Capacitación en competencias blandas con la participación de 310 personas.
22. Capacitación en lengua de señas con la asistencia de 16 personas.  
23. Capacitación sobre atención a mujeres en busca de personas desaparecidas con asistencia de 42 personas.
24. Capacitación sobre atención incluyente a la ciudadanía, con la participación de 31 personas.
25. Socialización del derecho a la cultura con la asistencia de 52 personas.
26. Capacitación sobre rutas de atención para las violencias contrala mujer con la participación de 82 personas.
27. Capacitación sobre contratación estatal con asistencia de 35 personas.</t>
  </si>
  <si>
    <t>Actividad programada en el plan sobre capacitación de MIPG, la cual no se logró lleva a cabo de acuerdo con lo programado por temas de agenda.</t>
  </si>
  <si>
    <t>Dicha acción se tiene programada para ser ejecutada en el mes de julio.</t>
  </si>
  <si>
    <t>Durante el Primer Semestre de la vigencia 2023, se adelantaron las siguientes gestiones enmarcadas en el Plan Anual de Seguridad y Salud en el Trabajo aprobado para la vigencia 2023:
1. Se realizó la autoevaluación al SG-SST.
2. Se formuló y aprobó el Plan Anual de Seguridad y Salud en el trabajo para la vigencia.
3. Se ejecutaron las afiliaciones ARL de las personas que se vinculan a la entidad.
4. Se adelantaron las sesiones del COPASST con periodicidad mensual.
5. Se realizaron las elecciones del COPASST y Comité de Convivencia Laboral.
6. Se ejecutó la capacitación funciones y generalidades dirigida a representantes COPASST.
7. Se llevó a cabo la socialización de peligros en centros de trabajo.
8. Se realizaron los reportes e investigaciones de accidentes de trabajo. 
9. Se hizo el seguimiento al cumplimiento medidas de intervención de los accidentes de trabajo.
10. Se adelantaron las inspecciones de puesto de trabajo requeridas.
11. Se programó la medición de ruido e iluminación en la CIOM Usme.
12. Se desarrollaron actividades de prevención de riesgo psicosocial. 
13. Se socializaron y se hizo seguimiento a las recomendaciones de los EMO en el marco del programa de estilos de vida saludable.
14. Se llevaron a cabo las evaluaciones médicas ocupacionales de ingreso, periódicas, egreso y post incapacidad.
15. Se registraron los resultados de los indicadores del SG-SST, teniendo en cuenta la periodicidad de estos.
16. Se actualizaron los documentos del SG-SST.
17. Se realizó seguimiento a la implementación de controles de las matrices de peligros.
18. Se realizó la entrega de suministros para prevención de riesgo biológico, capacitación y seguimiento a casos Covid-19.
19. Se realizaron acompañamientos grupales para promover estilos de vida saludable.
20. Se socializó el programa de prevención de riesgo público y se realizó capacitación de prevención.
21. Se realizó convocatoria para conformar la brigada de emergencias.
22. Se actualizó el Plan Estratégico de Seguridad Vial.
23. Se realizó seguimiento a las sesiones del CCL.
24. Se socializó la información de las matrices de peligros y planes de emergencia.
25. Se realizó seguimiento a las medidas de intervención de los AT.
26. Se realizó capacitación de brigada con énfasis en participación en simulacros.</t>
  </si>
  <si>
    <t>* Capacitación teletrabajo, se programó con asesor externo.
* Capacitación prevención de caídas a nivel y desnivel, se reprogramó por actividad de directivas.
* Socialización de documentos, pendiente aprobación de los documentos actualizados.</t>
  </si>
  <si>
    <t>* La capacitación de teletrabajo se realizará en el mes de julio.
* La capacitación de prevención de caídas se realizará en el mes de julio.
* En el mes de julio se socializarán los documentos actualizados del SG-SST.</t>
  </si>
  <si>
    <t>Durante el Primer Cuatrimestre de la vigencia 2023, se adelantaron las siguientes gestiones enmarcadas en el Plan de Gestión de Integridad contenido en el Componente de Iniciativas Adicionales del Plan de Anticorrupción y Atención a la Ciudadanía – PAAC:
1. Se realizó la encuesta de identificación de preferencias y necesidades de bienestar e incentivos 2023 - Integridad, diligenciada por 115 personas.
2. Se realizó la evaluación relacionada con las acciones de integridad ejecutadas durante la vigencia 2022, diligenciada por 105 personas.
3. Se realizó la socialización de los resultados de la encuesta sobre las propuestas para actividades 2023 y los resultados de la evaluación de las acciones de integridad ejecutadas en la vigencia 2022 con el equipo de gestoras y gestores de integridad en la reunión realizada el viernes 28 de abril de 2023.
4. Se han realizado publicaciones a través de la Boletina, relacionadas con la difusión y socialización del código de integridad de la Entidad.
5. Desde Soy10 Aprende, de la Alcaldía Mayor de Bogotá, se remitió la invitación a realizar el curso de "Gestores de Integridad: Líderes de la Cultura de Integridad en el Distrito", el cual fue remitido a las gestoras y gestores de integridad de la Entidad. Así mismo, desde la Dirección de Talento Humano, en el mes de abril se remitió el correo "¡Te invitamos a hacer el Curso de Integridad!" a todas las servidoras, servidores y contratistas de la Entidad.
6. Se realizó reunión con el equipo de gestoras y gestores de integridad de la Entidad el viernes 28 de abril de 2023.
7. Desde la Dirección de Talento Humano se expidieron oficios a las servidoras y servidores públicos que se retiraron de la Entidad, donde se indican los lineamientos para el proceso de desvinculación y se solicita la actualización de las declaraciones de bienes y rentas y conflictos de interés.</t>
  </si>
  <si>
    <r>
      <t xml:space="preserve">En el mes de julio 2023 se realizan las publicaciones descritas a continuación:
</t>
    </r>
    <r>
      <rPr>
        <b/>
        <sz val="11"/>
        <rFont val="Times New Roman"/>
        <family val="1"/>
      </rPr>
      <t>Numeral 1.2.1</t>
    </r>
    <r>
      <rPr>
        <sz val="11"/>
        <rFont val="Times New Roman"/>
        <family val="1"/>
      </rPr>
      <t>:   Organigramada. Actualización</t>
    </r>
    <r>
      <rPr>
        <b/>
        <sz val="11"/>
        <rFont val="Times New Roman"/>
        <family val="1"/>
      </rPr>
      <t xml:space="preserve"> </t>
    </r>
    <r>
      <rPr>
        <sz val="11"/>
        <rFont val="Times New Roman"/>
        <family val="1"/>
      </rPr>
      <t xml:space="preserve">nombre directora de Gestión del Conocimiento Oriana María La Rotta Amaya
</t>
    </r>
    <r>
      <rPr>
        <b/>
        <sz val="11"/>
        <rFont val="Times New Roman"/>
        <family val="1"/>
      </rPr>
      <t>Numeral 1.5</t>
    </r>
    <r>
      <rPr>
        <sz val="11"/>
        <rFont val="Times New Roman"/>
        <family val="1"/>
      </rPr>
      <t xml:space="preserve">: Directorio de Servidores: ctualización nombre directora de Gestión del Conocimiento Oriana María La Rotta Amaya
</t>
    </r>
    <r>
      <rPr>
        <b/>
        <sz val="11"/>
        <rFont val="Times New Roman"/>
        <family val="1"/>
      </rPr>
      <t>Numeral 2.1.3</t>
    </r>
    <r>
      <rPr>
        <sz val="11"/>
        <rFont val="Times New Roman"/>
        <family val="1"/>
      </rPr>
      <t xml:space="preserve"> Normativa: Resolución 0271 -Julio 06-2023; Proyecto decreto </t>
    </r>
    <r>
      <rPr>
        <i/>
        <sz val="11"/>
        <rFont val="Times New Roman"/>
        <family val="1"/>
      </rPr>
      <t>"por medio de la cual se reglamenta el acuerdo 893 Institucionaliza el Sistema Distrital de Cuidado de Bogotá y se dictan otras disposiciones, deroga el decreto 237 de 2020"</t>
    </r>
    <r>
      <rPr>
        <sz val="11"/>
        <rFont val="Times New Roman"/>
        <family val="1"/>
      </rPr>
      <t xml:space="preserve">, Decreto 304 del 12 de julio 2023: </t>
    </r>
    <r>
      <rPr>
        <i/>
        <sz val="11"/>
        <rFont val="Times New Roman"/>
        <family val="1"/>
      </rPr>
      <t>"Por medio del cual se modifica el decreto distrital  364 de 2021. en los artículos 5, 25, 26 y 27 en lo relacionado con las representaciones que integran el Consejo Consultivo de Mujeres de Bogotá - Espacio Autónomo, el proceso eleccionario y el periodo de las consejeras consultivas</t>
    </r>
    <r>
      <rPr>
        <sz val="11"/>
        <rFont val="Times New Roman"/>
        <family val="1"/>
      </rPr>
      <t xml:space="preserve">; Resolución 0287 del 17 de julio de 2023: </t>
    </r>
    <r>
      <rPr>
        <i/>
        <sz val="11"/>
        <rFont val="Times New Roman"/>
        <family val="1"/>
      </rPr>
      <t>"Por medio de la cual se decreta el desistimiento tácito y el archivo de la petición Bogotá Te Escucha SDQS No. 2602362023 y radicado Orfeo No. 2-2023-009918"</t>
    </r>
    <r>
      <rPr>
        <sz val="11"/>
        <rFont val="Times New Roman"/>
        <family val="1"/>
      </rPr>
      <t xml:space="preserve">
</t>
    </r>
    <r>
      <rPr>
        <b/>
        <sz val="11"/>
        <rFont val="Times New Roman"/>
        <family val="1"/>
      </rPr>
      <t>Numeral 2.4</t>
    </r>
    <r>
      <rPr>
        <sz val="11"/>
        <rFont val="Times New Roman"/>
        <family val="1"/>
      </rPr>
      <t xml:space="preserve">:  Informe de gestión del comité de conciliación Primer semetre 2023
</t>
    </r>
    <r>
      <rPr>
        <b/>
        <sz val="11"/>
        <rFont val="Times New Roman"/>
        <family val="1"/>
      </rPr>
      <t xml:space="preserve">Numeral 3.2: </t>
    </r>
    <r>
      <rPr>
        <sz val="11"/>
        <rFont val="Times New Roman"/>
        <family val="1"/>
      </rPr>
      <t>Directorio de contratistas junio 2023
N</t>
    </r>
    <r>
      <rPr>
        <b/>
        <sz val="11"/>
        <rFont val="Times New Roman"/>
        <family val="1"/>
      </rPr>
      <t xml:space="preserve">umeral 3.3: </t>
    </r>
    <r>
      <rPr>
        <sz val="11"/>
        <rFont val="Times New Roman"/>
        <family val="1"/>
      </rPr>
      <t xml:space="preserve">Información ejecución de los contratos junio 2023
</t>
    </r>
    <r>
      <rPr>
        <b/>
        <sz val="11"/>
        <rFont val="Times New Roman"/>
        <family val="1"/>
      </rPr>
      <t>Numeral 4.1.1</t>
    </r>
    <r>
      <rPr>
        <sz val="11"/>
        <rFont val="Times New Roman"/>
        <family val="1"/>
      </rPr>
      <t xml:space="preserve">: CGN2005 001 Saldos y movimientos 2o. Trimestre junio 2023; CGN 2016 01 Variaciones Final 30062023-2022; Notas a los estados financieros a 30 de junio 2023; Certificación Junio 2023; Estado de Resultados (Comparativo) Junio 23-22; Estado situación financiera (comparativo) Junio - Marzo 2023; CGN2015 002 Operaciones reciprocas convergencia 2T junio 2023.
</t>
    </r>
    <r>
      <rPr>
        <b/>
        <sz val="11"/>
        <rFont val="Times New Roman"/>
        <family val="1"/>
      </rPr>
      <t xml:space="preserve">Numeral 4.2 </t>
    </r>
    <r>
      <rPr>
        <sz val="11"/>
        <rFont val="Times New Roman"/>
        <family val="1"/>
      </rPr>
      <t xml:space="preserve">Ejecución presupuestal Vigencia a 30 de junio de 2023 y Ejecución presupuestal reservas a 30 de junio 2023.
</t>
    </r>
    <r>
      <rPr>
        <b/>
        <sz val="11"/>
        <rFont val="Times New Roman"/>
        <family val="1"/>
      </rPr>
      <t xml:space="preserve">Numeral 4.7.1: </t>
    </r>
    <r>
      <rPr>
        <sz val="11"/>
        <rFont val="Times New Roman"/>
        <family val="1"/>
      </rPr>
      <t xml:space="preserve">Informe de Rendiciòn de cuenta fiscal a la Contralorìa Junio 2023; Informe final de auditoria de regularidad PAD 2023 Còdigo 29; Segundo seguimiento trimestral de los compromisos de rendiciòn de cuentas.
</t>
    </r>
    <r>
      <rPr>
        <b/>
        <sz val="11"/>
        <rFont val="Times New Roman"/>
        <family val="1"/>
      </rPr>
      <t>Numeral 4.8 Informes Control Interno:</t>
    </r>
    <r>
      <rPr>
        <sz val="11"/>
        <rFont val="Times New Roman"/>
        <family val="1"/>
      </rPr>
      <t xml:space="preserve"> Informe de auditoría proceso Planeación y Gestión;  Informe Auditoria Proceso Gestión de Políticas Públicas e Informe de Gestión de la Oficina de Control Interno primer semestre 2023.
</t>
    </r>
    <r>
      <rPr>
        <b/>
        <sz val="11"/>
        <rFont val="Times New Roman"/>
        <family val="1"/>
      </rPr>
      <t xml:space="preserve">Numeral 4.9 </t>
    </r>
    <r>
      <rPr>
        <sz val="11"/>
        <rFont val="Times New Roman"/>
        <family val="1"/>
      </rPr>
      <t xml:space="preserve">Informe de Gestión del Comité de Concialiación primer semestre 2023
</t>
    </r>
    <r>
      <rPr>
        <b/>
        <sz val="11"/>
        <rFont val="Times New Roman"/>
        <family val="1"/>
      </rPr>
      <t>Numeral 4.10</t>
    </r>
    <r>
      <rPr>
        <sz val="11"/>
        <rFont val="Times New Roman"/>
        <family val="1"/>
      </rPr>
      <t xml:space="preserve">: Informe de Gestión de PQRS y de Atención a la Ciudadnía - Segundo trimestre 2023; Informe de gestión PQRS a la Ciudadanía junio 2023
</t>
    </r>
    <r>
      <rPr>
        <b/>
        <sz val="11"/>
        <rFont val="Times New Roman"/>
        <family val="1"/>
      </rPr>
      <t>Numeral 7.2.1</t>
    </r>
    <r>
      <rPr>
        <sz val="11"/>
        <rFont val="Times New Roman"/>
        <family val="1"/>
      </rPr>
      <t xml:space="preserve">  Actualización información SDMujer datos abiertos Bogotá
</t>
    </r>
    <r>
      <rPr>
        <b/>
        <sz val="11"/>
        <rFont val="Times New Roman"/>
        <family val="1"/>
      </rPr>
      <t xml:space="preserve">Numeral 9.1.2.4: </t>
    </r>
    <r>
      <rPr>
        <sz val="11"/>
        <rFont val="Times New Roman"/>
        <family val="1"/>
      </rPr>
      <t xml:space="preserve">Acta 01 del 2023 Comisión Intersectorial de Mujeres 
</t>
    </r>
    <r>
      <rPr>
        <b/>
        <sz val="11"/>
        <rFont val="Times New Roman"/>
        <family val="1"/>
      </rPr>
      <t>Numeral 9.1.2.5</t>
    </r>
    <r>
      <rPr>
        <sz val="11"/>
        <rFont val="Times New Roman"/>
        <family val="1"/>
      </rPr>
      <t xml:space="preserve">: Acta 36 UTA Comisiòn Intersectorial del Sistema Distrital de Cuidado
</t>
    </r>
    <r>
      <rPr>
        <b/>
        <sz val="11"/>
        <rFont val="Times New Roman"/>
        <family val="1"/>
      </rPr>
      <t>Numeral 9.7</t>
    </r>
    <r>
      <rPr>
        <sz val="11"/>
        <rFont val="Times New Roman"/>
        <family val="1"/>
      </rPr>
      <t>: Certificados diligenciamiento FURAG Rol Jefa de Planeaciòn y Jefa Control Interno</t>
    </r>
  </si>
  <si>
    <t>Marzo:15 numerales actualizados en botón de transparencia
Abril :21 actualizaciones en los diferentes numerales del botón de transparencia. 
Mayo: En el mes de mayo se realizaron 32 publicaciones en los diferentes numerales
El acumulado de los meses enero a mayo 2023, relacionado con las actualizaciones de informaciòn en los diferentes numerales del botón de transparencia es de  77 documentos.
Junio: En el mes de junio se actualizaron 49 documentos en los diferentes nuerales del botón de transparencia.
Julio: En el mes de julio se realizaron 19 actualizaciones de publicaciòn en los diferentes numerales del botón de transparencia.
El acumulado con corte a 31 de julio de 2023 es de 145 documentos publicados een el botón de transparencia.</t>
  </si>
  <si>
    <t xml:space="preserve">Este mes no se reporta avance de este indicador, debido a la periodicidad de su programación. </t>
  </si>
  <si>
    <t xml:space="preserve">N/A </t>
  </si>
  <si>
    <t>Durante lo transcurrido de esta vigencia se han realizado las actividades planeadas en el plan de adecuación y sostenibilidad MIPG, excepto el seguimiento al plan de mejora FURAG de seguridad digital, dado que se encuentra en proceso de contratación el líede de seguridad digital.</t>
  </si>
  <si>
    <t>No se realiza el seguimiento a plan de mejora FURAG politica de seguridad digital dado que se encuentra en proceso de contratación la persona responsable.</t>
  </si>
  <si>
    <t xml:space="preserve">Realizar seguimiento una vez se contrate la persona responsable y definir fechas de seguimiento.
</t>
  </si>
  <si>
    <t xml:space="preserve">
Se atienden 23 solicitudes de documentos y LUCHA de las 23 recibidas, teniendo un avance del 100%. Ente las solicitudes reicibidas se encuentran actualizaciones, eliminación, copias, apoyo en la construcción, revisión y publicación de documentos.</t>
  </si>
  <si>
    <t>Durante lo ranscurrido de esta vigencia se han atendido 118 solciitudes de documentos, teniendo un avance del 100%</t>
  </si>
  <si>
    <t xml:space="preserve">
Se atienden 12 solicitudes de las 12 recibidas, teniendo un avance del 100%. Entre las solicitudes recibidas se encuentra consolidación de planes de mejora, apoyo en la formulación, ejecución y reporte en LUCHA, ajustes en la plataforma y procedimientos de mejora continua.</t>
  </si>
  <si>
    <t>Durante lo ranscurrido de esta vigencia se han atendido 56 solicitudes relacionadas con planes de mejoramiento, teniendo un avance del 100%</t>
  </si>
  <si>
    <t xml:space="preserve">Reporte de viajes en bici a Secretaría de Movilidad
Atención de solicitud de información de otras áreas
Remisión informes a UAESP (Residuos aprovechables y actividades plan acción interno)
Gestión de residuos con potencial aprovechable generados en sedes
Registro de comunicaciones ambientales socializadas
Gestión de nuevas piezas ambientales
Registro y análisis de consumo de servicios agua y energía (telefonia fja, móvil) - austeridad </t>
  </si>
  <si>
    <t>Informe de gestión residuos con potencial aprovechable ultimo trimestre 2022, Informe de actividades ultimo semestre 2022  plan de acción interno para la UAESP
Informe ultimo trimestre 2022, ultimo semestre y vigencia 2022 de austeridad de servicios agua, energía, telefonia fija y celular
Reporte de viajes en bici a Secretaría de Movilidad
Registro de comunicaciones ambientales socializadas
Atención de solicitudes interinstitucionales
Remisión de informe de reencauche de llantas a SDA
Atención solicitudes información internas
Remisión de informes  a SDA
Remisión informe cantidad residuos aprovechables a UAESP
Suministro información Austeridad
Recorrido revisión y correción PEV
Desarrollo Semana Ambiental
Gestión de RAEE y respel</t>
  </si>
  <si>
    <t xml:space="preserve">Durante el cuatrimestre se atendieron las solicitudes de los 22 procesos, teniendo un avance del 100% en el I cuatrimestre </t>
  </si>
  <si>
    <t>Este mes no se reporta avance de este indicador, debido a que la periodicidad de su programación es trimestral.</t>
  </si>
  <si>
    <t>El avance acumulado de 01 de enero a 30 de junio 2023: Se emitieron y publlicaron los informes finales de dos (2) auditorias de las seis (6) programadas en el Plan Anual de Auditoría 2023 versión 2, para un avance del 33%.</t>
  </si>
  <si>
    <t>En lo concerniente al periodo entre enero y junio 2023: Se emitieron y publlicaron los informes finales de tres (3) informes de seguimiento de los quince (15) programadas en el Plan Anual de Auditoría 2023 versión 2, para un avance del 20%.</t>
  </si>
  <si>
    <t>Desde enero a junio de 2023: Se emitieron y publlicaron los informes finales de diecisiete (17) informes/reportes reglamentarios de los veintiocho (28) programadas en el Plan Anual de Auditoría 2023 versión 2, para un avance del 61%.</t>
  </si>
  <si>
    <t>En cuanto al periodo entre enero a junio 2023, se han ejecutado actividades de asesoria y acompañamiento requeridas por los procesos/áreas para un total de avance de 45% de lo programado de enero a junio de 2023.</t>
  </si>
  <si>
    <r>
      <rPr>
        <b/>
        <sz val="11"/>
        <rFont val="Calibri"/>
        <family val="2"/>
      </rPr>
      <t xml:space="preserve">Como avance acumulado para el primer semestre del año (enero-junio) de 2023, </t>
    </r>
    <r>
      <rPr>
        <sz val="11"/>
        <rFont val="Calibri"/>
        <family val="2"/>
      </rPr>
      <t xml:space="preserve">se gestionó lo correspondiente de la Oficina de Control Interno con 1,5 metros lineales, de la Oficina de Control Disciplinario Interno con 10 metros lineales, Oficina Asesora de Planeación con 0,25 metros lineales, Oficina Asesora Jurídica con 0,75 metros lineales, Subsecretaria del Cuidado y Políticas de Igualdad con 3 metros lineales, Dirección de Derechos y Diseño de Políticas con 2,25 metros lineales y Casa de Todas con 8 metros lineales, Dirección de Gestión del Conocimiento y la Dirección de Enfoque Diferencial, con un total de 0,5 y 1,5 metros lineales, respectivamente. Esto equivale a un total de 8 cajas, equivalentes a 2 metros lineales de los 55 metros proyectados,  </t>
    </r>
    <r>
      <rPr>
        <b/>
        <sz val="11"/>
        <rFont val="Calibri"/>
        <family val="2"/>
      </rPr>
      <t>para un total de 111 cajas equivalentes a 27,75 metros lineales de los 55 metros proyectados, cumpliendo así con la meta propuesta para el reporte al mes de junio.</t>
    </r>
  </si>
  <si>
    <r>
      <rPr>
        <b/>
        <sz val="11"/>
        <rFont val="Calibri"/>
        <family val="2"/>
      </rPr>
      <t>Como avance acumulado para el primer semestre del año (enero-junio) de 2023</t>
    </r>
    <r>
      <rPr>
        <sz val="11"/>
        <rFont val="Calibri"/>
        <family val="2"/>
      </rPr>
      <t xml:space="preserve">,  se realizó (clasificación, ordenación, foliación y descripción) de archivos intervenidos en metros lineales así: Para el mes de enero se consolida la contratación del recurso necesario profesionales, técnicos y auxiliares para ejecutar las actividades programadas para la vigencia, se realizó (clasificación, ordenación, foliación y descripción) de los documentos de gestión de las dependencias: Dirección de Talento Humano, Dirección de Contratación, Dirección Administrativa y Financiera, Dirección de Derechos y Diseño y Políticas y Subsecretaria del Cuidado y Políticas
de Igualdad. </t>
    </r>
    <r>
      <rPr>
        <b/>
        <sz val="11"/>
        <rFont val="Calibri"/>
        <family val="2"/>
      </rPr>
      <t>El total de archivos intervenidos acumulados es de 15 metros lineales en febrero, 8,25 mts lineales
en marzo, 16,25mts lineales en abril, 15 metros lineales en mayo y 24,5 mts lineales en el mes de junio,  para un acumulado de 79 metros  lineales de los 150 proyectados.</t>
    </r>
  </si>
  <si>
    <r>
      <rPr>
        <b/>
        <sz val="11"/>
        <rFont val="Calibri"/>
        <family val="2"/>
      </rPr>
      <t>El avance acumulado entre los meses de enero a junio de 2023,</t>
    </r>
    <r>
      <rPr>
        <sz val="11"/>
        <rFont val="Calibri"/>
        <family val="2"/>
      </rPr>
      <t xml:space="preserve"> en cuanto a los instrumentos actualizados y publicados son:
- En enero / PINAR
- En marzo / Caracterizacion del proceso.
- En mayo / Manual de Gestion Documental
- En junio / Instructivo Organizar y Administrar el Archivo.
En cuanto a las sensibilizaciones el avance acumulado entre los meses de enero a junio de 2023, es de 19  sensibilizaciones realizadas a Servidoras (es) de las dependencias de acuerdo al plan de sensibilizaciones vigencia 2023 con temática Aplicación de Tabla de Retención Documental; se efectúa implementación de instrumentos archivísticos Fuid en Línea Ciom Barrios Unidos, se realiza actualización y publicación de la caracterización del proceso de Gestión Documental;  se realiza actualización y publicación del Manual de Gestión Documental, Instructivo Organizar y Administrar el Archivo y cinco formatos asociados al proceso, los cuales se encuentran disponibles para uso y consulta y se han realizado mesas de trabajo para realizar la actualización a las TRD de la SDMujer.
Se realizó implementación de instrumentos archivísticos Fuid en Línea Ciom Barrios Unidos, se realiza actualización y publicación de la caracterización del proceso de Gestión Documental, se realizan mesas de trabajo para actualización de los formatos asociados al proceso de Gestión Documental; Asimismo, se realizaron 4 visitas de seguimiento a nivel central de acuerdo al cronograma 2023.
 </t>
    </r>
  </si>
  <si>
    <r>
      <rPr>
        <b/>
        <sz val="11"/>
        <rFont val="Calibri"/>
        <family val="2"/>
      </rPr>
      <t xml:space="preserve">Como avance acumulado del primer semestre 2023,  </t>
    </r>
    <r>
      <rPr>
        <sz val="11"/>
        <rFont val="Calibri"/>
        <family val="2"/>
      </rPr>
      <t xml:space="preserve">se realizaron y consolidaron diecisiete (17) visitas a CIOM Tunjuelito, Candelaria,  Santa Fe, Antonio Nariño, San Cristobal, Rafael Uribe Uribe, Bosa,  Engativá, Fontibón,  Suba, Usaquén, Usme, Sumapaz, Mártires, Puente Aranda, Kennedy, Ciudad Bolivar, con el objetivo de realizar la inspección de infraestructura, almacenamiento y revisión del estado general de la documentación. 
Se realizó sensibilización al equipo de trabajo,  frente a la manipulación, embalaje e identificación de las cajas para el traslado de la bodega del Archivo Central. Del mismo modo,  se definieron los lineamientos técnicos para el almacenamiento y conservación de las Historias Laborales y el uso de sobres de papel bond blanco para los cds. 
De igual manera, se obtuvo aprobación de concepto técnico para traslado de bodega por parte del Archivo de Bogotá y se formalizó el contrato No. 944 de 2023, por otro lado, se realizaron las actividades de traslado  pertenenciente a la documentación de la SDMujer, y posteriormente, se realizaron las actividades de organización, ubicación topografica y cambio parcial de las unidades de almacenamiento , cumpliendo con la implementación del Sistema Integrado de Conservación- SIC en su Plan de Conservación Documental.
</t>
    </r>
  </si>
  <si>
    <r>
      <rPr>
        <b/>
        <sz val="11"/>
        <rFont val="Calibri"/>
        <family val="2"/>
      </rPr>
      <t>Como avance acumulado del primer semestre 2023,</t>
    </r>
    <r>
      <rPr>
        <sz val="11"/>
        <rFont val="Calibri"/>
        <family val="2"/>
      </rPr>
      <t xml:space="preserve">  se realizaron las actividades de desarrollo para la gestión de interoperabilidad entre Orfeo y Icops y la elaboracion  del  instructivo para socializar el proceso de interoperabilidad realizado entre los operativos ICOPS y ORFEO en  implementación de las estrategias identificadas en el Plan de Preservación Digital a Largo Plazo, del Sistema Integrado de Gestión -SIC. se inició la elaboración del documento "Esquema de Metadatos", con base en los lineamientos dados por el Archivo Distrital de Bogotá y el Archivo General de la Nación, y en cumplimiento de las normas que aplican para este tipo de documentos, por otro lado, se continúa con la definición y estructura del documento "Esquema de Metadatos", con base en los lineamientos dados por el Archivo Distrital de Bogotá y el Archivo General de la Nación, y en cumplimiento de las normas que aplican para este tipo de documentos. Se finaliza la interoperabilidad del Sistema de Gestión Documental Orfeo con los sistemas "Bogotá te Escucha" de la Secretaria General de la Alcaldía y el sistema ICOPS de la SDM, dando cumplimiento a las actividades contempladas en el Plan de Preservación Digital a Largo Plazo, con respecto a las características de los archivos y sus metadatos asociados. 
Por tro lado, se inicia con la definición del Instrumento ArchivÍstico Modelo de Requisitos del Sistema de Documentos  Electrónicos de Archivo con base en lo establecido en el Decreto 1080 de 2015.</t>
    </r>
  </si>
  <si>
    <r>
      <t xml:space="preserve">En cumplimiento con lo establecido en la Carta Circular 121 de 2023 "Publicación de Informes financieros y contables para los Entes Públicos Distritales", Resolución 356 de 2022 "Por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 Resolución No. DCC-000004 de 2022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y el numeral 7 del Manual de Operaciones Contables adoptado mediante Resolución No 177 de 2020, el cual indica... "Publicación de los Estados Contables. La Dirección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t>
    </r>
    <r>
      <rPr>
        <sz val="10"/>
        <rFont val="Calibri"/>
        <family val="2"/>
      </rPr>
      <t xml:space="preserve">
El 19 de julio del 2023 se publicó en la página Web de la entidad los siguientes estados financieros: CGN2005 001 SALDOS Y MOVIMIENTOS 2DO TRIMESTRE JUNIO 2023 / CGN2015 002 OPERACIONES RECIPROCAS CONVERGENCIA 2T JUNIO 2023 / ESTADO SITUACIÓN FINANCIERA (Comparativo) JUN - MAR 23 / ESTADO DE RESULTADOS (Comparativo) JUN 23 - 22 / NOTAS A LOS ESTADOS FINANCIEROS A 30 DE JUNIO 2023 / CGN 2016 01 VARIACIONES FINAL 30062023-2022 / CERTIFICACIÓN JUN 23.
Los días 12 y 19 de julio del 2023 se publicó en la página de Bogotá Consolida la siguiente información: CGN2005 001 SALDOS Y MOVIMIENTOS 2ER TRIMESTRE JUNIO 2023 / CGN2015 002 OPERACIONES RECIPROCAS CONVERGENCIA 2T JUNIO 2023 / ESTADO SITUACIÓN FINANCIERA (Comparativo) JUN - MAR 23 / ESTADO DE RESULTADOS (Comparativo) JUN 23 - 22 / CGN 2016 01 VARIACIONES FINAL 30062023-2022.  </t>
    </r>
  </si>
  <si>
    <t>"El 17 de Julio de 2023, se reportó en la plataforma de la Secretaria Distrital de Hacienda, la información de  los artículos 1º y 2º de la Resolución SDH 415 de 2016, correspondiente al informe de estampillas distritales del período comprendido entre el 1 de enero al 30 de junio de 2023.
El 18 de Julio de 2023 se reporte en la plataforma de la Secrearia Distrital de Hacienda, la información de los articulo 2 y 4 de la exogena distrital vigencia 2022 RESOLUCIÓN DDI-015564 DE 2023."</t>
  </si>
  <si>
    <r>
      <rPr>
        <b/>
        <sz val="11"/>
        <color indexed="8"/>
        <rFont val="Calibri"/>
        <family val="2"/>
      </rPr>
      <t>El 18 de enero de 2023,</t>
    </r>
    <r>
      <rPr>
        <sz val="11"/>
        <color indexed="8"/>
        <rFont val="Calibri"/>
        <family val="2"/>
      </rPr>
      <t xml:space="preserve"> se reportó en la plataforma de la Secretaría Distrital de Hacienda, la información de los artículos 1º y 2º de la Resolución SDH 415 de 2016, </t>
    </r>
    <r>
      <rPr>
        <b/>
        <sz val="11"/>
        <color indexed="8"/>
        <rFont val="Calibri"/>
        <family val="2"/>
      </rPr>
      <t xml:space="preserve">correspondiente al informe de estampillas distritales del período comprendido entre el 1 de julio al 31 de diciembre de 2022.
</t>
    </r>
    <r>
      <rPr>
        <sz val="11"/>
        <color indexed="8"/>
        <rFont val="Calibri"/>
        <family val="2"/>
      </rPr>
      <t xml:space="preserve">
</t>
    </r>
    <r>
      <rPr>
        <b/>
        <sz val="11"/>
        <color indexed="8"/>
        <rFont val="Calibri"/>
        <family val="2"/>
      </rPr>
      <t>El 20 de abril de 2023</t>
    </r>
    <r>
      <rPr>
        <sz val="11"/>
        <color indexed="8"/>
        <rFont val="Calibri"/>
        <family val="2"/>
      </rPr>
      <t xml:space="preserve">, la Secretaria de Hacienda Distrital Oficina de consolidación transmitio en la plataforma Muisca de la Dirección de Impuestos y Aduanas Nacionales - DIAN de la Secretaría Distrital de Hacienda, la información de los de los foramtos 1001 - Información de pagos o abonos en cuenta y de retenciones en la fuente practicadas, Formato 1009: Información del saldo de los pasivos a 31 de diciembre, Formato 2575 Información de donaciones recibidas y certificadas por las entidades no contribuyentes y Formato 2276: Información del certificado de ingresos y retenciones para personas naturales empleados por el año gravable 2022”, en cumplimiento a lo dispuesto en la Resolución 000124 de octubre 28 de 2021 expedida por la Dirección de Impuestos y Aduanas Nacionales.
</t>
    </r>
  </si>
  <si>
    <r>
      <rPr>
        <b/>
        <sz val="11"/>
        <color indexed="8"/>
        <rFont val="Calibri"/>
        <family val="0"/>
      </rPr>
      <t>Durante el mes de JULIO,</t>
    </r>
    <r>
      <rPr>
        <sz val="11"/>
        <color indexed="8"/>
        <rFont val="Calibri"/>
        <family val="0"/>
      </rPr>
      <t xml:space="preserve"> se atendieron todas las solicitudes de certificados presupuestales recibidas expidiendo lo que se relaciona a continuación:
- 45 Certificados de Disponibilidad Presupuestal -CDP
- 72 Certificados de Registro Presupuestal - CRP</t>
    </r>
  </si>
  <si>
    <r>
      <rPr>
        <sz val="11"/>
        <color indexed="8"/>
        <rFont val="Calibri"/>
        <family val="0"/>
      </rPr>
      <t xml:space="preserve">Entre el período comprendido entre los meses de </t>
    </r>
    <r>
      <rPr>
        <b/>
        <sz val="11"/>
        <color indexed="8"/>
        <rFont val="Calibri"/>
        <family val="0"/>
      </rPr>
      <t>enero a 31 de juLio de 2023</t>
    </r>
    <r>
      <rPr>
        <sz val="11"/>
        <color indexed="8"/>
        <rFont val="Calibri"/>
        <family val="0"/>
      </rPr>
      <t>, las expediciones acumuladas, son las siguientes: 
- 1.312  Certificados  de Disponibilidad Presupuestal . CDP
- 1.330  Certificados de Registro Presupuestal - CRP</t>
    </r>
  </si>
  <si>
    <r>
      <rPr>
        <b/>
        <sz val="11"/>
        <color indexed="8"/>
        <rFont val="Calibri"/>
        <family val="0"/>
      </rPr>
      <t xml:space="preserve">Durante el mes de JULIO, </t>
    </r>
    <r>
      <rPr>
        <sz val="11"/>
        <color indexed="8"/>
        <rFont val="Calibri"/>
        <family val="0"/>
      </rPr>
      <t>se publica en la página web de la entidad (mes vencido) la ejecución presupuestal. En el mes de JULIO se publicó la información relativa al mes de JUNIO 2023.</t>
    </r>
  </si>
  <si>
    <r>
      <rPr>
        <sz val="11"/>
        <color indexed="8"/>
        <rFont val="Calibri"/>
        <family val="0"/>
      </rPr>
      <t>Mensualmente se publica en la página web de la entidad la ejecución presupuestal del mes inmediatamente anterior.</t>
    </r>
    <r>
      <rPr>
        <b/>
        <sz val="11"/>
        <color indexed="8"/>
        <rFont val="Calibri"/>
        <family val="0"/>
      </rPr>
      <t xml:space="preserve"> Este año se han realizado las respectivas publicaciones  en los meses de enero, febrero, marzo, abril, mayo, junio y julio-.</t>
    </r>
  </si>
  <si>
    <r>
      <rPr>
        <b/>
        <sz val="10"/>
        <color indexed="8"/>
        <rFont val="Calibri"/>
        <family val="0"/>
      </rPr>
      <t xml:space="preserve"> El avance acumulado entre enero y julio, se relaciona a continuación: 
</t>
    </r>
    <r>
      <rPr>
        <sz val="10"/>
        <color indexed="8"/>
        <rFont val="Calibri"/>
        <family val="0"/>
      </rPr>
      <t xml:space="preserve">
</t>
    </r>
    <r>
      <rPr>
        <b/>
        <sz val="10"/>
        <color indexed="8"/>
        <rFont val="Calibri"/>
        <family val="0"/>
      </rPr>
      <t xml:space="preserve">- El 31 de Enero de 2023, se publicaron los Estados Financieros comparativos período de diciembre 2022-2021: </t>
    </r>
    <r>
      <rPr>
        <sz val="10"/>
        <color indexed="8"/>
        <rFont val="Calibri"/>
        <family val="0"/>
      </rPr>
      <t xml:space="preserve">SITUACION FINANCIERA DICIEMBRE 2022 – ESTADO DE ACTIVIDAD FINANCIERA ECONOMICA SOCIAL Y AMBIENTAL DICIEMBRE 2022 –– CERTIFICACION A LOS ESTADOS FINANCIEROS DICIEMBRE 2022 – CAMBIO EN EL PATRIMONIO - NOTAS A LOS ESTADOS FINANCIEROS A 31 DE DICIEMBRE 2022 – VARIACIONES TRIMESTRALES SIGNIFICATIVAS DICIEMBRE 2022  – CGN2005_001_SALDOS_Y_MOVIMIENTOS DIC 2022 –  CGN 2015 002 RECIPROCAS DIC 2022. 
Por otro lado, los formatos de COVID 19 se derogaron mediante resolución No. 225 del 24 de agosto de 2022 expedida por la Contaduría General de la Nación.
- </t>
    </r>
    <r>
      <rPr>
        <b/>
        <sz val="10"/>
        <color indexed="8"/>
        <rFont val="Calibri"/>
        <family val="0"/>
      </rPr>
      <t>El 20 de febrero del 2023</t>
    </r>
    <r>
      <rPr>
        <sz val="10"/>
        <color indexed="8"/>
        <rFont val="Calibri"/>
        <family val="0"/>
      </rPr>
      <t xml:space="preserve"> se publicó en la página Web de la entidad los Estados Financieros comparativos periodo de enero 2023-2022, los cuales se relacionan a continuación:   1. ESTADO DE SITUACION FINANCIERA ENERO 2023 – 2. ESTADO DE RESULTADO ENERO 2023 –– 4. CERTIFICACIÓN EF ENERO 2023 – NOTAS A LOS ESTADOS FINANCIEROS A 31 DE ENERO 2023.  y el 17 de marzo del 2023 se publicó en la página Web de la entidad los Estados Financieros comparativos periodo de febrero 2023-2022, los cuales se relacionan a continuación:   1. ESTADO DE SITUACION FINANCIERA FEBRERO 2023 – 2. ESTADO DE RESULTADO FEBRERO 2023 –– 4. CERTIFICACIÓN EF FEBRERO 2023 – NOTAS A LOS ESTADOS FINANCIEROS A 31 DE FEBRERO 2023.
</t>
    </r>
    <r>
      <rPr>
        <b/>
        <sz val="10"/>
        <color indexed="8"/>
        <rFont val="Calibri"/>
        <family val="0"/>
      </rPr>
      <t xml:space="preserve"> - El 17 de marzo del 2023 </t>
    </r>
    <r>
      <rPr>
        <sz val="10"/>
        <color indexed="8"/>
        <rFont val="Calibri"/>
        <family val="0"/>
      </rPr>
      <t xml:space="preserve">se publicó en la página Web de la entidad los Estados Financieros comparativos periodo de febrero 2023-2022, los cuales se relacionan a continuación:   1. ESTADO DE SITUACION FINANCIERA FEBRERO 2023 – 2. ESTADO DE RESULTADO FEBRERO 2023 –– 4. CERTIFICACIÓN EF FEBRERO 2023 – NOTAS A LOS ESTADOS FINANCIEROS A 28 DE FEBRERO 2023.
- </t>
    </r>
    <r>
      <rPr>
        <b/>
        <sz val="10"/>
        <color indexed="8"/>
        <rFont val="Calibri"/>
        <family val="0"/>
      </rPr>
      <t xml:space="preserve">El 20 de abril del 2023 </t>
    </r>
    <r>
      <rPr>
        <sz val="10"/>
        <color indexed="8"/>
        <rFont val="Calibri"/>
        <family val="0"/>
      </rPr>
      <t xml:space="preserve">se publicó en la página Web de la entidad los Estados Financieros comparativos periodo de marzo 2023-2022,  1 Estado de Situación Financiera Marzo 2023 – 2 Estado de Resultados Marzo 2023 - 3 Certificación Ef Marzo 2023 – 4 Notas A Los Estados Financieros A 31 De Marzo 2023 - 5 Cgn2015_001_Saldos_Y_Movimientos 1er Trimestre Marzo 2023 - 6 Cgn 2015 002 Reciprocas 1t Marzo 2023 - 7 Cgn 2016 01 Variaciones Final Marzo 2023. 
</t>
    </r>
    <r>
      <rPr>
        <b/>
        <sz val="10"/>
        <color indexed="8"/>
        <rFont val="Calibri"/>
        <family val="0"/>
      </rPr>
      <t>- El 19 de mayo del 2023</t>
    </r>
    <r>
      <rPr>
        <sz val="10"/>
        <color indexed="8"/>
        <rFont val="Calibri"/>
        <family val="0"/>
      </rPr>
      <t xml:space="preserve"> se publicó en la página Web de la entidad los siguientes estados financieros:  
1. ESTADO DE SITUACION FINANCIERA ABRIL 2023 – MARZO 2023, 
2. ESTADO DE RESULTADO ABRIL 2023-2022 y 3. CERTIFICACIÓN EF ABRIL 2023. 
Adicionalmente se publicó:
1. ESTADO DE SITUACION FINANCIERA MARZO 2023 - DIC 2022 
2. NOTAS A LOS ESTADOS FINANCIEROS A 31 DE MARZO 2023. 
</t>
    </r>
    <r>
      <rPr>
        <b/>
        <sz val="10"/>
        <color indexed="8"/>
        <rFont val="Calibri"/>
        <family val="0"/>
      </rPr>
      <t>- El 14 de junio del 2023</t>
    </r>
    <r>
      <rPr>
        <sz val="10"/>
        <color indexed="8"/>
        <rFont val="Calibri"/>
        <family val="0"/>
      </rPr>
      <t xml:space="preserve"> se publicó en la página Web de la entidad los siguientes estados financieros:   Estado de Situación Financiera Mayo 2023 - Marzo 2023, Estado de Resultado Mayo 2023 y Certificación de los estados financieros.
- El 19 de julio del 2023 se publicó en la página Web de la entidad los siguientes estados financieros: CGN2005 001 SALDOS Y MOVIMIENTOS 2DO TRIMESTRE JUNIO 2023 / CGN2015 002 OPERACIONES RECIPROCAS CONVERGENCIA 2T JUNIO 2023 / ESTADO SITUACIÓN FINANCIERA (Comparativo) JUN - MAR 23 / ESTADO DE RESULTADOS (Comparativo) JUN 23 - 22 / NOTAS A LOS ESTADOS FINANCIEROS A 30 DE JUNIO 2023 / CGN 2016 01 VARIACIONES FINAL 30062023-2022 / CERTIFICACIÓN JUN 23.
Los días 12 y 19 de julio del 2023 se publicó en la página de Bogotá Consolida la siguiente información: CGN2005 001 SALDOS Y MOVIMIENTOS 2ER TRIMESTRE JUNIO 2023 / CGN2015 002 OPERACIONES RECIPROCAS CONVERGENCIA 2T JUNIO 2023 / ESTADO SITUACIÓN FINANCIERA (Comparativo) JUN - MAR 23 / ESTADO DE RESULTADOS (Comparativo) JUN 23 - 22 / CGN 2016 01 VARIACIONES FINAL 30062023-2022.  </t>
    </r>
  </si>
  <si>
    <t>Para el mes de julio se reporta el avance del presente indicador: 
Para el mes de julio de 2023, se elaboró y presento el informe de respuesta al memorando de solicitud de OCI con radicado No. 3-2023-003233 DEL 05-07-2023 -Solicitud de Información - Medidas de Austeridad en el Gasto Público II Trimestre de 2023. El Informe presentado a la Oficina de Control Interno, se radico desde la Dirección Administrativa y Financiera con radicado memorando No. 3-2023-003340 Fecha: 17-07-2023  .</t>
  </si>
  <si>
    <t>No aplica en el período</t>
  </si>
  <si>
    <t>Se gestionó (seguimiento, trazabilidad y asignaciòn) del 100% de las mesas de ayuda del mes de Julio, cuyo total fue de 126 requerimientos, distribuidos de la siguiente manera:
- Almacén recibió y gestionó 82 solicitudes.
- Mantenimiento recibió y gestionó 44 solicitudes."</t>
  </si>
  <si>
    <r>
      <rPr>
        <sz val="11"/>
        <color indexed="8"/>
        <rFont val="Times New Roman"/>
        <family val="0"/>
      </rPr>
      <t xml:space="preserve">El avance acumulado del  seguimiento, trazabilidad y asignación de las mesas de ayuda, en el aplicativo Mesa de Ayuda es el siguiente:
- Enero: 43 requerimientos recibidos
- Febrero: 157 requerimientos recibidos
- Marzo: 146 requerimientos recibidos
- Abril: 104 requerimientos recibidos 
- Mayo: 144 requierimientos recibidos
- Junio: 111 requerimientos recibidos 
- Julio: 126 requerimientos recibidos 
El  total  acumulado es de 831 solicitudes recibidas y gestionadas al 100%, de las cuales  </t>
    </r>
    <r>
      <rPr>
        <b/>
        <sz val="11"/>
        <color indexed="8"/>
        <rFont val="Times New Roman"/>
        <family val="0"/>
      </rPr>
      <t>el  almacen recibio y gestionó 428 y Mantenimiento gestionó 403</t>
    </r>
    <r>
      <rPr>
        <sz val="11"/>
        <color indexed="8"/>
        <rFont val="Times New Roman"/>
        <family val="0"/>
      </rPr>
      <t>. Cumpliendo con lo propuesto y dando respuesta oportuna a los requerimientos.</t>
    </r>
  </si>
  <si>
    <t>Las mesas de ayuda cerradas, correspondientes al mes de junio (mes vencido) fueron de 630 mesas de 705 solicitadas, lo cual representa un 89% de la meta propuesta mes vencido.</t>
  </si>
  <si>
    <t xml:space="preserve">El avance acumulado del  seguimiento, trazabilidad y asignación de las mesas de ayuda, en el aplicativo Mesa de Ayuda es el siguiente:
- Enero: 43 requerimientos recibidos - 47%
- Febrero: 157 requerimientos recibidos - 79%
- Marzo: 146 requerimientos recibidos - 92%
- Abril: 104 requerimientos recibidos - 91%
- Mayo: 144 requerimientos recibidos - 92%
- Junio: 111 requerimientos recibidos - 89%
- Julio: 126 requerimientos recibidos - 89%
En total se cerraron un total acumulado de 630 mesas de ayuda al corte de mes de junio. </t>
  </si>
  <si>
    <t>Se presenta el informe parcial de toma física a corte 30 de junio de 2023 de acuerdo a cronograma de toma física para la actual vigencia.</t>
  </si>
  <si>
    <t>En el informe parcial de toma fisica del primer semestre del año 2023 se ha realizado inventario en 14 casas de igualdad, 14 centros de inclusión digital, 15 casas de justicia, 3 Uri, capiv, caivas, casa de todas, archivo central y 18 dependencias que se encuentran en nivel central. Cumpliendo con el 60% del cronograma aprobado en la seción No. 1 del Comite MIPG.  Actualizando 9.285 bienes verificados en la herramienta de inventarios que se lleva para su control. Realizando la presentación de este avance de información en la seción del mes de julio del Comité de MIPG.
El día 15 de mayo de 2023, en la sesión No. 1 de la Mesa Técnica de Gestión de Bienes, la Dirección Administrativa y Financiera, puso a consideración de la mesa continuar con el trámite de baja de los bienes inservibles y no utilizables por renovación tecnológica, para presentación ante el Comité de MIPG; Esta solicitud de baja se da como , resultado de la suscripción, en la vigencia 2022, de las órdenes de compra Nos. 101249 (contrato 1130 de 2022) y 101229 (contrato 1131 de 2022), y previo análisis de los conceptos técnicos.</t>
  </si>
  <si>
    <r>
      <rPr>
        <b/>
        <sz val="11"/>
        <color indexed="8"/>
        <rFont val="Times New Roman"/>
        <family val="0"/>
      </rPr>
      <t>El acumulado par</t>
    </r>
    <r>
      <rPr>
        <b/>
        <sz val="11"/>
        <rFont val="Times New Roman"/>
        <family val="1"/>
      </rPr>
      <t xml:space="preserve">a el mes de julio de 2023 es el siguiente: </t>
    </r>
    <r>
      <rPr>
        <b/>
        <sz val="11"/>
        <color indexed="10"/>
        <rFont val="Times New Roman"/>
        <family val="0"/>
      </rPr>
      <t xml:space="preserve">
</t>
    </r>
    <r>
      <rPr>
        <sz val="11"/>
        <color indexed="8"/>
        <rFont val="Times New Roman"/>
        <family val="0"/>
      </rPr>
      <t xml:space="preserve">
- 1 Informe de seguimiento del IV trimestre de la vigencia 2022, presentado en el mes de enero a la OCI. 
- 1 Informe consolidado Anual de Austeridad Presentado al Consejo de Bogotá en el mes de Febrero de 2023.
- 1 informe trimestral de seguimiento a las medidas de austeridad para el primer trimestre de la vigencia 2023.
- 1 Informe trimestral de seguimiento a las medidas de austeridad para el segundo trimestre de la vigencia 2023.</t>
    </r>
  </si>
  <si>
    <t>En el mes de JULIO la Oficina de Control Disciplinario Interno  cumplió con la meta formulada al dictar dos (2)  jornadas  de prevención a Servidoras, servidores y contratistas de la SDMujer, los días 5 y 26  del citado mes, al equipo de la Dirección de Eliminación de Violencias Contra Las Mujeres y Acceso a la Justicia - Grupo 2 y al equipo de la OCDI, respectivamente,  tal como se verifica en la evidencia cargada en la carpeta One Drive.</t>
  </si>
  <si>
    <r>
      <t>La Oficina de Control Disciplinario Interno en cumplimiento del Plan de Acción 2023, según la meta:</t>
    </r>
    <r>
      <rPr>
        <i/>
        <sz val="11"/>
        <color indexed="8"/>
        <rFont val="Times New Roman"/>
        <family val="1"/>
      </rPr>
      <t xml:space="preserve"> jornadas de prevención para Servidoras, Servidores y Contratistas de la SDMujer,</t>
    </r>
    <r>
      <rPr>
        <sz val="11"/>
        <color indexed="8"/>
        <rFont val="Times New Roman"/>
        <family val="1"/>
      </rPr>
      <t xml:space="preserve"> al mes de junio de 2023, ha logrado  un avance acumulado del 60% de las jornadas programadas mes a mes, así:
Febrero: Dos (2) Jornadas de Prevención.
Marzo: Dos (2) Jornadas de Prevención.
Abril: Dos (2) Jornadas de Prevención.
Mayo: Dos (2) Jornadas de Prevención.
Junio: Dos (2) Jornadas de Prevención.
Julio: Dos (2) Jornadas de Prevención.</t>
    </r>
  </si>
  <si>
    <r>
      <t>El 14 de JULIO de 2023 se realizó el  Conversatorio titulado:  "</t>
    </r>
    <r>
      <rPr>
        <i/>
        <sz val="11"/>
        <rFont val="Times New Roman"/>
        <family val="1"/>
      </rPr>
      <t>EL DERECHO A LA PARTICIPACIÓN EN POLITÍCA Y SU PROHIBICIÓN PARA LOS SERVIDORES Y SERVIDORAS PÚBLICAS</t>
    </r>
    <r>
      <rPr>
        <sz val="11"/>
        <rFont val="Times New Roman"/>
        <family val="1"/>
      </rPr>
      <t>",en el Auditorio Acata de la Independencia de la Universidad Santo Tomas (Carrera 9 No. 63-28 Edificio Aquinate, Bogotá D.C., de igual forma se transmitió via Teams. 
Se realizó el cargue de evidencias en la carpeta One Drive destinada para tal fin.</t>
    </r>
  </si>
  <si>
    <t>En cumplimiento de esta meta/indicador la OCDI cumplió con la realización del Conversatorio programado en el Plan de Acción 2023.</t>
  </si>
  <si>
    <t>La Oficina de Control Disciplinario Interno durante el primer semestre de 2023, expidió 44 deciciones de fondo dentro de los expedientes disciplinarios de las vigencias 2018, 2019, 2020, 2021, 2022 y 2023, verificandose con el informe primer semestre 2023 soportado con la matriz de seguimiento de la OCDI.</t>
  </si>
  <si>
    <t xml:space="preserve">En el primer y segundo trimestre, por parte de los profesionales de la Dirección de Contratación se procedió con la elaboración de las Minutas de prestación de servicios y apoyo a la gestión  y procesos de bienes y servicios. </t>
  </si>
  <si>
    <t xml:space="preserve"> Este mes no se reporta avance de este indicador, debido a la periodicidad de su programación.</t>
  </si>
  <si>
    <t>En el segundo trimestre se publico en plataforma SECOP Pliegos de Condiciones de procesos de Bienes y Servcios.</t>
  </si>
  <si>
    <t>En el primer y segundo trimestre, se procedio con la publicación del PAA</t>
  </si>
  <si>
    <t xml:space="preserve">En el primer y segundo trimestre, se realizo la publicación de los requerimientos. </t>
  </si>
  <si>
    <t xml:space="preserve">En el segundo trimestre se realizo capacitacion de  Incumplimiento en los procesos de Contratación  en el cual se expusieron temas relevantes de las diferentes etapas de contrataciòn. Asi mismo se realizo capacitación de Analisis del sector dirigida a contratistas, enlaces y supervisores. </t>
  </si>
  <si>
    <t xml:space="preserve">En el primer y segundo trimestre, por parte de los profesionales de la Dirección de Contratación se procedió con la liquidaciones de contratos de prestación de servicios y apoyo a la gestión  y procesos de bienes y servicios. </t>
  </si>
  <si>
    <t xml:space="preserve">En el primer y segundo trimestre, se procedio con la remision de memorandos. </t>
  </si>
  <si>
    <t>Se ha realizado la actualización de los meses de enero a junio de los servicios de la SDMujer en la Guía de Trámites y Servicios, y se remitió el certificado de confiabilidad a la Secretaría General de la Alcaldía Mayor de Bogotá.</t>
  </si>
  <si>
    <t>No se han reportado avances de este indicador, debido a la periodicidad de su programación.</t>
  </si>
  <si>
    <t>Se ejecutaron entre los meses de enero a abril, cuatro (4) actividades de capacitación dirigidas a servidoras, servidores y contratistas de la Entidad, en los siguientes temas :
- 11/01/2023: Sensibilización en gestión de PQRS y manejo del sistema Bogotá te escucha. Dirigido a enlace Dir. de Gestión del Conocimiento.
- 28/03/2023: Primer taller de gestión de PQRS en Bogotá te escucha. Dirigido a enlaces de las dependencias.
- 30/03/2023: Sensibilización en gestión de PQRS y manejo del sistema Bogotá te escucha. Dirigido a enlace Dir. Administrativa y Financiera.
- 12/04/2023: Sensibilización en servicio a la ciudadanía y protocolos de atención. Dirigido a Línea Púrpura Distrital.</t>
  </si>
  <si>
    <t>Se realizó entre los meses de enero a abril, la divulgación de cuatro (4) piezas comunicacionales a través de la Boletina Informativa. Éstas fueron:
- Boletina 24 de enero - Resultados encuesta de satisfacción segundo semestre 2022.
- Boletina 16 de febrero - Resultados encuesta de satisfacción Distrital 2022.
- Boletina 03 de marzo - Socialización de Chatico.
- Boletina 16 de marzo - Socialización documento de Caracterización de Usuarios.</t>
  </si>
  <si>
    <t>Se realizó en el mes de mayo el seguimiento y revisión semestral a la documentación asociada al proceso de Atención a la Ciudadanía en la cual se identificaron  los documentos que deben ser actualizados y las respectivas fechas en que se debe adelantar dichas actualizaciones. Esta información fue reportada mediante acta de reunión de seguimiento.</t>
  </si>
  <si>
    <t>Teniendo en cuenta que la información estadística es remitida por la Secretaría General los primeros días del mes siguiente, durante el mes anterior (junio) se registraron 240 peticiones y se realizó el cierre de 261 peticiones (131 del mismo mes y 130 correspondientes al mes anterior), todas ellas recibidas a través de los distintos canales de atención dispuestos por la Secretaría Distrital de la Mujer y por traslado en el Sistema Distrital para la Gestión de Peticiones Ciudadanas - Bogotá te escucha.</t>
  </si>
  <si>
    <t>Teniendo en cuenta que la información estadística es remitida por la Secretaría General los primeros días del mes siguiente, durante los meses anteriores (diciembre, enero, febrero, marzo, abril, mayo y junio) se registraron 1576 peticiones y se ha realizado el cierre de 1.742 peticiones, todas ellas recibidas a través de los distintos canales de atención dispuestos por la Secretaría Distrital de la Mujer y por traslado en el Sistema Distrital para la Gestión de Peticiones Ciudadanas - Bogotá te escucha.</t>
  </si>
  <si>
    <t>El proceso de Atención a la Ciudadanía participó entre los meses de enero a abril, en los siguientes espacios de articulación interinstitucional, promoción de la cooperación e intercambio de conocimientos en temas de atención a la ciudadanía:
- 16/02/2023: Nodo Central  de la Red Distrital de Quejas y Reclamos (Veeduría Distrital).
- 23/02/2023: Primera Reunión Plenaria de la Red Distrital de Quejas y Reclamos (Veeduría Distrital).
- 07/03/2023: Seminario web Diseño Universal para la Señaletica, organuzado por  la Red Distrital de Quejas y Reclamos (Veeduría Distrital).
- 10/03/2023: Nodo Intersectorial de Formación y Capacitación  de la Red Distrital de Quejas y Reclamos (Veeduría Distrital).</t>
  </si>
  <si>
    <t>Se elaboró el informe del primer semestre del seguimiento a la adopción de sugerencias emitidas por la Dirección Distrital de Calidad del Servicio de la Secretaría General respecto del cumplimiento de los criterios de calidad y oportunidad en la emisión de respuestas de PQRS y la operatividad del Sistema Distrital para la Gestión de Peticiones Ciudadanas - Bogotá te escucha.</t>
  </si>
  <si>
    <t>Se ha elaborado el informe del primer semestre del seguimiento a la adopción de sugerencias emitidas por la Dirección Distrital de Calidad del Servicio de la Secretaría General respecto del cumplimiento de los criterios de calidad y oportunidad en la emisión de respuestas de PQRS y la operatividad del Sistema Distrital para la Gestión de Peticiones Ciudadanas - Bogotá te escucha.</t>
  </si>
  <si>
    <t>En el mes de julio, se elaboró el informe mensual de seguimiento de PQRS y atención a la ciudadanía correspondiente al mes de junio de 2023.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</si>
  <si>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A la fecha se han elaborado los informes mensuales de seguimiento de PQRS y atención a la ciudadanía correspondiente a los meses de diciembre 2022, enero, febrero, marzo, abril, mayo y junio de 2023. Los informes se encuentran publicados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</si>
  <si>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En el mes de julio se realizó el envío masivo de la encuesta de satisfacción de servicios y estrategias de la SDMujer, así como la respectiva medición e informe de resultados.
El informe de resultados de la encuesta se encuentra publicado en la página web de la SDMujer, en el menú "Atención y Servicios a la Ciudadanía", en la siguiente ruta:
https://www.sdmujer.gov.co/ley-de-transparencia-y-acceso-a-la-informacion-publica/planeacion/informe-trimestral-de-medicion-de-satisfaccion</t>
  </si>
  <si>
    <t>Se ha realizado en el mes de julio el envío masivo de la encuesta de satisfacción de servicios y estrategias de la SDMujer, así como la respectiva medición e informe de resultados.
El informe de resultados de la encuesta se encuentra publicado en la página web de la SDMujer, en el menú "Atención y Servicios a la Ciudadanía", en la siguiente ruta:
https://www.sdmujer.gov.co/ley-de-transparencia-y-acceso-a-la-informacion-publica/planeacion/informe-trimestral-de-medicion-de-satisfaccion</t>
  </si>
  <si>
    <t xml:space="preserve">Con corte a 30 DE JUNIO se recibieron y respondieron un total de 234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</si>
  <si>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 xml:space="preserve">Con corte a 30 DE JUNIO se recibieron un total de 53 solicitudes de pronunciamiento de Proyectos de Acuerdo y/o Ley y se emitieron 53 conceptos en respuesta a las solicitudes. </t>
  </si>
  <si>
    <t>Con corte a 30 DE JUNIO se recibieron y tramitaron un total de 41 acciones de tutela y se han llevado a cabo 13 actuaciones judiciales dentro de los procesos Administrativos en los que la Sdmujer actúa como sujeto procesal, asi como dentro Proceso Penal informado por la Fiscalía 43 Delegada para la Dirección Especializada contra el Lavado de Activos de la Fiscalía General de la Nación, en el que la Entidad no es parte ni se ha constituido formalmente como víctima.</t>
  </si>
  <si>
    <t xml:space="preserve">Con corte a 30 DE JUNIO no se requirió proyectar decisiones de segunda instancia en los procesos disciplinarios de la entidad. </t>
  </si>
  <si>
    <t xml:space="preserve">Con corte a 30 DE JUNIO se recibieron un total de 38 solicitudes por control político referentes a proposiciones del Concejo de Bogotá y se dio respuesta a las 38 solicitudes. </t>
  </si>
  <si>
    <t xml:space="preserve">Con corte a 30 DE JUNIO se asistió a un total de 21 Comités de enlaces ordinario virtual realizado por la plataforma teams, y se asiganarón por parte de  la secretaría técnica del comité 48 casos para estudio, los cuales fueron presentados ante el comité. </t>
  </si>
  <si>
    <t xml:space="preserve">Con corte a 30 DE JUNIO se realizarón un total de 12 sesiones ordinarias del Comité de Conciliación y 2 (dos) sesiones Extraordinaria, conforme a las 2 sesiones planeadas por mes. </t>
  </si>
  <si>
    <r>
      <rPr>
        <b/>
        <sz val="11"/>
        <rFont val="Times New Roman"/>
        <family val="1"/>
      </rPr>
      <t xml:space="preserve">Avance en la implementación de la Política de Seguridad Digital
</t>
    </r>
    <r>
      <rPr>
        <sz val="11"/>
        <rFont val="Times New Roman"/>
        <family val="1"/>
      </rPr>
      <t xml:space="preserve">"En el mes de agosto se realizaron las siguientes actividades:
-Actualización de los riesgos de la oficina asesora de planeación 
-Analisis de vulnerabilidades de Icops, Mesa de ayuda y portales de Oracle Cloud (capacitaciones, intranet, inventarios, manzanas de cuidado, portal SDMujer.
-Actualización  de activos de información de la oficina asesora de planeación
</t>
    </r>
    <r>
      <rPr>
        <b/>
        <sz val="11"/>
        <rFont val="Times New Roman"/>
        <family val="1"/>
      </rPr>
      <t xml:space="preserve">
Avance en la implementación de la Politica de Gobierno Digital 
</t>
    </r>
    <r>
      <rPr>
        <sz val="11"/>
        <rFont val="Times New Roman"/>
        <family val="1"/>
      </rPr>
      <t xml:space="preserve">
 Se ha finalizado el primer ejercicio de arquitectura empresarial, se viene trabajando en la implementación del MSPI y se tienen contratados a una persona encargada de construir el PETI, a un oficial de seguridad de la información y a un arquitecto empresarial.
 Se cumple con los criterios de accesibilidad web
Se cuenta con matriz de seguimiento de proyectos 80% avance
Se cuenta con el cronograma de arquitectura 
Se está realizando la actualización y formulación del nuevo PETI 
Se cuenta con políticas de TI, un proceso y procedimientos documentados
Se cuenta con un catálogo actualizado de sistemas de información
Se tiene definido un proceso de mejora continua para el proceso de gestión tecnológica
Se cuenta con contratación para mantenimiento preventivo para algunos elementos de infraestructura de TI
Se tiene implementado IPv6
Se cuenta con un diagnostico del MSPI actualizado para la Entidad
Se tiene una política de seguridad de la información formulada y aprobada
se tiene un inventario de activos de seguridad y privacidad de la información
Se cuenta con una construcción del CVDS</t>
    </r>
  </si>
  <si>
    <t>"Con corte al mes de Agosto se cuenta con 5.331 suscripciones de productos con Microsoft, incluyendo las Powers BI, de las cuales se están utilizando 5.277 (99% de utilización).
Para el mes de agosto se realizó avance de las siguientes actividades con el fin de garantizar el Funcionamiento, soporte y mantenimiento de los servicios que presta Infraestructura y telecomunicaciones en la Secretaría:
-Se entregaron 10 Mifi para completar los 69 contratados
-Entregaron canal de datos de nivel central 
- Mantenimiento y actualización del equipo de seguridad de Fortinet en Oracle 
Se configuro herramienta de monitoreo para servidores de equipos de comunicaciones ZABBIX, se encuentra en pruebas 
-De los procesos en curso: aire acondicionado (Se realizo ajuste en PAABS por presupuesto), UPS (proceso publicado SDMujer-MC-009-2023), proyección de video (se creo nuevo proceso evento cotización 11513 cerro 23/08/2023, se solicito información a proveedores por precios artificialmente bajos), DLP (se dieron respuesta a observaciones realizadas por contratos a espera de respuesta) VMware (se dieron respuesta a observaciones de contratos aprobado anexo técnico para solicitud de información a proveedores).Smarnet (abogada envía documentos para solicitud de contratación)</t>
  </si>
  <si>
    <t xml:space="preserve">Se realizo el tramite de pago para radicación del contrato de Oracle orden de compra 113288 cto 987 de 2023.
-Se envió a Contratación anexo técnico  ajustado de herramienta de desarrollo Toad  (se encuentra en proceso de publicación por parte de contratos ) licencias Adobe (cto 995 de 2023 se asignaron licencias y transferencia de conocimiento) SSL( en tramite de pago) Firmas electrónicas (anexo técnico) Herramienta de desarrollo (se recibieron observaciones de contratación para ajuste)
Con corte a 31 de agosto se han recibido 5209 requerimientos por mesa de ayuda, de los cuales se atendieron 4920, quedando 289 para ser atendidos en el mes de septiembre, debido a su complejidad, a la fecha se han atendido los requerimientos a satisfacción con el fin de garantizar que los funcionarios puedan trabajar de manera mas eficiente.
En el mes de agosto se recibieron 616 requerimientos de los cuales se atendieron 534 quedando pendientes para el mes de septiembre 82 en su mayoría del SIMISIONAL (56 casos abiertas)" </t>
  </si>
  <si>
    <t>"Con corte a 31 de agosto se han atendido 957 requerimientos de soporte a la fecha, en el mes de agosto se atendieron 92 ,se realizó 1 actualización del aplicativo en el mes de agosto, consolidado a corte 21 actualizaciones al aplicativo, se solicitaron 1 requerimientos adicionales que se encuentran en validación para un total a corte de 31 de agosto de 22 requerimientos adicional para mejoras en sistema del aplicativo Icops.
Se esta ajustando la liquidación de retenciones de ICA de acuerdo con cada actividad económica y el porcentaje a retener de cada contratista en el aplicativo ICOPS.
Con corte a 31 de agosto se han atendido 2250 requerimientos, en el mes de julio se recibieron 250 requerimientos relacionados con soporte a la página Web, los cuales corresponden a actualización de contenido y de funcionalidades.
Con corte a 31 de agosto se ha realizado el alistamiento, configuración y actualización de los servidores que soportan los aplicativos de la entidad y portales institucionales con el fin de garantizar que los aplicativos estén disponibles y asegurados para los servicios de la entidad.
En el mes de agosto se realizaron las siguientes actividades con el fin de garantizar la correcta operación de los servicios, sistemas de información de la entidad:
 Se realizaron 10  publicaciones en Intranet total 39
Se encuentra en seguimiento de pruebas chat bot para whatsapp de manzanas de cuidado
Se realizó actualización de certificados de SSL en las aplicaciones de la entidad.
Se realizo despliegue de pruebas de Simisional 2
Se realizo actualización del servidor de manzanas de cuidado.</t>
  </si>
  <si>
    <t xml:space="preserve"> 
Se dio incio al contrato de adobe 995 de 2023
En el mes de agosto se realiza seguimiento a la atención y  gestión de los requerimientos y/o incidentes solicitados por mesa de ayuda </t>
  </si>
  <si>
    <t>Se ha finalizado el primer ejercicio de arquitectura empresarial, se viene trabajando en la implementación del MSPI y se tienen contratados a una persona encargada de construir el PETI, a un oficial de seguridad de la información y a un arquitecto empresarial.</t>
  </si>
  <si>
    <r>
      <rPr>
        <b/>
        <sz val="11"/>
        <rFont val="Times New Roman"/>
        <family val="1"/>
      </rPr>
      <t>Algunos de los principales  beneficios que se han logrado con corte a 31 de agosto son:</t>
    </r>
    <r>
      <rPr>
        <sz val="11"/>
        <rFont val="Times New Roman"/>
        <family val="1"/>
      </rPr>
      <t xml:space="preserve">
Se realiza revisión y monitoreo permanente a la infraestructura tecnológica con el fin de garantizar el correcto funcionamiento de los servicios de la entidad.
Se realiza mantenimiento y actualización permanente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r>
  </si>
  <si>
    <t>1. En el mes de agosto se realizó apoyo en el análisis y revisión jurídica de la contratación de la entidad con la suscripción de 6 contratos por modalidad de contratación directa, 1 contrato por madalidad de selección  "selección abrevidas -acuerdo marco de precios", y 1  contrato de  selección de Minima cuantía.  Por otra parte, con corte a agosto, se realizó apoyo en el análisis y revisión jurídica de 921 contratos suscritos de prestación de servicios profesionales y apoyo a la gestión
2. En el mes de agosto se realizó la elaboración y publicación de los informes de seguimiento a la gestión de PQRS y atención a la ciudadanía, correspondientes al mes de julio ,y con corte al mes de agosto los informes del mes de diciembre, trimestral (cuarto trimestre del año 2022) y, enero, febrero, marzo, abril, mayo, junio  y trimestral (primer y segundo trimestre 2023).  
3. En el mes de agosto y en lo recorrido del año 2023, se ha realizado el seguimiento semanal a las dependencias de la entidad de la gestión de peticiones ciudadanas, dentro de los términos estipulados por la ley en el Sistema Distrital para la Gestión de Peticiones Ciudadanas – Bogotá te escucha. . 
4. En el mes de agosto  y en lo recorrido del año 2023 se ha realizado seguimiento a los planes de mejoramiento internos y externos en el Sistema Integrado de Gestión- aplicativo Lucha, de las direcciones y/o equipos que hacen parte de la Corporativa  Así mismo, se realizó el seguimiento al PAAC 1 ro y 2do cuatrimestre 2023. 
5. En el mes de agosto  y en lo recorrido del año se ha dado respuesta a requerimientos de la Contraloría de Bogotá, Contraloría Gneral de la República y a la Personería de Bogotá. 
6. En julio y en lo recorrido del año se realizó seguimiento a la ejecución presupuestal de 11 proyectos de inversión, evidenciando una ejecución total de inversión del  94.03% y  giros del 42.41%. y funcionamiento 63.36% y giros de 57.35%.</t>
  </si>
  <si>
    <t xml:space="preserve">La Dirección de Contratación, en el mes de agosto en el marco del proyecto de inversión 7662 recibió  2 solicitudes de contratación, para un total  a corte  del mes de agosto  de  144 solicitudes de contracción.
Por otro lado, recibió un total de 6 solicitudes  de contratación por  otros proyectos de invesión , para un total  a corte  del mes de julio  de  826 solicitudes de contracción.
De acuerdo a lo anterior,  entre el mes de enero a agosto  la Dirección de Contratación  recibió un total de 970 solicitudes, las cuales fueron tramitadas y a su vez se suscribieron los respectivos contratos. 
Así mismo, en el mes de agosto se realizó 65 modificaciones entre las cuales se encuentran, Adiciones, Adiciones y Prórroga, Prórroga, Terminaciones Anticipadas, Otro Sí Modificatorios, Cesiones,  liquidaciones, Aclaratorios entre otros, para un total de 247 modificaciones aproximadamente. </t>
  </si>
  <si>
    <t>En el mes de agosto se conmemoró  el día del conductor, animales de compañía, autocuidado, teatro, profesiones y pausa mental. Capacitación en mesa de ayuda, PPMYEG, reglas y liquidación contractual y regulación contable. Afiliaciones a ARL, COPASST, inspección puestos de trabajo, EPP, exámenes de egreso, capacitaciones, brigada de emergencia e indicadores. Se realizaron los trámites correspondientes a evaluación y seguimiento primer semestre EDL y AG y se gestionaron situaciones administrativas de nombramiento provisional, renuncia, vacaciones, liquidaciones, horas extra, nombramientos en período de prueba, encargos y permiso académico compensado.
Enero a agosto de 2023, DTH formuló el PETH y 5 planes anexos aprobados por MIPG. Autocuidado, caminata, día salud de las mujeres, pausas mentales, ferias de servicios, profesiones, PAP, película ALI, 8M, teatro, bolos, animales de compañía, incentivos y mindfulness; curso gobernanza, atención mujeres en sus diferencias y diversidades, inducción, Big Data, SQL, Power BI, políticas públicas, nuevos IP, gestión, liquidación e incumplimiento contractual, PPMYEG, LUCHA, SIMISIONAL, Mesa de Ayuda, regulación contable, lenguaje incluyente, prevención violencias contra las mujeres y sistema de cuidado, Circular 012 de 2023 y decreto 332; condiciones de salud, afiliaciones ARL, autoevaluación SG-SST, exámenes médicos, elección y sesiones del COPASST y CCL, prevención psicosocial, inspección puestos de trabajo, investigación accidentes, entrega EPP, botiquines, semana de la salud y capacitación brigada. Por otra parte, provisión de empleos, teletrabajo, horario flexible, primas técnicas, vinculaciones pasantes, pago ARL, licencias, vacaciones, horas extra, compensatorios, liquidaciones, renuncias, permisos de estudio y encargos. Acciones de EDL, seguimiento a provisionales, AG, concertaciones y gestión a solicitudes.</t>
  </si>
  <si>
    <t>Durante el mes de agosto, se atendieron todas las solicitudes de certificados presupuestales recibidas expidiendo lo que se relaciona a continuación:
- 125 Certificados de Disponibilidad Presupuestal -CDP
- 66 Certificados de Registro Presupuestal - CRP
Entre el período comprendido entre los meses de enero a 31 de agosto de 2023, las expediciones acumuladas, son las siguientes: 
- 1.437  Certificados  de Disponibilidad Presupuestal . CDP
- 1.396  Certificados de Registro Presupuestal - CRP
Lo anterior refleja un avance en la ejecución presupuestal del 87% y de giros de 46% con corte al mes de agosto.
El 18 de agosto del 2023 se publicó en la página Web de la entidad los siguientes estados financieros:   Estado de situación financiera comparativo Julio - Junio 2023, Estado de Resultado Comparativo Julio 2023-2022 y Certificación de los estados financieros Julio 2023</t>
  </si>
  <si>
    <t>Para el mes de agosto de 2023, se recibieron por mesa de ayuda 125 solicitudes, de las cuales 69 de ellas corresponden  a requerimientos de mantenimiento locativo, equivale al 55% , para el área de almacen se registraton 56 solicitudes equivalentes al 45%. 
Del total de los requerimientos se gestionaron el 100% dando una primera respuesta y seguimiento de los casos. Dentro del mes se cerraron 69 mesas de ayudas equivalentes a un 55% teniendo en cuenta las diferentes variables que se presentan para dar pronta solucion a los requerimientos.
Para el mes de agosto de 2023, se elaboró, el Informe de Austeridad en el Gasto del I semestre 2023; El cual se envió al Concejo de Bogotá con RAD No. 1-2023-0013800 DEL 30-08-2023; en cumplimiento a lo establecido en el Articulo 30del Decreto 492 del 2019 de la Alcaldía de Bogotá. Así mismo se envió copia del informe a la Secretaría Distrital de Hacienda.</t>
  </si>
  <si>
    <t>1. Durante el mes de agosto  se adelantó el 3%  del avance presupuestado para este mes para la suscripción de  contratos y modificaciones contractuales. 
Para este mes se suscribieron un total de 6 contratos por modalidad de contratación directa, 1  contrato por madalidad de selección  "selección abrevidas -acuerdo marco de precios", y  1  contrato  selección de Minima cuantía. 
Por lo que se evanzo en un 4% en la contratación y un 100% en modificaciones.</t>
  </si>
  <si>
    <t>1. Con corte al mes de agosto,  se  ha suscrito 921 contratos por prestación de Servicios Profesionales y de Apoyo a la gestión de los 967 programados,  haciendo falta un aproximado de 47 solicitudes de contratación por radicar las áreas en la Dirección de Contratación, Logrando así que la entidad en general cuente con los profesionales requeridos para coayudar al cumplimiento de las metas planes y proyectos institucionales
2.  Por otro lado, durante el mes de enero a agosto se adelantaron la totalidad de los tramites radicados incluyendo los tramites contractuales diferentes a contrataciones nuevas requeridas por las áres, como son:   Adiciones, Adiciones y Prórroga, Prórroga, Terminaciones Anticipadas, Otro Sí Modificatorios, Cesiones,  liquidaciones, Aclaratorios entre otros que surgen durantes y despues de la ejecución de los contratos.. 
Dejandonos con un avance del 96 % de cumplimiento en la contratación de Prestación de Servicios Profesionales y de Apoyo a la gestión y un 100% en otros trámites,</t>
  </si>
  <si>
    <t xml:space="preserve"> Con la suscripcion de  921 contratos de Prestación de Servicios Profesionales y de Apoyo a la Gestión, las areas misionales y de Apoyo pueden cumplir con sus proyectos y  metas presuspuestadas sin ningun contratiempo al contar con el presonal idoneo y requerido para ello.
                                                                                                                                                               Gracias a la suscripción de los  23 contratos nuevos  de arrendamiento y la adición prorroga de uno,   las casas de igualdad y oportunidades, la entidad y la casa de todas, siguen pretando los servicios ofertados  a todas la mujeres que hacen uso de estos,           
Por otro lado, a corte 31  de agosto, la entidad ha suscrito 26 contratos por otras modalidades de selección los cuales son importantes para garantizar el adecuado funcionamiento y la prestacion del  servico  de oferta institucional  </t>
  </si>
  <si>
    <t>Desde la Oficina Asesora Jurídica, en el marco del proyecto de inversión 7662, para la vigencia 2023 se gestionaron los procesos de contratación de 5 profesionales para apoyar las estrategias y procesos jurídicos a cargo de la Entidad, dando inicio a su ejecuciòn a partir del  12, 13, 16 de enero y 22 de febrero, respectivamente, conforme a las actas de inicio. Así, en el mes de AGOSTO se tramitaron 73 respuestas a requerimientos asignados a la OAJ en los términos legales establecidos y de acuerdo con el marco normativo vigente, para un TOTAL con CORTE A 31 de AGOSTO de 389 respuestas emitidas.</t>
  </si>
  <si>
    <t>Con corte al mes de agosto de 2023, se realizó seguuimiento planes Furag de acuerdo con cronograma a temas a presentar comité MIPG, se efectuo el cargue del formulario FURAG, el formulario de Gobierno Abierto y del ITA, se continua con la ejecución de las actividades de PIGA, riesgos y actualizacion de processos. En la sesión del Comité Institucional de Gestión y Desempeño se presentarón temas de seguimiento planes Furag, seguimientos a informes de gestión y respuestas a diferentes entes de control y se presentó al comité para la aprobación de tablas de retención y actualización del plan de seguridad de información.</t>
  </si>
  <si>
    <t>En lo transcurrido a agosto 31 de 2023, se han llevado los temas programados al comite de MIPG que se realiza mensualmente para sus aprobaciones y socializaciones respectivas como planes Furag, cambios en planes institucionales, igualmente se diligenciaron los indices de Gobierno Abierto de Bogota y el ITA, se actualizaron los documentos solicitados por las áreas, se continua con los seguimientos y asesorías en materia de riesgos, se da cumplimiento a las actividades del plan PIGA.</t>
  </si>
  <si>
    <r>
      <t>En el mes de agosto:
</t>
    </r>
    <r>
      <rPr>
        <sz val="11"/>
        <color indexed="8"/>
        <rFont val="Times New Roman"/>
        <family val="1"/>
      </rPr>
      <t xml:space="preserve">Se actualizaron 32 documentos de diferentes procesos de la entidad y se atendieron 37 solicitudes en mesa de ayuda y correo sobre LUCHA. 
Planes de mejoramiento: Se atienden 13 solicitudes de las 13 recibidas, teniendo un avance del 100%. 
Se realizó comité MIPG No 9 presentando resultados de Planes de mejora Furag,planes institucionales e informes de gestión. Se diligencio formulario de Gobierno abierto e ITA, se iniciaron las mesas para levantamiento de autodiagnosticos de MIPG.
Se realizo el acompañamiento a  Gestión administrativa,  Transversalizacion  y  Gestion de Politicas Publicas  en cinco oportunidades donde se oriento sobre la calificacion de Impacto y probabiidad, sa capacito a los nuevos enlaces y se oriento sobre el cargue de las evidencias 
Informes de gestión residuos con potencial aprovechable, de actividades  plan de acción interno para la UAESP, informe de austeridad de servicios agua, energía, telefonía fija y celular, viajes en bici, reencauche de llantas a SDA, información Austeridad, atención requerimiento SDA
</t>
    </r>
    <r>
      <rPr>
        <b/>
        <sz val="11"/>
        <color indexed="8"/>
        <rFont val="Times New Roman"/>
        <family val="1"/>
      </rPr>
      <t xml:space="preserve">Con corte al 31 de Agosto: </t>
    </r>
    <r>
      <rPr>
        <sz val="11"/>
        <color indexed="8"/>
        <rFont val="Times New Roman"/>
        <family val="1"/>
      </rPr>
      <t xml:space="preserve">
Durante lo transcurrido de esta vigencia se han atendido 155 solicitudes de documentos, gestión de usuarios LUCHA y capacitaciones del SIG.
Durante lo transcurrido de esta vigencia se han atendido 69 solicitudes de planes de mejora y se cuenta con 475 acciones abiertas de las cuales el 61% se encuentran con un 100% de ejecución 
Informes de gestión residuos con potencial aprovechable, de actividades  plan de acción interno para la UAESP, informe de austeridad de servicios agua, energía, telefonía fija y celular, viajes en bici, reencauche de llantas a SDA, información Austeridad 
Se realizó acompañamiento a los procesos para revisión del reporte del segundo cuatrimestre de riesgos, ejecución de los controles asociados y  seguimiento de acuerdo al acta estandar;  el avance general es 66% de lo progamado para el 2023</t>
    </r>
  </si>
  <si>
    <t>Con corte a 30 de agosto:
- Se ha realizado la revisión mensual del reporte de seguimiento del plan de acción con el corte al cierre del mes inmediatamente anterior de los proyectos de inversión. 
- Se realizó la revisión de la formulación y actualización del plan de acción de los proyectos de inversión para el 2023.
- Se realizó el correspondiente acompañamiento en el cargue del seguimiento mensual con corte al cierre del mes inmediatamente anterior de los proyectos de inversión en DNP-SPI.
- Se realizó el cargue del seguimiento de los proyectos de inversión con corte al 4 trimestre del 2022, 1 y 2 trimestre del 2023 en la plataforma Segplan y la reformulación del 2023. 
- Se han elaborado respuestas y consolidado insumos para atender derechos de petición, proposiciones y requerimientos de información.
En el mes de agosto:
- Se realizó la revisión del reporte de seguimiento del plan de acción con corte al 31 de julio de 2023.
- Se realizó el correspondiente acompañamiento en el cargue del seguimiento con corte al 31 de julio de 2023 en DNP-SPI y Segplan.
- Se dió respuesta a requerimientos de información.</t>
  </si>
  <si>
    <t>El siguiente es el avance del PAA 2023 en su versión 2 a 31 de agosto del año en curso: AUDITORÍAS: Se llevó a cabo la etapa de ejecución de la auditoría al proceso de Gestión Tecnológica y se inició la etapa de planeación para la auditoría al proceso de Gestión Contractual. INF. REGLAMENTARIOS: Se emitieron y publicaron en pág web los informes de Seguimiento PQRS 1er semestre 2023, Seguimiento Medidas Austeridad del Gasto - 2 Trim 2023 y Seguimiento cumplimiento función disciplinaria. Los seguimientos a ejecución PAAC 2º Cuatrim 2023 y a las Normas de Carrera Administrativa se encuentran en etapa de planeación y solicitud de información. INF. SEGUIMIENTO: Se emitieron y publicaron en pág web el Seguimiento a Planes de Mejora Externos (31.07.23), el seguimiento a Planes de Mejoramiento Internos se encuentra en ejecución y sobre el seguimiento a metas PDD priorizadas se realizó la solicitud de información. Se llevaron a cabo asesorías y acompañamientos como: Participación enlaces MIPG, comites y mesas técnicas institucionales; asi como en la jornada de orientación del Sistema Único de Información de Trámites (DAFP), Lenguaje Claro, Jornada de Prevención del Derecho Disciplinario y capacitación gestión contractual. Se realizó la actualización del acto administrativo sobre funcionamiento CICCI mediante la Resolución 0323 del 10 de agosto de 2023. 
En cuanto a la ejecución acumulada de la presente meta, con corte a 31 de agosto de 2023 se han emitido y publicado un total de cuatro (4) informes de auditoría, cuatro (4) informes de seguimiento y veintitres (23) informes reglamentarios para un total de treinta y un (31) informes  del total de cuarenta y nueve (49) informes programados en el PAA 2023 versión 2, lo que corresponde a un 63% de ejecución.</t>
  </si>
  <si>
    <t>Con corte al 31 de agosto de la vigencia 2023, se realizó transferencia primaria de la Dirección de Territorialización y la Subsecretaria de Fortalecimiento de Capacidades y Oportunidaddes para un total de 10 cajas equivalentes a 2,5 metros lineales de los 55 metros proyectados.     
Del mes de enero al mes de agosto, se tienen un total de 31,5 metros lineales, cumpliendo con la meta propuesta para el reporte al mes.</t>
  </si>
  <si>
    <t>Con corte a 31 de agosto de la vigencia 2023, Adicionalmente se realizó organización documental (clasificación, ordenación, foliación y rótulación) de 41 cajas equivalentes a 10,25  metros lineales de la Dirección de Contratación en Edificio Elemento y Archivo Central, y se realizó intervención archivística (clasificación, ordenación, foliación) de 14 cajas equivalentes a 3,5 metros lineales de la Dirección Administrativa y Financiera, proceso almacén, Financiero y Gestión Documental para un total de 55 cajas equivalentes a 13,75 metros lineales; para un acumulado de 107, 25 metros lineales, de los 150 proyectados.</t>
  </si>
  <si>
    <t xml:space="preserve">Con corte al  31 de agosto de la vigencia 2023, se llevó a cabo el comité MIPG, bajo acta No. 9 donde se realizó aprobación a la actualización de  las TRD de la SDMujer. Por otro lado, se realizaron 7 sensibilizaciones a las dependencias a nivel central de acuerdo al plan de sensibilizaciones vigencia 2023 con la temática Eliminación de Documentos de acuerdo a TRD, Organización Documental y Sistema Funcional ORFEO. Asimismo, se realizaron 3 visitas de seguimiento a nivel central con la finalidad de hacer seguimiento a la organización documental, de acuerdo al cronograma 2023. </t>
  </si>
  <si>
    <t xml:space="preserve">Con corte a 31 de agosto de la vigencia 2023 y como parte de la implementación del Sistema Integrado de Conservación- SIC, se realizó 1 sensibilización a las CIOM (Engativá, Barrios Unidos y  Chapinero). Además, se realizó la visita de seguimiento en aspectos de archivo y conservación a la CIOM Teusaquillo, por otro lado, se realizaron los ajustes solicitados a la ficha técnica del proceso para la contratación del Saneamiento Ambiente. Por otra parte, se revisaron y ajustaron los EP para la adquisición de mobiliario y por último, se envio por correo electrónico a las 20 CIOM, pieza comunicativa con información general respecto a que hacer ante una emergencia documental.   </t>
  </si>
  <si>
    <t>Con corte a 31 de agosto de la vigencia 2023 , se ha iniciado mesas de trabajo frente a temas de firma autográfa, firmas electrónicas certificadas y comunicaciones masivas en el Sistema de Gestión Documental Orfeo y se revisa avance al documento Modelo de Requisitos del Documento Electrónico, dando cumplimiento a las actividades contempladas en el Plan de Preservación Digital a Largo Plazo.</t>
  </si>
  <si>
    <t xml:space="preserve">Con corte al 31 de agosto de la vigencia 2023, se realizó transferencia primaria de la Dirección de Territorialización y la Subsecretaria de Fortalecimiento de Capacidades y Oportunidaddes  para un total de 10 cajas equivalentes a 2, 5 metros lineales de los 55 metros proyectados.
Adicionalmente se realizó organización documental (clasificación, ordenación, foliación y rótulación) de un total de 55 cajas equivalentes a 13,75 metros lineales; para un acumulado de 107, 25 metros lineales, de los 150 proyectados.
Duamte este mes, se aprobaron las TRD de la SDMujer, en el marco del Comité de MIPG del mismo mes.
Se realizaron las capacitaciones y sensibilizaciones de acuerdo a la programación  y se dio inicio a las mesas de trabajo frente a temas de firma autográfa, firmas electrónicas certificadas y comunicaciones masivas en el Sistema de Gestión Documental Orfeo, dando cumplimiento a las actividades contempladas en el Plan de Preservación Digital a Largo Plazo.
</t>
  </si>
  <si>
    <t>En el marco del seguimiento al cumplimiento de la Política de Gestión Documental en la entidad desde el Proceso de Gestión Documental, se da cumplimiento al cronograma de trabajo establecido para la vigencia frente a la gestión de transferencia documental, según cronograma aprobado en sesión No. 1 del Comité Institucional de Gestión y Desempeño.
Para el total de archivos transferidos se gestionó lo correspondiente de parte de la Oficina Asesora de Planeación con 0,25 metros lineales, Oficina Asesora Jurídica con 0,75 metros lineales, Oficina de Control Interno con 1,5 metros lineales, Oficina de Control Disciplinario Interno con 10 metros lineales, Subsecretaria del Cuidado y Políticas de Igualdad con 3 metros lineales, Dirección de Derechos y Diseño de Políticas con 2,25 metros lineales y Casa de Todas con 8 metros lineales, Dirección de Gestión del Conocimiento con 0,5 metros lineales, Dirección de Enfoque Diferencial, Dirección de Talento Humano con 1,25 metros lineales, Dirección de Territorialización con 1,25 metros lineales y la Subsecretaria de Fortalecimiento de Capacidades y Oportunidaddes con 1,25 metros lineales para un total de 126 cajas equivalentes a 31,5 metros lineales de los 55 metros proyectados.</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</si>
</sst>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quot;$&quot;\ #,##0.00"/>
    <numFmt numFmtId="209" formatCode="_-* #,##0_-;\-* #,##0_-;_-* &quot;-&quot;??_-;_-@_-"/>
    <numFmt numFmtId="210" formatCode="0.00000000"/>
    <numFmt numFmtId="211" formatCode="0.0000000"/>
    <numFmt numFmtId="212" formatCode="0.000000"/>
    <numFmt numFmtId="213" formatCode="0.00000"/>
    <numFmt numFmtId="214" formatCode="0.0000"/>
    <numFmt numFmtId="215" formatCode="0.000"/>
    <numFmt numFmtId="216" formatCode="0.0"/>
  </numFmts>
  <fonts count="106">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2"/>
      <name val="Times New Roman"/>
      <family val="1"/>
    </font>
    <font>
      <b/>
      <sz val="10"/>
      <name val="Calibri"/>
      <family val="2"/>
    </font>
    <font>
      <sz val="10"/>
      <name val="Calibri"/>
      <family val="2"/>
    </font>
    <font>
      <b/>
      <sz val="10.5"/>
      <name val="Times New Roman"/>
      <family val="1"/>
    </font>
    <font>
      <b/>
      <sz val="9"/>
      <name val="Tahoma"/>
      <family val="2"/>
    </font>
    <font>
      <sz val="9"/>
      <name val="Tahoma"/>
      <family val="2"/>
    </font>
    <font>
      <b/>
      <sz val="14"/>
      <name val="Tahoma"/>
      <family val="2"/>
    </font>
    <font>
      <sz val="14"/>
      <name val="Tahoma"/>
      <family val="2"/>
    </font>
    <font>
      <sz val="11"/>
      <name val="Calibri"/>
      <family val="2"/>
    </font>
    <font>
      <b/>
      <sz val="11"/>
      <name val="Calibri"/>
      <family val="2"/>
    </font>
    <font>
      <sz val="10"/>
      <color indexed="8"/>
      <name val="Calibri"/>
      <family val="0"/>
    </font>
    <font>
      <b/>
      <sz val="10"/>
      <color indexed="8"/>
      <name val="Calibri"/>
      <family val="0"/>
    </font>
    <font>
      <b/>
      <sz val="11"/>
      <color indexed="8"/>
      <name val="Calibri"/>
      <family val="2"/>
    </font>
    <font>
      <i/>
      <sz val="11"/>
      <color indexed="8"/>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sz val="11"/>
      <color indexed="10"/>
      <name val="Times New Roman"/>
      <family val="1"/>
    </font>
    <font>
      <b/>
      <sz val="11"/>
      <color indexed="55"/>
      <name val="Calibri"/>
      <family val="2"/>
    </font>
    <font>
      <sz val="11"/>
      <color indexed="63"/>
      <name val="Times New Roman"/>
      <family val="1"/>
    </font>
    <font>
      <sz val="10"/>
      <color indexed="8"/>
      <name val="Times New Roman"/>
      <family val="1"/>
    </font>
    <font>
      <b/>
      <sz val="8"/>
      <color indexed="49"/>
      <name val="Verdana"/>
      <family val="2"/>
    </font>
    <font>
      <sz val="12"/>
      <color indexed="8"/>
      <name val="Times New Roman"/>
      <family val="1"/>
    </font>
    <font>
      <b/>
      <sz val="18"/>
      <color indexed="55"/>
      <name val="Calibri"/>
      <family val="2"/>
    </font>
    <font>
      <b/>
      <sz val="12"/>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sz val="11"/>
      <color rgb="FF242424"/>
      <name val="Times New Roman"/>
      <family val="1"/>
    </font>
    <font>
      <sz val="10"/>
      <color theme="1"/>
      <name val="Times New Roman"/>
      <family val="1"/>
    </font>
    <font>
      <b/>
      <sz val="8"/>
      <color rgb="FF4189AB"/>
      <name val="Verdana"/>
      <family val="2"/>
    </font>
    <font>
      <sz val="11"/>
      <color rgb="FF000000"/>
      <name val="Calibri"/>
      <family val="2"/>
    </font>
    <font>
      <sz val="12"/>
      <color theme="1"/>
      <name val="Times New Roman"/>
      <family val="1"/>
    </font>
    <font>
      <sz val="10"/>
      <color rgb="FF000000"/>
      <name val="Calibri"/>
      <family val="2"/>
    </font>
    <font>
      <b/>
      <sz val="12"/>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FFFFFF"/>
        <bgColor indexed="64"/>
      </patternFill>
    </fill>
  </fills>
  <borders count="9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color indexed="63"/>
      </left>
      <right>
        <color indexed="63"/>
      </right>
      <top style="thin"/>
      <bottom style="thin"/>
    </border>
    <border>
      <left>
        <color indexed="63"/>
      </left>
      <right style="thin"/>
      <top>
        <color indexed="63"/>
      </top>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
      <left style="medium"/>
      <right style="thin"/>
      <top style="medium"/>
      <bottom>
        <color indexed="63"/>
      </bottom>
    </border>
    <border>
      <left/>
      <right style="thin">
        <color rgb="FF000000"/>
      </right>
      <top style="thin"/>
      <bottom/>
    </border>
    <border>
      <left style="thin"/>
      <right/>
      <top/>
      <bottom style="medium">
        <color rgb="FF000000"/>
      </bottom>
    </border>
    <border>
      <left/>
      <right/>
      <top/>
      <bottom style="medium">
        <color rgb="FF000000"/>
      </bottom>
    </border>
    <border>
      <left/>
      <right style="thin">
        <color rgb="FF000000"/>
      </right>
      <top/>
      <bottom style="medium">
        <color rgb="FF000000"/>
      </bottom>
    </border>
    <border>
      <left style="thin">
        <color rgb="FF000000"/>
      </left>
      <right>
        <color indexed="63"/>
      </right>
      <top style="thin"/>
      <bottom>
        <color indexed="63"/>
      </bottom>
    </border>
    <border>
      <left style="thin">
        <color rgb="FF000000"/>
      </left>
      <right>
        <color indexed="63"/>
      </right>
      <top>
        <color indexed="63"/>
      </top>
      <bottom style="mediu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49" fontId="66"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67" fillId="21" borderId="0" applyNumberFormat="0" applyBorder="0" applyAlignment="0" applyProtection="0"/>
    <xf numFmtId="0" fontId="68" fillId="22" borderId="4" applyNumberFormat="0" applyAlignment="0" applyProtection="0"/>
    <xf numFmtId="0" fontId="69" fillId="23" borderId="5" applyNumberFormat="0" applyAlignment="0" applyProtection="0"/>
    <xf numFmtId="0" fontId="70" fillId="0" borderId="6" applyNumberFormat="0" applyFill="0" applyAlignment="0" applyProtection="0"/>
    <xf numFmtId="0" fontId="71" fillId="0" borderId="7" applyNumberFormat="0" applyFill="0" applyAlignment="0" applyProtection="0"/>
    <xf numFmtId="0" fontId="72" fillId="24" borderId="0" applyNumberFormat="0" applyProtection="0">
      <alignment horizontal="left" wrapText="1" indent="4"/>
    </xf>
    <xf numFmtId="0" fontId="73" fillId="24" borderId="0" applyNumberFormat="0" applyProtection="0">
      <alignment horizontal="left" wrapText="1" indent="4"/>
    </xf>
    <xf numFmtId="0" fontId="74" fillId="0" borderId="0" applyNumberFormat="0" applyFill="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9" fillId="30" borderId="0" applyNumberFormat="0" applyBorder="0" applyAlignment="0" applyProtection="0"/>
    <xf numFmtId="0" fontId="75" fillId="31" borderId="4" applyNumberFormat="0" applyAlignment="0" applyProtection="0"/>
    <xf numFmtId="16" fontId="27" fillId="0" borderId="0" applyFont="0" applyFill="0" applyBorder="0" applyAlignment="0">
      <protection/>
    </xf>
    <xf numFmtId="0" fontId="76" fillId="32" borderId="0" applyNumberFormat="0" applyBorder="0" applyProtection="0">
      <alignment horizontal="center" vertical="center"/>
    </xf>
    <xf numFmtId="0" fontId="77" fillId="0" borderId="0" applyNumberFormat="0" applyFill="0" applyBorder="0" applyAlignment="0" applyProtection="0"/>
    <xf numFmtId="0" fontId="78" fillId="0" borderId="0" applyNumberFormat="0" applyFill="0" applyBorder="0" applyAlignment="0" applyProtection="0"/>
    <xf numFmtId="0" fontId="79"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69" fontId="1" fillId="0" borderId="0" applyFont="0" applyFill="0" applyBorder="0" applyAlignment="0" applyProtection="0"/>
    <xf numFmtId="170" fontId="0" fillId="0" borderId="0" applyFont="0" applyFill="0" applyBorder="0" applyAlignment="0" applyProtection="0"/>
    <xf numFmtId="0" fontId="80" fillId="34" borderId="0" applyNumberFormat="0" applyBorder="0" applyAlignment="0" applyProtection="0"/>
    <xf numFmtId="0" fontId="81"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82" fillId="22" borderId="9" applyNumberFormat="0" applyAlignment="0" applyProtection="0"/>
    <xf numFmtId="0" fontId="83" fillId="0" borderId="0" applyNumberFormat="0" applyFill="0" applyBorder="0" applyAlignment="0" applyProtection="0"/>
    <xf numFmtId="0" fontId="73" fillId="0" borderId="0" applyFill="0" applyBorder="0">
      <alignment wrapText="1"/>
      <protection/>
    </xf>
    <xf numFmtId="0" fontId="65" fillId="0" borderId="0">
      <alignment/>
      <protection/>
    </xf>
    <xf numFmtId="0" fontId="84" fillId="0" borderId="0" applyNumberFormat="0" applyFill="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74" fillId="0" borderId="11" applyNumberFormat="0" applyFill="0" applyAlignment="0" applyProtection="0"/>
    <xf numFmtId="0" fontId="87" fillId="24" borderId="0" applyNumberFormat="0" applyBorder="0" applyProtection="0">
      <alignment horizontal="left" indent="1"/>
    </xf>
    <xf numFmtId="0" fontId="88" fillId="0" borderId="12" applyNumberFormat="0" applyFill="0" applyAlignment="0" applyProtection="0"/>
  </cellStyleXfs>
  <cellXfs count="1176">
    <xf numFmtId="0" fontId="0" fillId="0" borderId="0" xfId="0" applyFont="1" applyAlignment="1">
      <alignment/>
    </xf>
    <xf numFmtId="9" fontId="4" fillId="11" borderId="13" xfId="79" applyFont="1" applyFill="1" applyBorder="1" applyAlignment="1" applyProtection="1">
      <alignment horizontal="center" vertical="center" wrapText="1"/>
      <protection locked="0"/>
    </xf>
    <xf numFmtId="9" fontId="3" fillId="0" borderId="14" xfId="72"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3"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9" applyFont="1" applyFill="1" applyBorder="1" applyAlignment="1" applyProtection="1">
      <alignment horizontal="center" vertical="center" wrapText="1"/>
      <protection locked="0"/>
    </xf>
    <xf numFmtId="9" fontId="3" fillId="8" borderId="14" xfId="72"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9" applyFont="1" applyFill="1" applyBorder="1" applyAlignment="1" applyProtection="1">
      <alignment horizontal="center" vertical="center" wrapText="1"/>
      <protection locked="0"/>
    </xf>
    <xf numFmtId="9" fontId="3" fillId="13" borderId="14" xfId="72"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9" applyFont="1" applyFill="1" applyBorder="1" applyAlignment="1" applyProtection="1">
      <alignment horizontal="center" vertical="center" wrapText="1"/>
      <protection locked="0"/>
    </xf>
    <xf numFmtId="9" fontId="3" fillId="8" borderId="21" xfId="72" applyNumberFormat="1" applyFont="1" applyFill="1" applyBorder="1" applyAlignment="1" applyProtection="1">
      <alignment horizontal="center" vertical="center" wrapText="1"/>
      <protection/>
    </xf>
    <xf numFmtId="9" fontId="3" fillId="13" borderId="20" xfId="72"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8" fillId="0" borderId="0" xfId="79"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2" applyFont="1" applyFill="1" applyBorder="1" applyAlignment="1" applyProtection="1">
      <alignment vertical="center" wrapText="1"/>
      <protection/>
    </xf>
    <xf numFmtId="0" fontId="11" fillId="38" borderId="24" xfId="72" applyFont="1" applyFill="1" applyBorder="1" applyAlignment="1" applyProtection="1">
      <alignment vertical="center" wrapText="1"/>
      <protection/>
    </xf>
    <xf numFmtId="0" fontId="11" fillId="38" borderId="25" xfId="72" applyFont="1" applyFill="1" applyBorder="1" applyAlignment="1" applyProtection="1">
      <alignment vertical="center" wrapText="1"/>
      <protection/>
    </xf>
    <xf numFmtId="0" fontId="11" fillId="38" borderId="0" xfId="72" applyFont="1" applyFill="1" applyBorder="1" applyAlignment="1" applyProtection="1">
      <alignment vertical="center" wrapText="1"/>
      <protection/>
    </xf>
    <xf numFmtId="0" fontId="13" fillId="38" borderId="0" xfId="72" applyFont="1" applyFill="1" applyBorder="1" applyAlignment="1" applyProtection="1">
      <alignment vertical="center" wrapText="1"/>
      <protection/>
    </xf>
    <xf numFmtId="0" fontId="11" fillId="38" borderId="26" xfId="72" applyFont="1" applyFill="1" applyBorder="1" applyAlignment="1" applyProtection="1">
      <alignment vertical="center" wrapText="1"/>
      <protection/>
    </xf>
    <xf numFmtId="0" fontId="10" fillId="38" borderId="26" xfId="72" applyFont="1" applyFill="1" applyBorder="1" applyAlignment="1" applyProtection="1">
      <alignment vertical="center" wrapText="1"/>
      <protection/>
    </xf>
    <xf numFmtId="0" fontId="10" fillId="38" borderId="27" xfId="72" applyFont="1" applyFill="1" applyBorder="1" applyAlignment="1" applyProtection="1">
      <alignment vertical="center" wrapText="1"/>
      <protection/>
    </xf>
    <xf numFmtId="0" fontId="11" fillId="38" borderId="28" xfId="72" applyFont="1" applyFill="1" applyBorder="1" applyAlignment="1" applyProtection="1">
      <alignment vertical="center" wrapText="1"/>
      <protection/>
    </xf>
    <xf numFmtId="0" fontId="10" fillId="38" borderId="0" xfId="72" applyFont="1" applyFill="1" applyBorder="1" applyAlignment="1" applyProtection="1">
      <alignment vertical="center" wrapText="1"/>
      <protection/>
    </xf>
    <xf numFmtId="0" fontId="10" fillId="38" borderId="29" xfId="72"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38" borderId="28" xfId="72" applyFont="1" applyFill="1" applyBorder="1" applyAlignment="1">
      <alignment horizontal="center" vertical="center" wrapText="1"/>
      <protection/>
    </xf>
    <xf numFmtId="0" fontId="11" fillId="38" borderId="33" xfId="72" applyFont="1" applyFill="1" applyBorder="1" applyAlignment="1">
      <alignment horizontal="center" vertical="center" wrapText="1"/>
      <protection/>
    </xf>
    <xf numFmtId="0" fontId="14" fillId="38" borderId="0" xfId="72" applyFont="1" applyFill="1" applyBorder="1" applyAlignment="1">
      <alignment horizontal="center" vertical="center" wrapText="1"/>
      <protection/>
    </xf>
    <xf numFmtId="0" fontId="11" fillId="38" borderId="0" xfId="72" applyFont="1" applyFill="1" applyBorder="1" applyAlignment="1">
      <alignment horizontal="center" vertical="center" wrapText="1"/>
      <protection/>
    </xf>
    <xf numFmtId="0" fontId="14" fillId="0" borderId="0" xfId="72"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2" applyFont="1" applyFill="1" applyBorder="1" applyAlignment="1" applyProtection="1">
      <alignment vertical="center" wrapText="1"/>
      <protection/>
    </xf>
    <xf numFmtId="0" fontId="10" fillId="38" borderId="35" xfId="72" applyFont="1" applyFill="1" applyBorder="1" applyAlignment="1" applyProtection="1">
      <alignment vertical="center" wrapText="1"/>
      <protection/>
    </xf>
    <xf numFmtId="9" fontId="11" fillId="0" borderId="36" xfId="79" applyFont="1" applyFill="1" applyBorder="1" applyAlignment="1" applyProtection="1">
      <alignment horizontal="center" vertical="center" wrapText="1"/>
      <protection/>
    </xf>
    <xf numFmtId="0" fontId="15" fillId="39" borderId="0" xfId="72" applyFont="1" applyFill="1" applyBorder="1" applyAlignment="1" applyProtection="1">
      <alignment vertical="center" wrapText="1"/>
      <protection/>
    </xf>
    <xf numFmtId="0" fontId="89" fillId="38" borderId="28" xfId="0" applyFont="1" applyFill="1" applyBorder="1" applyAlignment="1">
      <alignment vertical="center"/>
    </xf>
    <xf numFmtId="0" fontId="89" fillId="38" borderId="0" xfId="0" applyFont="1" applyFill="1" applyBorder="1" applyAlignment="1">
      <alignment vertical="center"/>
    </xf>
    <xf numFmtId="0" fontId="89" fillId="38" borderId="29" xfId="0" applyFont="1" applyFill="1" applyBorder="1" applyAlignment="1">
      <alignment vertical="center"/>
    </xf>
    <xf numFmtId="0" fontId="11" fillId="38" borderId="0" xfId="72" applyFont="1" applyFill="1" applyBorder="1" applyAlignment="1" applyProtection="1">
      <alignment horizontal="left" vertical="center" wrapText="1"/>
      <protection/>
    </xf>
    <xf numFmtId="0" fontId="11" fillId="38" borderId="0" xfId="72"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2"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2" applyFont="1" applyFill="1" applyBorder="1" applyAlignment="1" applyProtection="1">
      <alignment horizontal="left" vertical="center" wrapText="1"/>
      <protection/>
    </xf>
    <xf numFmtId="175" fontId="11" fillId="0" borderId="22" xfId="59" applyFont="1" applyFill="1" applyBorder="1" applyAlignment="1" applyProtection="1">
      <alignment horizontal="center" vertical="center" wrapText="1"/>
      <protection/>
    </xf>
    <xf numFmtId="174" fontId="0" fillId="0" borderId="0" xfId="64" applyFont="1" applyAlignment="1">
      <alignment vertical="center"/>
    </xf>
    <xf numFmtId="0" fontId="11" fillId="5" borderId="1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16" xfId="72" applyFont="1" applyFill="1" applyBorder="1" applyAlignment="1" applyProtection="1">
      <alignment horizontal="left" vertical="center" wrapText="1"/>
      <protection/>
    </xf>
    <xf numFmtId="0" fontId="11" fillId="11" borderId="38" xfId="72" applyFont="1" applyFill="1" applyBorder="1" applyAlignment="1" applyProtection="1">
      <alignment horizontal="left" vertical="center" wrapText="1"/>
      <protection/>
    </xf>
    <xf numFmtId="9" fontId="90" fillId="11" borderId="38" xfId="81" applyFont="1" applyFill="1" applyBorder="1" applyAlignment="1" applyProtection="1">
      <alignment vertical="center" wrapText="1"/>
      <protection/>
    </xf>
    <xf numFmtId="190" fontId="11" fillId="11" borderId="38" xfId="79" applyNumberFormat="1" applyFont="1" applyFill="1" applyBorder="1" applyAlignment="1" applyProtection="1">
      <alignment vertical="center" wrapText="1"/>
      <protection/>
    </xf>
    <xf numFmtId="0" fontId="0" fillId="0" borderId="0" xfId="0" applyFont="1" applyFill="1" applyAlignment="1">
      <alignment vertical="center"/>
    </xf>
    <xf numFmtId="174" fontId="88" fillId="0" borderId="0" xfId="64" applyFont="1" applyAlignment="1">
      <alignment vertical="center"/>
    </xf>
    <xf numFmtId="9" fontId="10" fillId="0" borderId="16" xfId="80" applyFont="1" applyFill="1" applyBorder="1" applyAlignment="1" applyProtection="1">
      <alignment horizontal="center" vertical="center" wrapText="1"/>
      <protection locked="0"/>
    </xf>
    <xf numFmtId="9" fontId="11" fillId="0" borderId="39" xfId="72" applyNumberFormat="1" applyFont="1" applyFill="1" applyBorder="1" applyAlignment="1" applyProtection="1">
      <alignment horizontal="center" vertical="center" wrapText="1"/>
      <protection/>
    </xf>
    <xf numFmtId="9" fontId="11" fillId="0" borderId="0" xfId="72" applyNumberFormat="1" applyFont="1" applyFill="1" applyBorder="1" applyAlignment="1" applyProtection="1">
      <alignment vertical="center" wrapText="1"/>
      <protection/>
    </xf>
    <xf numFmtId="0" fontId="88" fillId="0" borderId="0" xfId="0" applyFont="1" applyAlignment="1">
      <alignment vertical="center"/>
    </xf>
    <xf numFmtId="0" fontId="11" fillId="11" borderId="13" xfId="72" applyFont="1" applyFill="1" applyBorder="1" applyAlignment="1" applyProtection="1">
      <alignment horizontal="left" vertical="center" wrapText="1"/>
      <protection/>
    </xf>
    <xf numFmtId="9" fontId="10" fillId="11" borderId="13" xfId="79" applyFont="1" applyFill="1" applyBorder="1" applyAlignment="1" applyProtection="1">
      <alignment horizontal="center" vertical="center" wrapText="1"/>
      <protection locked="0"/>
    </xf>
    <xf numFmtId="9" fontId="11" fillId="0" borderId="14" xfId="72" applyNumberFormat="1" applyFont="1" applyFill="1" applyBorder="1" applyAlignment="1" applyProtection="1">
      <alignment horizontal="center" vertical="center" wrapText="1"/>
      <protection/>
    </xf>
    <xf numFmtId="0" fontId="11" fillId="0" borderId="13" xfId="72" applyFont="1" applyFill="1" applyBorder="1" applyAlignment="1" applyProtection="1">
      <alignment horizontal="left" vertical="center" wrapText="1"/>
      <protection/>
    </xf>
    <xf numFmtId="9" fontId="10" fillId="0" borderId="13" xfId="80" applyFont="1" applyFill="1" applyBorder="1" applyAlignment="1" applyProtection="1">
      <alignment horizontal="center" vertical="center" wrapText="1"/>
      <protection locked="0"/>
    </xf>
    <xf numFmtId="9" fontId="10" fillId="11" borderId="14" xfId="79" applyFont="1" applyFill="1" applyBorder="1" applyAlignment="1" applyProtection="1">
      <alignment horizontal="center" vertical="center" wrapText="1"/>
      <protection locked="0"/>
    </xf>
    <xf numFmtId="9" fontId="10" fillId="11" borderId="13" xfId="79" applyNumberFormat="1" applyFont="1" applyFill="1" applyBorder="1" applyAlignment="1" applyProtection="1">
      <alignment horizontal="center" vertical="center" wrapText="1"/>
      <protection locked="0"/>
    </xf>
    <xf numFmtId="9" fontId="10" fillId="11" borderId="38" xfId="79" applyFont="1" applyFill="1" applyBorder="1" applyAlignment="1" applyProtection="1">
      <alignment horizontal="center" vertical="center" wrapText="1"/>
      <protection locked="0"/>
    </xf>
    <xf numFmtId="9" fontId="10" fillId="11" borderId="40" xfId="79" applyFont="1" applyFill="1" applyBorder="1" applyAlignment="1" applyProtection="1">
      <alignment horizontal="center" vertical="center" wrapText="1"/>
      <protection locked="0"/>
    </xf>
    <xf numFmtId="9" fontId="11" fillId="0" borderId="40" xfId="72" applyNumberFormat="1" applyFont="1" applyFill="1" applyBorder="1" applyAlignment="1" applyProtection="1">
      <alignment horizontal="center" vertical="center" wrapText="1"/>
      <protection/>
    </xf>
    <xf numFmtId="0" fontId="89" fillId="0" borderId="0" xfId="0" applyFont="1" applyAlignment="1">
      <alignment vertical="center"/>
    </xf>
    <xf numFmtId="0" fontId="91" fillId="11" borderId="41" xfId="0" applyFont="1" applyFill="1" applyBorder="1" applyAlignment="1">
      <alignment vertical="center"/>
    </xf>
    <xf numFmtId="0" fontId="91" fillId="11" borderId="42" xfId="0" applyFont="1" applyFill="1" applyBorder="1" applyAlignment="1">
      <alignment vertical="center"/>
    </xf>
    <xf numFmtId="0" fontId="91" fillId="11" borderId="0" xfId="0" applyFont="1" applyFill="1" applyBorder="1" applyAlignment="1">
      <alignment vertical="center"/>
    </xf>
    <xf numFmtId="0" fontId="91" fillId="11" borderId="43" xfId="0" applyFont="1" applyFill="1" applyBorder="1" applyAlignment="1">
      <alignment vertical="center"/>
    </xf>
    <xf numFmtId="0" fontId="91" fillId="11" borderId="15" xfId="0" applyFont="1" applyFill="1" applyBorder="1" applyAlignment="1">
      <alignment vertical="center"/>
    </xf>
    <xf numFmtId="0" fontId="91" fillId="11" borderId="44" xfId="0" applyFont="1" applyFill="1" applyBorder="1" applyAlignment="1">
      <alignment vertical="center"/>
    </xf>
    <xf numFmtId="0" fontId="91" fillId="11" borderId="13" xfId="0" applyFont="1" applyFill="1" applyBorder="1" applyAlignment="1">
      <alignment horizontal="center" vertical="center" wrapText="1"/>
    </xf>
    <xf numFmtId="0" fontId="89" fillId="0" borderId="13" xfId="0" applyFont="1" applyBorder="1" applyAlignment="1">
      <alignment horizontal="center" vertical="center"/>
    </xf>
    <xf numFmtId="0" fontId="89" fillId="0" borderId="13" xfId="0" applyFont="1" applyBorder="1" applyAlignment="1">
      <alignment horizontal="center" vertical="center" wrapText="1"/>
    </xf>
    <xf numFmtId="175" fontId="89" fillId="0" borderId="13" xfId="59" applyFont="1" applyBorder="1" applyAlignment="1">
      <alignment horizontal="center" vertical="center" wrapText="1"/>
    </xf>
    <xf numFmtId="0" fontId="89" fillId="0" borderId="13" xfId="0" applyFont="1" applyBorder="1" applyAlignment="1">
      <alignment vertical="center"/>
    </xf>
    <xf numFmtId="0" fontId="89" fillId="0" borderId="13" xfId="79" applyNumberFormat="1" applyFont="1" applyBorder="1" applyAlignment="1">
      <alignment vertical="center"/>
    </xf>
    <xf numFmtId="0" fontId="90" fillId="0" borderId="13" xfId="0" applyFont="1" applyBorder="1" applyAlignment="1">
      <alignment vertical="center" wrapText="1"/>
    </xf>
    <xf numFmtId="9" fontId="89" fillId="0" borderId="13" xfId="79" applyFont="1" applyBorder="1" applyAlignment="1">
      <alignment vertical="center"/>
    </xf>
    <xf numFmtId="0" fontId="89"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92" fillId="11" borderId="13" xfId="0" applyFont="1" applyFill="1" applyBorder="1" applyAlignment="1">
      <alignment horizontal="center" vertical="center"/>
    </xf>
    <xf numFmtId="0" fontId="89" fillId="0" borderId="0" xfId="0" applyFont="1" applyAlignment="1">
      <alignment horizontal="center" vertical="center"/>
    </xf>
    <xf numFmtId="0" fontId="93" fillId="0" borderId="13" xfId="0" applyFont="1" applyBorder="1" applyAlignment="1">
      <alignment vertical="center"/>
    </xf>
    <xf numFmtId="0" fontId="92" fillId="11" borderId="13" xfId="0" applyFont="1" applyFill="1" applyBorder="1" applyAlignment="1">
      <alignment horizontal="left" vertical="center"/>
    </xf>
    <xf numFmtId="0" fontId="89" fillId="0" borderId="13" xfId="0" applyFont="1" applyBorder="1" applyAlignment="1">
      <alignment horizontal="left" vertical="center"/>
    </xf>
    <xf numFmtId="0" fontId="89" fillId="0" borderId="14" xfId="0" applyFont="1" applyFill="1" applyBorder="1" applyAlignment="1">
      <alignment horizontal="left" vertical="center"/>
    </xf>
    <xf numFmtId="0" fontId="89" fillId="0" borderId="13" xfId="0" applyFont="1" applyFill="1" applyBorder="1" applyAlignment="1">
      <alignment horizontal="left" vertical="center"/>
    </xf>
    <xf numFmtId="41" fontId="89" fillId="0" borderId="13" xfId="60" applyFont="1" applyFill="1" applyBorder="1" applyAlignment="1">
      <alignment vertical="center"/>
    </xf>
    <xf numFmtId="0" fontId="93" fillId="0" borderId="0" xfId="0" applyFont="1" applyAlignment="1">
      <alignment vertical="center"/>
    </xf>
    <xf numFmtId="0" fontId="16" fillId="0" borderId="13" xfId="0" applyFont="1" applyBorder="1" applyAlignment="1">
      <alignment horizontal="center" vertical="center" wrapText="1"/>
    </xf>
    <xf numFmtId="0" fontId="91" fillId="0" borderId="0" xfId="0" applyFont="1" applyAlignment="1">
      <alignment horizontal="left" vertical="center"/>
    </xf>
    <xf numFmtId="0" fontId="91" fillId="11" borderId="13" xfId="0" applyFont="1" applyFill="1" applyBorder="1" applyAlignment="1">
      <alignment vertical="center"/>
    </xf>
    <xf numFmtId="41" fontId="89" fillId="0" borderId="14" xfId="60" applyFont="1" applyFill="1" applyBorder="1" applyAlignment="1">
      <alignment vertical="center"/>
    </xf>
    <xf numFmtId="49" fontId="89" fillId="0" borderId="14" xfId="60" applyNumberFormat="1" applyFont="1" applyFill="1" applyBorder="1" applyAlignment="1">
      <alignment vertical="center"/>
    </xf>
    <xf numFmtId="49" fontId="89" fillId="0" borderId="13" xfId="60" applyNumberFormat="1" applyFont="1" applyFill="1" applyBorder="1" applyAlignment="1">
      <alignment vertical="center"/>
    </xf>
    <xf numFmtId="0" fontId="89" fillId="0" borderId="0" xfId="0" applyFont="1" applyAlignment="1">
      <alignment horizontal="left" vertical="center"/>
    </xf>
    <xf numFmtId="0" fontId="89" fillId="0" borderId="0" xfId="0" applyFont="1" applyFill="1" applyAlignment="1">
      <alignment horizontal="left" vertical="center"/>
    </xf>
    <xf numFmtId="0" fontId="91" fillId="17" borderId="13" xfId="0" applyFont="1" applyFill="1" applyBorder="1" applyAlignment="1">
      <alignment horizontal="center" vertical="center"/>
    </xf>
    <xf numFmtId="0" fontId="89" fillId="0" borderId="16" xfId="0" applyFont="1" applyFill="1" applyBorder="1" applyAlignment="1">
      <alignment horizontal="left" vertical="center" wrapText="1"/>
    </xf>
    <xf numFmtId="0" fontId="89" fillId="0" borderId="13" xfId="0" applyFont="1" applyFill="1" applyBorder="1" applyAlignment="1">
      <alignment horizontal="left" vertical="center" wrapText="1"/>
    </xf>
    <xf numFmtId="0" fontId="89" fillId="0" borderId="13" xfId="0" applyFont="1" applyFill="1" applyBorder="1" applyAlignment="1">
      <alignment vertical="center" wrapText="1"/>
    </xf>
    <xf numFmtId="0" fontId="91" fillId="0" borderId="13" xfId="0" applyFont="1" applyFill="1" applyBorder="1" applyAlignment="1">
      <alignment vertical="center" wrapText="1"/>
    </xf>
    <xf numFmtId="0" fontId="89"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91" fillId="0" borderId="22" xfId="0" applyFont="1" applyFill="1" applyBorder="1" applyAlignment="1">
      <alignment horizontal="left" vertical="center" wrapText="1"/>
    </xf>
    <xf numFmtId="0" fontId="89" fillId="0" borderId="22" xfId="0" applyFont="1" applyFill="1" applyBorder="1" applyAlignment="1">
      <alignment horizontal="left" vertical="center"/>
    </xf>
    <xf numFmtId="0" fontId="11" fillId="5" borderId="13" xfId="72"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4"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9" fontId="11" fillId="0" borderId="22" xfId="79" applyFont="1" applyFill="1" applyBorder="1" applyAlignment="1" applyProtection="1">
      <alignment horizontal="center" vertical="center" wrapText="1"/>
      <protection/>
    </xf>
    <xf numFmtId="9" fontId="11" fillId="11" borderId="38" xfId="79" applyFont="1" applyFill="1" applyBorder="1" applyAlignment="1" applyProtection="1">
      <alignment horizontal="center" vertical="center" wrapText="1"/>
      <protection/>
    </xf>
    <xf numFmtId="0" fontId="11" fillId="38" borderId="49" xfId="72" applyFont="1" applyFill="1" applyBorder="1" applyAlignment="1" applyProtection="1">
      <alignment horizontal="center" vertical="center" wrapText="1"/>
      <protection/>
    </xf>
    <xf numFmtId="0" fontId="11" fillId="38" borderId="41" xfId="72" applyFont="1" applyFill="1" applyBorder="1" applyAlignment="1" applyProtection="1">
      <alignment horizontal="center" vertical="center" wrapText="1"/>
      <protection/>
    </xf>
    <xf numFmtId="0" fontId="11" fillId="38" borderId="42" xfId="72" applyFont="1" applyFill="1" applyBorder="1" applyAlignment="1" applyProtection="1">
      <alignment horizontal="center" vertical="center" wrapText="1"/>
      <protection/>
    </xf>
    <xf numFmtId="0" fontId="94" fillId="0" borderId="0" xfId="0" applyFont="1" applyFill="1" applyBorder="1" applyAlignment="1">
      <alignment horizontal="center" vertical="center"/>
    </xf>
    <xf numFmtId="0" fontId="8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2" applyFont="1" applyFill="1" applyBorder="1" applyAlignment="1" applyProtection="1">
      <alignment vertical="center" wrapText="1"/>
      <protection/>
    </xf>
    <xf numFmtId="0" fontId="11" fillId="0" borderId="0" xfId="72" applyFont="1" applyFill="1" applyBorder="1" applyAlignment="1" applyProtection="1">
      <alignment vertical="center" wrapText="1"/>
      <protection/>
    </xf>
    <xf numFmtId="0" fontId="13" fillId="0" borderId="0" xfId="72" applyFont="1" applyFill="1" applyBorder="1" applyAlignment="1" applyProtection="1">
      <alignment vertical="center" wrapText="1"/>
      <protection/>
    </xf>
    <xf numFmtId="0" fontId="10" fillId="0" borderId="0" xfId="72"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2"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9" applyFont="1" applyBorder="1" applyAlignment="1">
      <alignment vertical="center"/>
    </xf>
    <xf numFmtId="9" fontId="0" fillId="0" borderId="21" xfId="79" applyFont="1" applyBorder="1" applyAlignment="1">
      <alignment vertical="center"/>
    </xf>
    <xf numFmtId="9" fontId="0" fillId="0" borderId="52" xfId="79" applyFont="1" applyBorder="1" applyAlignment="1">
      <alignment vertical="center"/>
    </xf>
    <xf numFmtId="9" fontId="0" fillId="0" borderId="53" xfId="79"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4"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9" applyFont="1" applyBorder="1" applyAlignment="1">
      <alignment vertical="center"/>
    </xf>
    <xf numFmtId="177" fontId="11" fillId="0" borderId="22" xfId="58"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5" fillId="0" borderId="13" xfId="79" applyNumberFormat="1" applyFont="1" applyBorder="1" applyAlignment="1">
      <alignment vertical="center"/>
    </xf>
    <xf numFmtId="9" fontId="91" fillId="11" borderId="13" xfId="79" applyFont="1" applyFill="1" applyBorder="1" applyAlignment="1">
      <alignment horizontal="center" vertical="center" wrapText="1"/>
    </xf>
    <xf numFmtId="9" fontId="89" fillId="0" borderId="0" xfId="79" applyFont="1" applyAlignment="1">
      <alignment vertical="center"/>
    </xf>
    <xf numFmtId="0" fontId="91" fillId="17" borderId="13" xfId="0" applyFont="1" applyFill="1" applyBorder="1" applyAlignment="1">
      <alignment horizontal="left" vertical="center"/>
    </xf>
    <xf numFmtId="0" fontId="91" fillId="0" borderId="13" xfId="0" applyFont="1" applyFill="1" applyBorder="1" applyAlignment="1">
      <alignment horizontal="left" vertical="center"/>
    </xf>
    <xf numFmtId="0" fontId="91" fillId="0" borderId="13" xfId="0" applyFont="1" applyFill="1" applyBorder="1" applyAlignment="1">
      <alignment horizontal="left" vertical="center" wrapText="1"/>
    </xf>
    <xf numFmtId="208" fontId="16" fillId="0" borderId="13" xfId="63" applyNumberFormat="1" applyFont="1" applyBorder="1" applyAlignment="1">
      <alignment vertical="center"/>
    </xf>
    <xf numFmtId="208" fontId="12" fillId="40" borderId="13" xfId="63"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2" applyFont="1" applyFill="1" applyBorder="1" applyAlignment="1" applyProtection="1">
      <alignment vertical="center" wrapText="1"/>
      <protection/>
    </xf>
    <xf numFmtId="0" fontId="11" fillId="38" borderId="56" xfId="72" applyFont="1" applyFill="1" applyBorder="1" applyAlignment="1" applyProtection="1">
      <alignment vertical="center" wrapText="1"/>
      <protection/>
    </xf>
    <xf numFmtId="0" fontId="91" fillId="11" borderId="41" xfId="0" applyFont="1" applyFill="1" applyBorder="1" applyAlignment="1">
      <alignment horizontal="center" vertical="center"/>
    </xf>
    <xf numFmtId="0" fontId="91" fillId="11" borderId="15" xfId="0" applyFont="1" applyFill="1" applyBorder="1" applyAlignment="1">
      <alignment horizontal="center" vertical="center"/>
    </xf>
    <xf numFmtId="0" fontId="91" fillId="0" borderId="13" xfId="0" applyFont="1" applyBorder="1" applyAlignment="1">
      <alignment horizontal="center" vertical="center"/>
    </xf>
    <xf numFmtId="0" fontId="11" fillId="11" borderId="22"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91" fillId="11" borderId="0" xfId="0" applyFont="1" applyFill="1" applyAlignment="1">
      <alignment vertical="center"/>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9" fontId="89" fillId="0" borderId="13" xfId="79" applyFont="1" applyFill="1" applyBorder="1" applyAlignment="1">
      <alignment horizontal="center" vertical="center" wrapText="1"/>
    </xf>
    <xf numFmtId="175" fontId="89" fillId="0" borderId="13" xfId="59" applyFont="1" applyFill="1" applyBorder="1" applyAlignment="1">
      <alignment horizontal="center" vertical="center" wrapText="1"/>
    </xf>
    <xf numFmtId="9" fontId="89" fillId="0" borderId="13" xfId="0" applyNumberFormat="1" applyFont="1" applyBorder="1" applyAlignment="1">
      <alignment horizontal="center" vertical="center"/>
    </xf>
    <xf numFmtId="0" fontId="10" fillId="0" borderId="17" xfId="0" applyFont="1" applyBorder="1" applyAlignment="1">
      <alignment horizontal="center" vertical="center" wrapText="1"/>
    </xf>
    <xf numFmtId="175" fontId="89" fillId="0" borderId="13" xfId="59" applyFont="1" applyFill="1" applyBorder="1" applyAlignment="1">
      <alignment horizontal="center" vertical="center"/>
    </xf>
    <xf numFmtId="1" fontId="89" fillId="0" borderId="13" xfId="0" applyNumberFormat="1" applyFont="1" applyBorder="1" applyAlignment="1">
      <alignment horizontal="center" vertical="center"/>
    </xf>
    <xf numFmtId="1" fontId="89" fillId="0" borderId="13" xfId="59" applyNumberFormat="1" applyFont="1" applyFill="1" applyBorder="1" applyAlignment="1">
      <alignment horizontal="center" vertical="center"/>
    </xf>
    <xf numFmtId="0" fontId="89" fillId="0" borderId="13" xfId="79" applyNumberFormat="1" applyFont="1" applyFill="1" applyBorder="1" applyAlignment="1">
      <alignment horizontal="center" vertical="center" wrapText="1"/>
    </xf>
    <xf numFmtId="0" fontId="89" fillId="38" borderId="22" xfId="0" applyFont="1" applyFill="1" applyBorder="1" applyAlignment="1">
      <alignment horizontal="center" vertical="center" wrapText="1"/>
    </xf>
    <xf numFmtId="9" fontId="89" fillId="0" borderId="13" xfId="0" applyNumberFormat="1" applyFont="1" applyBorder="1" applyAlignment="1">
      <alignment horizontal="center" vertical="center" wrapText="1"/>
    </xf>
    <xf numFmtId="9" fontId="89" fillId="0" borderId="13" xfId="79" applyFont="1" applyFill="1" applyBorder="1" applyAlignment="1">
      <alignment horizontal="center" vertical="center"/>
    </xf>
    <xf numFmtId="0" fontId="89" fillId="38" borderId="13" xfId="0" applyFont="1" applyFill="1" applyBorder="1" applyAlignment="1">
      <alignment horizontal="center" vertical="center" wrapText="1"/>
    </xf>
    <xf numFmtId="0" fontId="0" fillId="0" borderId="0" xfId="0" applyAlignment="1">
      <alignment vertical="center"/>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38" borderId="23" xfId="72" applyFont="1" applyFill="1" applyBorder="1" applyAlignment="1">
      <alignment vertical="center" wrapText="1"/>
      <protection/>
    </xf>
    <xf numFmtId="0" fontId="11" fillId="38" borderId="24" xfId="72" applyFont="1" applyFill="1" applyBorder="1" applyAlignment="1">
      <alignment vertical="center" wrapText="1"/>
      <protection/>
    </xf>
    <xf numFmtId="0" fontId="11" fillId="38" borderId="25" xfId="72" applyFont="1" applyFill="1" applyBorder="1" applyAlignment="1">
      <alignment vertical="center" wrapText="1"/>
      <protection/>
    </xf>
    <xf numFmtId="0" fontId="11" fillId="38" borderId="0" xfId="72" applyFont="1" applyFill="1" applyAlignment="1">
      <alignment vertical="center" wrapText="1"/>
      <protection/>
    </xf>
    <xf numFmtId="0" fontId="13" fillId="38" borderId="0" xfId="72" applyFont="1" applyFill="1" applyAlignment="1">
      <alignment vertical="center" wrapText="1"/>
      <protection/>
    </xf>
    <xf numFmtId="0" fontId="11" fillId="38" borderId="26" xfId="72" applyFont="1" applyFill="1" applyBorder="1" applyAlignment="1">
      <alignment vertical="center" wrapText="1"/>
      <protection/>
    </xf>
    <xf numFmtId="0" fontId="10" fillId="38" borderId="26" xfId="72" applyFont="1" applyFill="1" applyBorder="1" applyAlignment="1">
      <alignment vertical="center" wrapText="1"/>
      <protection/>
    </xf>
    <xf numFmtId="0" fontId="10" fillId="38" borderId="27" xfId="72" applyFont="1" applyFill="1" applyBorder="1" applyAlignment="1">
      <alignment vertical="center" wrapText="1"/>
      <protection/>
    </xf>
    <xf numFmtId="0" fontId="11" fillId="38" borderId="28" xfId="72" applyFont="1" applyFill="1" applyBorder="1" applyAlignment="1">
      <alignment vertical="center" wrapText="1"/>
      <protection/>
    </xf>
    <xf numFmtId="0" fontId="10" fillId="38" borderId="0" xfId="72" applyFont="1" applyFill="1" applyAlignment="1">
      <alignment vertical="center" wrapText="1"/>
      <protection/>
    </xf>
    <xf numFmtId="0" fontId="10" fillId="38" borderId="29" xfId="72" applyFont="1" applyFill="1" applyBorder="1" applyAlignment="1">
      <alignment vertical="center" wrapText="1"/>
      <protection/>
    </xf>
    <xf numFmtId="0" fontId="11" fillId="0" borderId="28" xfId="72" applyFont="1" applyBorder="1" applyAlignment="1">
      <alignment vertical="center" wrapText="1"/>
      <protection/>
    </xf>
    <xf numFmtId="0" fontId="11" fillId="0" borderId="0" xfId="72" applyFont="1" applyAlignment="1">
      <alignment vertical="center" wrapText="1"/>
      <protection/>
    </xf>
    <xf numFmtId="0" fontId="94" fillId="0" borderId="0" xfId="0" applyFont="1" applyAlignment="1">
      <alignment horizontal="center" vertical="center"/>
    </xf>
    <xf numFmtId="0" fontId="88" fillId="0" borderId="0" xfId="0" applyFont="1" applyAlignment="1">
      <alignment horizontal="center" vertical="center" wrapText="1"/>
    </xf>
    <xf numFmtId="0" fontId="0" fillId="0" borderId="0" xfId="0" applyAlignment="1">
      <alignment horizontal="center" vertical="center"/>
    </xf>
    <xf numFmtId="0" fontId="13" fillId="0" borderId="0" xfId="72" applyFont="1" applyAlignment="1">
      <alignment vertical="center" wrapText="1"/>
      <protection/>
    </xf>
    <xf numFmtId="0" fontId="10" fillId="0" borderId="0" xfId="72" applyFont="1" applyAlignment="1">
      <alignment vertical="center" wrapText="1"/>
      <protection/>
    </xf>
    <xf numFmtId="0" fontId="10" fillId="0" borderId="29" xfId="72" applyFont="1" applyBorder="1" applyAlignment="1">
      <alignment vertical="center" wrapText="1"/>
      <protection/>
    </xf>
    <xf numFmtId="0" fontId="14" fillId="38" borderId="0" xfId="72" applyFont="1" applyFill="1" applyAlignment="1">
      <alignment horizontal="center" vertical="center" wrapText="1"/>
      <protection/>
    </xf>
    <xf numFmtId="0" fontId="11" fillId="38" borderId="0" xfId="72" applyFont="1" applyFill="1" applyAlignment="1">
      <alignment horizontal="center" vertical="center" wrapText="1"/>
      <protection/>
    </xf>
    <xf numFmtId="0" fontId="14" fillId="0" borderId="0" xfId="72" applyFont="1" applyAlignment="1">
      <alignment horizontal="center" vertical="center" wrapText="1"/>
      <protection/>
    </xf>
    <xf numFmtId="0" fontId="10" fillId="38" borderId="34" xfId="72" applyFont="1" applyFill="1" applyBorder="1" applyAlignment="1">
      <alignment vertical="center" wrapText="1"/>
      <protection/>
    </xf>
    <xf numFmtId="0" fontId="10" fillId="38" borderId="35" xfId="72" applyFont="1" applyFill="1" applyBorder="1" applyAlignment="1">
      <alignment vertical="center" wrapText="1"/>
      <protection/>
    </xf>
    <xf numFmtId="0" fontId="15" fillId="39" borderId="0" xfId="72" applyFont="1" applyFill="1" applyAlignment="1">
      <alignment vertical="center" wrapText="1"/>
      <protection/>
    </xf>
    <xf numFmtId="0" fontId="89" fillId="38" borderId="0" xfId="0" applyFont="1" applyFill="1" applyAlignment="1">
      <alignment vertical="center"/>
    </xf>
    <xf numFmtId="192" fontId="0" fillId="0" borderId="0" xfId="0" applyNumberFormat="1" applyAlignment="1">
      <alignment vertical="center"/>
    </xf>
    <xf numFmtId="0" fontId="10" fillId="38" borderId="28" xfId="72" applyFont="1" applyFill="1" applyBorder="1" applyAlignment="1">
      <alignment vertical="center" wrapText="1"/>
      <protection/>
    </xf>
    <xf numFmtId="0" fontId="11" fillId="5" borderId="46" xfId="72" applyFont="1" applyFill="1" applyBorder="1" applyAlignment="1">
      <alignment horizontal="center" vertical="center" wrapText="1"/>
      <protection/>
    </xf>
    <xf numFmtId="0" fontId="11" fillId="5" borderId="47" xfId="72" applyFont="1" applyFill="1" applyBorder="1" applyAlignment="1">
      <alignment horizontal="center" vertical="center" wrapText="1"/>
      <protection/>
    </xf>
    <xf numFmtId="0" fontId="11" fillId="5" borderId="48" xfId="72" applyFont="1" applyFill="1" applyBorder="1" applyAlignment="1">
      <alignment horizontal="center" vertical="center" wrapText="1"/>
      <protection/>
    </xf>
    <xf numFmtId="0" fontId="11" fillId="38" borderId="0" xfId="72" applyFont="1" applyFill="1" applyAlignment="1">
      <alignment horizontal="left" vertical="center" wrapText="1"/>
      <protection/>
    </xf>
    <xf numFmtId="0" fontId="11" fillId="5" borderId="13" xfId="72" applyFont="1" applyFill="1" applyBorder="1" applyAlignment="1">
      <alignment horizontal="center" vertical="center" wrapText="1"/>
      <protection/>
    </xf>
    <xf numFmtId="0" fontId="11" fillId="0" borderId="37" xfId="72" applyFont="1" applyBorder="1" applyAlignment="1">
      <alignment horizontal="left" vertical="center" wrapText="1"/>
      <protection/>
    </xf>
    <xf numFmtId="0" fontId="11" fillId="0" borderId="22" xfId="72" applyFont="1" applyBorder="1" applyAlignment="1">
      <alignment horizontal="center" vertical="center" wrapText="1"/>
      <protection/>
    </xf>
    <xf numFmtId="0" fontId="11" fillId="0" borderId="16" xfId="72" applyFont="1" applyBorder="1" applyAlignment="1">
      <alignment horizontal="left" vertical="center" wrapText="1"/>
      <protection/>
    </xf>
    <xf numFmtId="0" fontId="11" fillId="11" borderId="38" xfId="72" applyFont="1" applyFill="1" applyBorder="1" applyAlignment="1">
      <alignment horizontal="left" vertical="center" wrapText="1"/>
      <protection/>
    </xf>
    <xf numFmtId="9" fontId="11" fillId="0" borderId="39" xfId="72" applyNumberFormat="1" applyFont="1" applyBorder="1" applyAlignment="1">
      <alignment horizontal="center" vertical="center" wrapText="1"/>
      <protection/>
    </xf>
    <xf numFmtId="9" fontId="11" fillId="0" borderId="0" xfId="72" applyNumberFormat="1" applyFont="1" applyAlignment="1">
      <alignment vertical="center" wrapText="1"/>
      <protection/>
    </xf>
    <xf numFmtId="0" fontId="11" fillId="11" borderId="13" xfId="72" applyFont="1" applyFill="1" applyBorder="1" applyAlignment="1">
      <alignment horizontal="left" vertical="center" wrapText="1"/>
      <protection/>
    </xf>
    <xf numFmtId="9" fontId="11" fillId="0" borderId="14" xfId="72" applyNumberFormat="1" applyFont="1" applyBorder="1" applyAlignment="1">
      <alignment horizontal="center" vertical="center" wrapText="1"/>
      <protection/>
    </xf>
    <xf numFmtId="0" fontId="11" fillId="0" borderId="13" xfId="72" applyFont="1" applyBorder="1" applyAlignment="1">
      <alignment horizontal="left" vertical="center" wrapText="1"/>
      <protection/>
    </xf>
    <xf numFmtId="9" fontId="11" fillId="0" borderId="40" xfId="72" applyNumberFormat="1" applyFont="1" applyBorder="1" applyAlignment="1">
      <alignment horizontal="center" vertical="center" wrapText="1"/>
      <protection/>
    </xf>
    <xf numFmtId="0" fontId="91" fillId="11" borderId="13" xfId="0" applyFont="1" applyFill="1" applyBorder="1" applyAlignment="1">
      <alignment horizontal="center" vertical="center" wrapText="1"/>
    </xf>
    <xf numFmtId="9" fontId="89" fillId="0" borderId="13" xfId="79" applyFont="1" applyBorder="1" applyAlignment="1">
      <alignment horizontal="center" vertical="center" wrapText="1"/>
    </xf>
    <xf numFmtId="0" fontId="96" fillId="0" borderId="13" xfId="0" applyFont="1" applyBorder="1" applyAlignment="1">
      <alignment horizontal="center" vertical="center" wrapText="1"/>
    </xf>
    <xf numFmtId="9" fontId="91" fillId="11" borderId="41" xfId="79" applyFont="1" applyFill="1" applyBorder="1" applyAlignment="1">
      <alignment horizontal="center" vertical="center"/>
    </xf>
    <xf numFmtId="9" fontId="91" fillId="11" borderId="42" xfId="79" applyFont="1" applyFill="1" applyBorder="1" applyAlignment="1">
      <alignment horizontal="center" vertical="center"/>
    </xf>
    <xf numFmtId="9" fontId="91" fillId="11" borderId="0" xfId="79" applyFont="1" applyFill="1" applyBorder="1" applyAlignment="1">
      <alignment horizontal="center" vertical="center"/>
    </xf>
    <xf numFmtId="0" fontId="91" fillId="11" borderId="0" xfId="0" applyFont="1" applyFill="1" applyAlignment="1">
      <alignment horizontal="center" vertical="center"/>
    </xf>
    <xf numFmtId="9" fontId="91" fillId="11" borderId="43" xfId="79" applyFont="1" applyFill="1" applyBorder="1" applyAlignment="1">
      <alignment horizontal="center" vertical="center"/>
    </xf>
    <xf numFmtId="9" fontId="91" fillId="11" borderId="15" xfId="79" applyFont="1" applyFill="1" applyBorder="1" applyAlignment="1">
      <alignment horizontal="center" vertical="center"/>
    </xf>
    <xf numFmtId="9" fontId="91" fillId="11" borderId="44" xfId="79" applyFont="1" applyFill="1" applyBorder="1" applyAlignment="1">
      <alignment horizontal="center" vertical="center"/>
    </xf>
    <xf numFmtId="9" fontId="11" fillId="11" borderId="22" xfId="79" applyFont="1" applyFill="1" applyBorder="1" applyAlignment="1">
      <alignment horizontal="center" vertical="center" wrapText="1"/>
    </xf>
    <xf numFmtId="0" fontId="89" fillId="0" borderId="13" xfId="59" applyNumberFormat="1" applyFont="1" applyBorder="1" applyAlignment="1">
      <alignment horizontal="center" vertical="center" wrapText="1"/>
    </xf>
    <xf numFmtId="9" fontId="89" fillId="0" borderId="13" xfId="79" applyFont="1" applyBorder="1" applyAlignment="1">
      <alignment horizontal="center" vertical="center"/>
    </xf>
    <xf numFmtId="9" fontId="89" fillId="0" borderId="0" xfId="79" applyFont="1" applyAlignment="1">
      <alignment horizontal="center" vertical="center"/>
    </xf>
    <xf numFmtId="175" fontId="89" fillId="0" borderId="13" xfId="59" applyFont="1" applyBorder="1" applyAlignment="1">
      <alignment horizontal="left" vertical="center" wrapText="1"/>
    </xf>
    <xf numFmtId="9" fontId="89" fillId="0" borderId="13" xfId="0" applyNumberFormat="1" applyFont="1" applyBorder="1" applyAlignment="1">
      <alignment vertical="center"/>
    </xf>
    <xf numFmtId="0" fontId="89" fillId="0" borderId="13" xfId="0" applyFont="1" applyBorder="1" applyAlignment="1">
      <alignment vertical="center" wrapText="1"/>
    </xf>
    <xf numFmtId="0" fontId="89" fillId="0" borderId="13" xfId="0" applyFont="1" applyBorder="1" applyAlignment="1">
      <alignment vertical="top" wrapText="1"/>
    </xf>
    <xf numFmtId="0" fontId="89" fillId="0" borderId="13" xfId="0" applyFont="1" applyBorder="1" applyAlignment="1">
      <alignment horizontal="left" vertical="top" wrapText="1"/>
    </xf>
    <xf numFmtId="0" fontId="11" fillId="38" borderId="55" xfId="72" applyFont="1" applyFill="1" applyBorder="1" applyAlignment="1">
      <alignment vertical="center" wrapText="1"/>
      <protection/>
    </xf>
    <xf numFmtId="0" fontId="11" fillId="38" borderId="56" xfId="72" applyFont="1" applyFill="1" applyBorder="1" applyAlignment="1">
      <alignment vertical="center" wrapText="1"/>
      <protection/>
    </xf>
    <xf numFmtId="0" fontId="89" fillId="0" borderId="13" xfId="0" applyFont="1" applyBorder="1" applyAlignment="1">
      <alignment horizontal="justify" vertical="center" wrapText="1"/>
    </xf>
    <xf numFmtId="41" fontId="89" fillId="0" borderId="13" xfId="60" applyFont="1" applyFill="1" applyBorder="1" applyAlignment="1">
      <alignment horizontal="center" vertical="center" wrapText="1"/>
    </xf>
    <xf numFmtId="175" fontId="10" fillId="38" borderId="13" xfId="59" applyFont="1" applyFill="1" applyBorder="1" applyAlignment="1">
      <alignment vertical="center"/>
    </xf>
    <xf numFmtId="0" fontId="10" fillId="38" borderId="13" xfId="0" applyFont="1" applyFill="1" applyBorder="1" applyAlignment="1">
      <alignment vertical="center"/>
    </xf>
    <xf numFmtId="0" fontId="90" fillId="0" borderId="13" xfId="0" applyFont="1" applyBorder="1" applyAlignment="1">
      <alignment horizontal="center" vertical="center"/>
    </xf>
    <xf numFmtId="0" fontId="10" fillId="0" borderId="13" xfId="0" applyFont="1" applyBorder="1" applyAlignment="1">
      <alignment horizontal="justify" vertical="center" wrapText="1"/>
    </xf>
    <xf numFmtId="0" fontId="10" fillId="0" borderId="13" xfId="0" applyFont="1" applyBorder="1" applyAlignment="1">
      <alignment vertical="center"/>
    </xf>
    <xf numFmtId="41" fontId="10" fillId="0" borderId="13" xfId="60" applyFont="1" applyFill="1" applyBorder="1" applyAlignment="1">
      <alignment horizontal="center" vertical="center" wrapText="1"/>
    </xf>
    <xf numFmtId="0" fontId="10" fillId="0" borderId="13" xfId="0" applyFont="1" applyBorder="1" applyAlignment="1">
      <alignment vertical="center" wrapText="1"/>
    </xf>
    <xf numFmtId="175" fontId="10" fillId="0" borderId="13" xfId="59" applyFont="1" applyBorder="1" applyAlignment="1">
      <alignment horizontal="center" vertical="center" wrapText="1"/>
    </xf>
    <xf numFmtId="0" fontId="90" fillId="0" borderId="13" xfId="0" applyFont="1" applyBorder="1" applyAlignment="1">
      <alignment vertical="center"/>
    </xf>
    <xf numFmtId="0" fontId="90" fillId="0" borderId="0" xfId="0" applyFont="1" applyAlignment="1">
      <alignment vertical="center"/>
    </xf>
    <xf numFmtId="0" fontId="10" fillId="0" borderId="13" xfId="0" applyFont="1" applyBorder="1" applyAlignment="1">
      <alignment horizontal="center" vertical="center"/>
    </xf>
    <xf numFmtId="0" fontId="10" fillId="0" borderId="0" xfId="0" applyFont="1" applyAlignment="1">
      <alignment vertical="center"/>
    </xf>
    <xf numFmtId="9" fontId="89" fillId="38" borderId="13" xfId="0" applyNumberFormat="1" applyFont="1" applyFill="1" applyBorder="1" applyAlignment="1">
      <alignment vertical="center"/>
    </xf>
    <xf numFmtId="0" fontId="89" fillId="38" borderId="13" xfId="0" applyFont="1" applyFill="1" applyBorder="1" applyAlignment="1">
      <alignment vertical="center"/>
    </xf>
    <xf numFmtId="9" fontId="10" fillId="38" borderId="13" xfId="80" applyFont="1" applyFill="1" applyBorder="1" applyAlignment="1" applyProtection="1">
      <alignment horizontal="center" vertical="center" wrapText="1"/>
      <protection locked="0"/>
    </xf>
    <xf numFmtId="0" fontId="10" fillId="0" borderId="37" xfId="72" applyFont="1" applyBorder="1" applyAlignment="1">
      <alignment horizontal="center" vertical="center" wrapText="1"/>
      <protection/>
    </xf>
    <xf numFmtId="9" fontId="10" fillId="0" borderId="22" xfId="79" applyFont="1" applyFill="1" applyBorder="1" applyAlignment="1" applyProtection="1">
      <alignment horizontal="center" vertical="center" wrapText="1"/>
      <protection/>
    </xf>
    <xf numFmtId="9" fontId="93" fillId="0" borderId="13" xfId="76" applyNumberFormat="1" applyFont="1" applyBorder="1" applyAlignment="1">
      <alignment horizontal="center" vertical="center"/>
      <protection/>
    </xf>
    <xf numFmtId="9" fontId="11" fillId="0" borderId="13" xfId="72" applyNumberFormat="1" applyFont="1" applyBorder="1" applyAlignment="1">
      <alignment horizontal="center" vertical="center" wrapText="1"/>
      <protection/>
    </xf>
    <xf numFmtId="0" fontId="11" fillId="11" borderId="57" xfId="72" applyFont="1" applyFill="1" applyBorder="1" applyAlignment="1">
      <alignment horizontal="left" vertical="center" wrapText="1"/>
      <protection/>
    </xf>
    <xf numFmtId="9" fontId="10" fillId="11" borderId="57" xfId="79" applyFont="1" applyFill="1" applyBorder="1" applyAlignment="1" applyProtection="1">
      <alignment horizontal="center" vertical="center" wrapText="1"/>
      <protection locked="0"/>
    </xf>
    <xf numFmtId="9" fontId="10" fillId="11" borderId="58" xfId="79" applyFont="1" applyFill="1" applyBorder="1" applyAlignment="1" applyProtection="1">
      <alignment horizontal="center" vertical="center" wrapText="1"/>
      <protection locked="0"/>
    </xf>
    <xf numFmtId="9" fontId="11" fillId="0" borderId="58" xfId="72" applyNumberFormat="1" applyFont="1" applyBorder="1" applyAlignment="1">
      <alignment horizontal="center" vertical="center" wrapText="1"/>
      <protection/>
    </xf>
    <xf numFmtId="189" fontId="0" fillId="0" borderId="0" xfId="58" applyNumberFormat="1" applyFont="1" applyAlignment="1">
      <alignment vertical="center"/>
    </xf>
    <xf numFmtId="189" fontId="0" fillId="0" borderId="0" xfId="58" applyNumberFormat="1" applyFont="1" applyFill="1" applyBorder="1" applyAlignment="1">
      <alignment vertical="center"/>
    </xf>
    <xf numFmtId="189" fontId="15" fillId="39" borderId="0" xfId="58" applyNumberFormat="1" applyFont="1" applyFill="1" applyBorder="1" applyAlignment="1" applyProtection="1">
      <alignment vertical="center" wrapText="1"/>
      <protection/>
    </xf>
    <xf numFmtId="189" fontId="0" fillId="0" borderId="0" xfId="58" applyNumberFormat="1" applyFont="1" applyBorder="1" applyAlignment="1">
      <alignment vertical="center"/>
    </xf>
    <xf numFmtId="189" fontId="0" fillId="0" borderId="16" xfId="58" applyNumberFormat="1" applyFont="1" applyFill="1" applyBorder="1" applyAlignment="1">
      <alignment vertical="center"/>
    </xf>
    <xf numFmtId="189" fontId="0" fillId="0" borderId="0" xfId="58" applyNumberFormat="1" applyFont="1" applyFill="1" applyAlignment="1">
      <alignment vertical="center"/>
    </xf>
    <xf numFmtId="189" fontId="0" fillId="0" borderId="13" xfId="58" applyNumberFormat="1" applyFont="1" applyFill="1" applyBorder="1" applyAlignment="1">
      <alignment vertical="center"/>
    </xf>
    <xf numFmtId="189" fontId="0" fillId="0" borderId="38" xfId="58" applyNumberFormat="1" applyFont="1" applyFill="1" applyBorder="1" applyAlignment="1">
      <alignment vertical="center"/>
    </xf>
    <xf numFmtId="0" fontId="0" fillId="0" borderId="28" xfId="0" applyBorder="1" applyAlignment="1">
      <alignment vertical="center"/>
    </xf>
    <xf numFmtId="9" fontId="89" fillId="11" borderId="38" xfId="81" applyFont="1" applyFill="1" applyBorder="1" applyAlignment="1" applyProtection="1">
      <alignment horizontal="center" vertical="center" wrapText="1"/>
      <protection/>
    </xf>
    <xf numFmtId="9" fontId="88" fillId="0" borderId="28" xfId="79" applyFont="1" applyBorder="1" applyAlignment="1">
      <alignment horizontal="center" vertical="center"/>
    </xf>
    <xf numFmtId="189" fontId="88" fillId="0" borderId="0" xfId="58" applyNumberFormat="1" applyFont="1" applyAlignment="1">
      <alignment vertical="center"/>
    </xf>
    <xf numFmtId="0" fontId="11" fillId="38" borderId="59" xfId="72" applyFont="1" applyFill="1" applyBorder="1" applyAlignment="1">
      <alignment vertical="center" wrapText="1"/>
      <protection/>
    </xf>
    <xf numFmtId="0" fontId="11" fillId="38" borderId="60" xfId="72" applyFont="1" applyFill="1" applyBorder="1" applyAlignment="1">
      <alignment vertical="center" wrapText="1"/>
      <protection/>
    </xf>
    <xf numFmtId="199" fontId="11" fillId="0" borderId="60" xfId="72" applyNumberFormat="1" applyFont="1" applyBorder="1" applyAlignment="1">
      <alignment horizontal="center" vertical="center" wrapText="1"/>
      <protection/>
    </xf>
    <xf numFmtId="199" fontId="11" fillId="0" borderId="61" xfId="72" applyNumberFormat="1" applyFont="1" applyBorder="1" applyAlignment="1">
      <alignment vertical="center" wrapText="1"/>
      <protection/>
    </xf>
    <xf numFmtId="199" fontId="11" fillId="0" borderId="62" xfId="72" applyNumberFormat="1" applyFont="1" applyBorder="1" applyAlignment="1">
      <alignment vertical="center" wrapText="1"/>
      <protection/>
    </xf>
    <xf numFmtId="0" fontId="27" fillId="0" borderId="0" xfId="0" applyFont="1" applyAlignment="1">
      <alignment/>
    </xf>
    <xf numFmtId="189" fontId="27" fillId="0" borderId="0" xfId="58" applyNumberFormat="1" applyFont="1" applyAlignment="1">
      <alignment/>
    </xf>
    <xf numFmtId="9" fontId="10" fillId="38" borderId="16" xfId="80" applyFont="1" applyFill="1" applyBorder="1" applyAlignment="1" applyProtection="1">
      <alignment horizontal="center" vertical="center" wrapText="1"/>
      <protection locked="0"/>
    </xf>
    <xf numFmtId="9" fontId="4" fillId="0" borderId="13" xfId="0" applyNumberFormat="1" applyFont="1" applyBorder="1" applyAlignment="1">
      <alignment vertical="center" wrapText="1"/>
    </xf>
    <xf numFmtId="199" fontId="4" fillId="0" borderId="13" xfId="59" applyNumberFormat="1" applyFont="1" applyFill="1" applyBorder="1" applyAlignment="1">
      <alignment vertical="center" wrapText="1"/>
    </xf>
    <xf numFmtId="199" fontId="4" fillId="0" borderId="13" xfId="0" applyNumberFormat="1" applyFont="1" applyBorder="1" applyAlignment="1">
      <alignment vertical="center" wrapText="1"/>
    </xf>
    <xf numFmtId="175" fontId="4" fillId="0" borderId="13" xfId="59" applyFont="1" applyFill="1" applyBorder="1" applyAlignment="1">
      <alignment vertical="center" wrapText="1"/>
    </xf>
    <xf numFmtId="0" fontId="93" fillId="0" borderId="13" xfId="0" applyFont="1" applyBorder="1" applyAlignment="1">
      <alignment horizontal="left" vertical="center" wrapText="1"/>
    </xf>
    <xf numFmtId="0" fontId="93" fillId="0" borderId="13" xfId="0" applyFont="1" applyBorder="1" applyAlignment="1">
      <alignment horizontal="center" vertical="center" wrapText="1"/>
    </xf>
    <xf numFmtId="0" fontId="10" fillId="0" borderId="22" xfId="72" applyFont="1" applyBorder="1" applyAlignment="1">
      <alignment horizontal="left" vertical="center" wrapText="1"/>
      <protection/>
    </xf>
    <xf numFmtId="0" fontId="89" fillId="0" borderId="0" xfId="0" applyFont="1" applyAlignment="1">
      <alignment vertical="center" wrapText="1"/>
    </xf>
    <xf numFmtId="9" fontId="10" fillId="0" borderId="22" xfId="72" applyNumberFormat="1" applyFont="1" applyBorder="1" applyAlignment="1">
      <alignment horizontal="center" vertical="center" wrapText="1"/>
      <protection/>
    </xf>
    <xf numFmtId="0" fontId="89" fillId="0" borderId="0" xfId="0" applyFont="1" applyAlignment="1">
      <alignment horizontal="justify" vertical="center" wrapText="1"/>
    </xf>
    <xf numFmtId="41" fontId="89" fillId="0" borderId="13" xfId="60" applyFont="1" applyFill="1" applyBorder="1" applyAlignment="1">
      <alignment horizontal="center" vertical="center"/>
    </xf>
    <xf numFmtId="41" fontId="89" fillId="38" borderId="13" xfId="60" applyFont="1" applyFill="1" applyBorder="1" applyAlignment="1">
      <alignment horizontal="center" vertical="center"/>
    </xf>
    <xf numFmtId="41" fontId="89" fillId="38" borderId="13" xfId="60" applyFont="1" applyFill="1" applyBorder="1" applyAlignment="1">
      <alignment horizontal="center" vertical="center" wrapText="1"/>
    </xf>
    <xf numFmtId="41" fontId="89" fillId="38" borderId="16" xfId="60" applyFont="1" applyFill="1" applyBorder="1" applyAlignment="1">
      <alignment horizontal="center" vertical="center" wrapText="1"/>
    </xf>
    <xf numFmtId="0" fontId="89" fillId="38" borderId="13" xfId="0" applyFont="1" applyFill="1" applyBorder="1" applyAlignment="1">
      <alignment horizontal="center" vertical="center"/>
    </xf>
    <xf numFmtId="198" fontId="89" fillId="38" borderId="13" xfId="59" applyNumberFormat="1" applyFont="1" applyFill="1" applyBorder="1" applyAlignment="1">
      <alignment vertical="center"/>
    </xf>
    <xf numFmtId="175" fontId="89" fillId="38" borderId="13" xfId="59" applyFont="1" applyFill="1" applyBorder="1" applyAlignment="1">
      <alignment vertical="center"/>
    </xf>
    <xf numFmtId="9" fontId="89" fillId="38" borderId="13" xfId="79" applyFont="1" applyFill="1" applyBorder="1" applyAlignment="1">
      <alignment vertical="center"/>
    </xf>
    <xf numFmtId="175" fontId="10" fillId="38" borderId="13" xfId="80" applyNumberFormat="1" applyFont="1" applyFill="1" applyBorder="1" applyAlignment="1" applyProtection="1">
      <alignment horizontal="center" vertical="center" wrapText="1"/>
      <protection locked="0"/>
    </xf>
    <xf numFmtId="175" fontId="10" fillId="38" borderId="13" xfId="59" applyFont="1" applyFill="1" applyBorder="1" applyAlignment="1" applyProtection="1">
      <alignment horizontal="center" vertical="center" wrapText="1"/>
      <protection locked="0"/>
    </xf>
    <xf numFmtId="10" fontId="89" fillId="0" borderId="13" xfId="0" applyNumberFormat="1" applyFont="1" applyFill="1" applyBorder="1" applyAlignment="1">
      <alignment vertical="center"/>
    </xf>
    <xf numFmtId="9" fontId="89" fillId="0" borderId="13" xfId="79" applyFont="1" applyFill="1" applyBorder="1" applyAlignment="1">
      <alignment vertical="center"/>
    </xf>
    <xf numFmtId="9" fontId="89" fillId="0" borderId="13" xfId="0" applyNumberFormat="1" applyFont="1" applyFill="1" applyBorder="1" applyAlignment="1">
      <alignment vertical="center"/>
    </xf>
    <xf numFmtId="0" fontId="89" fillId="0" borderId="13" xfId="0" applyFont="1" applyFill="1" applyBorder="1" applyAlignment="1">
      <alignment vertical="center"/>
    </xf>
    <xf numFmtId="9" fontId="10" fillId="0" borderId="13" xfId="79" applyFont="1" applyFill="1" applyBorder="1" applyAlignment="1">
      <alignment vertical="center"/>
    </xf>
    <xf numFmtId="0" fontId="89" fillId="0" borderId="22" xfId="0" applyFont="1" applyBorder="1" applyAlignment="1">
      <alignment vertical="center"/>
    </xf>
    <xf numFmtId="0" fontId="97" fillId="0" borderId="13" xfId="0" applyFont="1" applyBorder="1" applyAlignment="1">
      <alignment horizontal="center" vertical="center" wrapText="1"/>
    </xf>
    <xf numFmtId="9" fontId="97" fillId="0" borderId="13" xfId="79" applyFont="1" applyFill="1" applyBorder="1" applyAlignment="1">
      <alignment horizontal="center" vertical="center" wrapText="1"/>
    </xf>
    <xf numFmtId="175" fontId="97" fillId="0" borderId="13" xfId="59" applyFont="1" applyFill="1" applyBorder="1" applyAlignment="1">
      <alignment horizontal="center" vertical="center" wrapText="1"/>
    </xf>
    <xf numFmtId="189" fontId="0" fillId="0" borderId="0" xfId="58" applyNumberFormat="1" applyFont="1" applyAlignment="1">
      <alignment/>
    </xf>
    <xf numFmtId="14" fontId="0" fillId="0" borderId="0" xfId="58" applyNumberFormat="1" applyFont="1" applyAlignment="1">
      <alignment/>
    </xf>
    <xf numFmtId="9" fontId="0" fillId="0" borderId="0" xfId="79" applyFont="1" applyAlignment="1">
      <alignment/>
    </xf>
    <xf numFmtId="0" fontId="10" fillId="0" borderId="22" xfId="72" applyFont="1" applyBorder="1" applyAlignment="1">
      <alignment horizontal="center" vertical="center" wrapText="1"/>
      <protection/>
    </xf>
    <xf numFmtId="175" fontId="10" fillId="0" borderId="22" xfId="59" applyFont="1" applyFill="1" applyBorder="1" applyAlignment="1" applyProtection="1">
      <alignment horizontal="center" vertical="center" wrapText="1"/>
      <protection/>
    </xf>
    <xf numFmtId="9" fontId="10" fillId="0" borderId="13" xfId="0" applyNumberFormat="1" applyFont="1" applyFill="1" applyBorder="1" applyAlignment="1">
      <alignment vertical="center"/>
    </xf>
    <xf numFmtId="0" fontId="91" fillId="11" borderId="13" xfId="0" applyFont="1" applyFill="1" applyBorder="1" applyAlignment="1">
      <alignment horizontal="center" vertical="center" wrapText="1"/>
    </xf>
    <xf numFmtId="0" fontId="19" fillId="0" borderId="37" xfId="72" applyFont="1" applyFill="1" applyBorder="1" applyAlignment="1">
      <alignment horizontal="center" vertical="center" wrapText="1"/>
      <protection/>
    </xf>
    <xf numFmtId="9" fontId="11" fillId="0" borderId="22" xfId="79" applyFont="1" applyBorder="1" applyAlignment="1">
      <alignment horizontal="center" vertical="center" wrapText="1"/>
    </xf>
    <xf numFmtId="0" fontId="89" fillId="0" borderId="13" xfId="0" applyFont="1" applyFill="1" applyBorder="1" applyAlignment="1">
      <alignment horizontal="center" vertical="center" wrapText="1"/>
    </xf>
    <xf numFmtId="0" fontId="90" fillId="0" borderId="13" xfId="0" applyFont="1" applyFill="1" applyBorder="1" applyAlignment="1">
      <alignment horizontal="center" vertical="center"/>
    </xf>
    <xf numFmtId="0" fontId="10" fillId="0" borderId="13" xfId="0" applyFont="1" applyFill="1" applyBorder="1" applyAlignment="1">
      <alignment horizontal="center" vertical="center"/>
    </xf>
    <xf numFmtId="41" fontId="10" fillId="38" borderId="13" xfId="60" applyFont="1" applyFill="1" applyBorder="1" applyAlignment="1">
      <alignment horizontal="center" vertical="center"/>
    </xf>
    <xf numFmtId="9" fontId="10" fillId="38" borderId="13" xfId="79" applyFont="1" applyFill="1" applyBorder="1" applyAlignment="1">
      <alignment horizontal="center" vertical="center"/>
    </xf>
    <xf numFmtId="0" fontId="10" fillId="38" borderId="13" xfId="0" applyFont="1" applyFill="1" applyBorder="1" applyAlignment="1">
      <alignment horizontal="center" vertical="center"/>
    </xf>
    <xf numFmtId="0" fontId="97" fillId="0" borderId="13" xfId="0" applyFont="1" applyBorder="1" applyAlignment="1">
      <alignment horizontal="justify" vertical="center" wrapText="1"/>
    </xf>
    <xf numFmtId="175" fontId="97" fillId="0" borderId="13" xfId="59" applyFont="1" applyFill="1" applyBorder="1" applyAlignment="1">
      <alignment horizontal="justify" vertical="center" wrapText="1"/>
    </xf>
    <xf numFmtId="189" fontId="0" fillId="0" borderId="20" xfId="58" applyNumberFormat="1" applyFont="1" applyFill="1" applyBorder="1" applyAlignment="1">
      <alignment vertical="center"/>
    </xf>
    <xf numFmtId="189" fontId="11" fillId="38" borderId="0" xfId="72" applyNumberFormat="1" applyFont="1" applyFill="1" applyAlignment="1">
      <alignment horizontal="left" vertical="center" wrapText="1"/>
      <protection/>
    </xf>
    <xf numFmtId="189" fontId="11" fillId="38" borderId="0" xfId="58" applyNumberFormat="1" applyFont="1" applyFill="1" applyAlignment="1">
      <alignment horizontal="left" vertical="center" wrapText="1"/>
    </xf>
    <xf numFmtId="10" fontId="10" fillId="38" borderId="13" xfId="80" applyNumberFormat="1" applyFont="1" applyFill="1" applyBorder="1" applyAlignment="1" applyProtection="1">
      <alignment horizontal="center" vertical="center" wrapText="1"/>
      <protection locked="0"/>
    </xf>
    <xf numFmtId="0" fontId="11" fillId="11" borderId="22" xfId="0" applyFont="1" applyFill="1" applyBorder="1" applyAlignment="1">
      <alignment horizontal="center" vertical="center" wrapText="1"/>
    </xf>
    <xf numFmtId="0" fontId="91" fillId="11" borderId="13" xfId="0" applyFont="1" applyFill="1" applyBorder="1" applyAlignment="1">
      <alignment horizontal="center" vertical="center" wrapText="1"/>
    </xf>
    <xf numFmtId="10" fontId="10" fillId="11" borderId="13" xfId="79" applyNumberFormat="1" applyFont="1" applyFill="1" applyBorder="1" applyAlignment="1" applyProtection="1">
      <alignment horizontal="center" vertical="center" wrapText="1"/>
      <protection locked="0"/>
    </xf>
    <xf numFmtId="10" fontId="89" fillId="0" borderId="13" xfId="79" applyNumberFormat="1" applyFont="1" applyBorder="1" applyAlignment="1">
      <alignment vertical="center"/>
    </xf>
    <xf numFmtId="0" fontId="10" fillId="0" borderId="13" xfId="79" applyNumberFormat="1" applyFont="1" applyBorder="1" applyAlignment="1">
      <alignment horizontal="center" vertical="center"/>
    </xf>
    <xf numFmtId="9" fontId="10" fillId="11" borderId="38" xfId="8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91" fillId="11" borderId="13" xfId="0" applyFont="1" applyFill="1" applyBorder="1" applyAlignment="1">
      <alignment horizontal="center" vertical="center" wrapText="1"/>
    </xf>
    <xf numFmtId="0" fontId="90" fillId="0" borderId="13" xfId="0" applyFont="1" applyFill="1" applyBorder="1" applyAlignment="1">
      <alignment vertical="center"/>
    </xf>
    <xf numFmtId="0" fontId="10" fillId="0" borderId="13" xfId="0" applyFont="1" applyFill="1" applyBorder="1" applyAlignment="1">
      <alignment vertical="center"/>
    </xf>
    <xf numFmtId="175" fontId="4" fillId="0" borderId="13" xfId="59" applyFont="1" applyFill="1" applyBorder="1" applyAlignment="1">
      <alignment horizontal="center" vertical="center" wrapText="1"/>
    </xf>
    <xf numFmtId="199" fontId="4" fillId="0" borderId="13" xfId="59" applyNumberFormat="1" applyFont="1" applyFill="1" applyBorder="1" applyAlignment="1">
      <alignment horizontal="center" vertical="center" wrapText="1"/>
    </xf>
    <xf numFmtId="189" fontId="0" fillId="0" borderId="13" xfId="58" applyNumberFormat="1" applyFont="1" applyBorder="1" applyAlignment="1">
      <alignment/>
    </xf>
    <xf numFmtId="189" fontId="88" fillId="0" borderId="13" xfId="58" applyNumberFormat="1" applyFont="1" applyBorder="1" applyAlignment="1">
      <alignment/>
    </xf>
    <xf numFmtId="189" fontId="88" fillId="0" borderId="13" xfId="58" applyNumberFormat="1" applyFont="1" applyBorder="1" applyAlignment="1">
      <alignment horizontal="center"/>
    </xf>
    <xf numFmtId="189" fontId="0" fillId="0" borderId="0" xfId="58" applyNumberFormat="1" applyFont="1" applyAlignment="1">
      <alignment/>
    </xf>
    <xf numFmtId="189" fontId="0" fillId="0" borderId="0" xfId="0" applyNumberFormat="1" applyAlignment="1">
      <alignment/>
    </xf>
    <xf numFmtId="0" fontId="11" fillId="5" borderId="13" xfId="72" applyFont="1" applyFill="1" applyBorder="1" applyAlignment="1">
      <alignment horizontal="center" vertical="center" wrapText="1"/>
      <protection/>
    </xf>
    <xf numFmtId="9" fontId="11" fillId="0" borderId="38" xfId="72" applyNumberFormat="1" applyFont="1" applyBorder="1" applyAlignment="1">
      <alignment horizontal="center" vertical="center" wrapText="1"/>
      <protection/>
    </xf>
    <xf numFmtId="189" fontId="0" fillId="3" borderId="0" xfId="58" applyNumberFormat="1" applyFont="1" applyFill="1" applyAlignment="1">
      <alignment/>
    </xf>
    <xf numFmtId="189" fontId="0" fillId="42" borderId="0" xfId="58" applyNumberFormat="1" applyFont="1" applyFill="1" applyAlignment="1">
      <alignment/>
    </xf>
    <xf numFmtId="10" fontId="0" fillId="0" borderId="0" xfId="79" applyNumberFormat="1" applyFont="1" applyAlignment="1">
      <alignment/>
    </xf>
    <xf numFmtId="0" fontId="88" fillId="0" borderId="0" xfId="0" applyFont="1" applyAlignment="1">
      <alignment/>
    </xf>
    <xf numFmtId="9" fontId="88" fillId="0" borderId="0" xfId="79" applyFont="1" applyAlignment="1">
      <alignment/>
    </xf>
    <xf numFmtId="199" fontId="88" fillId="0" borderId="0" xfId="59" applyNumberFormat="1" applyFont="1" applyAlignment="1">
      <alignment/>
    </xf>
    <xf numFmtId="0" fontId="88" fillId="0" borderId="0" xfId="0" applyFont="1" applyAlignment="1">
      <alignment horizontal="center"/>
    </xf>
    <xf numFmtId="199" fontId="0" fillId="0" borderId="0" xfId="0" applyNumberFormat="1" applyAlignment="1">
      <alignment/>
    </xf>
    <xf numFmtId="43" fontId="0" fillId="0" borderId="0" xfId="0" applyNumberFormat="1" applyAlignment="1">
      <alignment/>
    </xf>
    <xf numFmtId="9" fontId="88" fillId="29" borderId="0" xfId="79" applyFont="1" applyFill="1" applyAlignment="1">
      <alignment/>
    </xf>
    <xf numFmtId="199" fontId="88" fillId="43" borderId="0" xfId="59" applyNumberFormat="1" applyFont="1" applyFill="1" applyAlignment="1">
      <alignment/>
    </xf>
    <xf numFmtId="10" fontId="0" fillId="0" borderId="0" xfId="79" applyNumberFormat="1" applyFont="1" applyAlignment="1">
      <alignment/>
    </xf>
    <xf numFmtId="0" fontId="98" fillId="0" borderId="0" xfId="0" applyFont="1" applyAlignment="1">
      <alignment/>
    </xf>
    <xf numFmtId="2" fontId="89" fillId="0" borderId="13" xfId="0" applyNumberFormat="1" applyFont="1" applyBorder="1" applyAlignment="1">
      <alignment vertical="center"/>
    </xf>
    <xf numFmtId="10" fontId="0" fillId="0" borderId="0" xfId="79" applyNumberFormat="1" applyFont="1" applyAlignment="1">
      <alignment/>
    </xf>
    <xf numFmtId="189" fontId="0" fillId="0" borderId="0" xfId="58" applyNumberFormat="1" applyFont="1" applyAlignment="1">
      <alignment/>
    </xf>
    <xf numFmtId="0" fontId="93" fillId="0" borderId="13" xfId="0" applyFont="1" applyBorder="1" applyAlignment="1">
      <alignment vertical="center" wrapText="1"/>
    </xf>
    <xf numFmtId="9" fontId="10" fillId="0" borderId="13" xfId="79" applyFont="1" applyBorder="1" applyAlignment="1">
      <alignment vertical="center"/>
    </xf>
    <xf numFmtId="9" fontId="10" fillId="0" borderId="13" xfId="79" applyFont="1" applyFill="1" applyBorder="1" applyAlignment="1">
      <alignment horizontal="center" vertical="center" wrapText="1"/>
    </xf>
    <xf numFmtId="0" fontId="22" fillId="11" borderId="13" xfId="0" applyFont="1" applyFill="1" applyBorder="1" applyAlignment="1">
      <alignment horizontal="center" vertical="center" wrapText="1"/>
    </xf>
    <xf numFmtId="9" fontId="0" fillId="0" borderId="40" xfId="79" applyFont="1" applyBorder="1" applyAlignment="1">
      <alignment horizontal="center" vertical="center"/>
    </xf>
    <xf numFmtId="9" fontId="0" fillId="0" borderId="21" xfId="79" applyFont="1" applyBorder="1" applyAlignment="1">
      <alignment horizontal="center" vertical="center"/>
    </xf>
    <xf numFmtId="9" fontId="0" fillId="0" borderId="52" xfId="79" applyFont="1" applyBorder="1" applyAlignment="1">
      <alignment horizontal="center" vertical="center"/>
    </xf>
    <xf numFmtId="0" fontId="89" fillId="0" borderId="13" xfId="0" applyFont="1" applyBorder="1" applyAlignment="1">
      <alignment horizontal="center" vertical="center"/>
    </xf>
    <xf numFmtId="0" fontId="89" fillId="0" borderId="13" xfId="0" applyFont="1" applyBorder="1" applyAlignment="1">
      <alignment horizontal="center" vertical="center"/>
    </xf>
    <xf numFmtId="9" fontId="89" fillId="0" borderId="13" xfId="79" applyFont="1" applyBorder="1" applyAlignment="1">
      <alignment horizontal="center" vertical="center"/>
    </xf>
    <xf numFmtId="10" fontId="89" fillId="0" borderId="13" xfId="0" applyNumberFormat="1" applyFont="1" applyBorder="1" applyAlignment="1">
      <alignment vertical="center"/>
    </xf>
    <xf numFmtId="9" fontId="89" fillId="0" borderId="13" xfId="0" applyNumberFormat="1" applyFont="1" applyFill="1" applyBorder="1" applyAlignment="1">
      <alignment horizontal="center" vertical="center"/>
    </xf>
    <xf numFmtId="189" fontId="0" fillId="43" borderId="0" xfId="58" applyNumberFormat="1" applyFont="1" applyFill="1" applyAlignment="1">
      <alignment/>
    </xf>
    <xf numFmtId="189" fontId="0" fillId="37" borderId="0" xfId="58" applyNumberFormat="1" applyFont="1" applyFill="1" applyAlignment="1">
      <alignment/>
    </xf>
    <xf numFmtId="0" fontId="89" fillId="0" borderId="13" xfId="0" applyFont="1" applyBorder="1" applyAlignment="1">
      <alignment horizontal="center" vertical="center" wrapText="1"/>
    </xf>
    <xf numFmtId="9" fontId="89" fillId="0" borderId="13" xfId="0" applyNumberFormat="1" applyFont="1" applyBorder="1" applyAlignment="1">
      <alignment horizontal="center" vertical="center"/>
    </xf>
    <xf numFmtId="0" fontId="89" fillId="0" borderId="13" xfId="0" applyFont="1" applyBorder="1" applyAlignment="1">
      <alignment horizontal="center" vertical="center"/>
    </xf>
    <xf numFmtId="0" fontId="89" fillId="0" borderId="13" xfId="0" applyFont="1" applyBorder="1" applyAlignment="1">
      <alignment horizontal="center" vertical="center" wrapText="1"/>
    </xf>
    <xf numFmtId="9" fontId="89" fillId="0" borderId="13" xfId="79" applyFont="1" applyBorder="1" applyAlignment="1">
      <alignment horizontal="center" vertical="center" wrapText="1"/>
    </xf>
    <xf numFmtId="0" fontId="11" fillId="11" borderId="22" xfId="0" applyFont="1" applyFill="1" applyBorder="1" applyAlignment="1">
      <alignment horizontal="center" vertical="center" wrapText="1"/>
    </xf>
    <xf numFmtId="9" fontId="90" fillId="0" borderId="13" xfId="0" applyNumberFormat="1" applyFont="1" applyFill="1" applyBorder="1" applyAlignment="1">
      <alignment vertical="center"/>
    </xf>
    <xf numFmtId="9" fontId="89" fillId="0" borderId="13" xfId="79" applyFont="1" applyBorder="1" applyAlignment="1">
      <alignment horizontal="center" vertical="center"/>
    </xf>
    <xf numFmtId="9" fontId="89" fillId="0" borderId="13" xfId="79" applyFont="1" applyBorder="1" applyAlignment="1">
      <alignment vertical="center"/>
    </xf>
    <xf numFmtId="0" fontId="89" fillId="0" borderId="13" xfId="0" applyFont="1" applyFill="1" applyBorder="1" applyAlignment="1">
      <alignment horizontal="center" vertical="center"/>
    </xf>
    <xf numFmtId="0" fontId="89" fillId="0" borderId="13" xfId="0" applyFont="1" applyBorder="1" applyAlignment="1">
      <alignment horizontal="left" vertical="center" wrapText="1"/>
    </xf>
    <xf numFmtId="9" fontId="89" fillId="0" borderId="13" xfId="79" applyFont="1" applyFill="1" applyBorder="1" applyAlignment="1">
      <alignment horizontal="center" vertical="center" wrapText="1"/>
    </xf>
    <xf numFmtId="9" fontId="89" fillId="0" borderId="13" xfId="0" applyNumberFormat="1" applyFont="1" applyBorder="1" applyAlignment="1">
      <alignment vertical="center"/>
    </xf>
    <xf numFmtId="9" fontId="89" fillId="0" borderId="13" xfId="79" applyFont="1" applyFill="1" applyBorder="1" applyAlignment="1">
      <alignment vertical="center"/>
    </xf>
    <xf numFmtId="9" fontId="89" fillId="0" borderId="13" xfId="0" applyNumberFormat="1" applyFont="1" applyFill="1" applyBorder="1" applyAlignment="1">
      <alignment vertical="center"/>
    </xf>
    <xf numFmtId="0" fontId="89" fillId="0" borderId="13" xfId="0" applyFont="1" applyFill="1" applyBorder="1" applyAlignment="1">
      <alignment vertical="center"/>
    </xf>
    <xf numFmtId="10" fontId="10" fillId="11" borderId="13" xfId="79" applyNumberFormat="1" applyFont="1" applyFill="1" applyBorder="1" applyAlignment="1" applyProtection="1">
      <alignment horizontal="center" vertical="center" wrapText="1"/>
      <protection locked="0"/>
    </xf>
    <xf numFmtId="0" fontId="89" fillId="0" borderId="13" xfId="79" applyNumberFormat="1" applyFont="1" applyBorder="1" applyAlignment="1">
      <alignment vertical="center" wrapText="1"/>
    </xf>
    <xf numFmtId="9" fontId="89" fillId="0" borderId="13" xfId="79" applyFont="1" applyBorder="1" applyAlignment="1">
      <alignment vertical="center" wrapText="1"/>
    </xf>
    <xf numFmtId="9" fontId="10" fillId="11" borderId="38" xfId="81" applyFont="1" applyFill="1" applyBorder="1" applyAlignment="1" applyProtection="1">
      <alignment horizontal="center" vertical="center" wrapText="1"/>
      <protection/>
    </xf>
    <xf numFmtId="0" fontId="10" fillId="0" borderId="13" xfId="0" applyFont="1" applyBorder="1" applyAlignment="1">
      <alignment horizontal="left" vertical="center" wrapText="1"/>
    </xf>
    <xf numFmtId="0" fontId="93" fillId="38" borderId="13" xfId="79" applyNumberFormat="1" applyFont="1" applyFill="1" applyBorder="1" applyAlignment="1">
      <alignment horizontal="center" vertical="center"/>
    </xf>
    <xf numFmtId="0" fontId="93" fillId="0" borderId="13" xfId="79" applyNumberFormat="1" applyFont="1" applyBorder="1" applyAlignment="1">
      <alignment horizontal="center" vertical="center"/>
    </xf>
    <xf numFmtId="0" fontId="27" fillId="0" borderId="13" xfId="0" applyFont="1" applyBorder="1" applyAlignment="1">
      <alignment vertical="center" wrapText="1"/>
    </xf>
    <xf numFmtId="0" fontId="27" fillId="0" borderId="13" xfId="0" applyFont="1" applyBorder="1" applyAlignment="1">
      <alignment vertical="top" wrapText="1"/>
    </xf>
    <xf numFmtId="0" fontId="27" fillId="38" borderId="13" xfId="0" applyFont="1" applyFill="1" applyBorder="1" applyAlignment="1">
      <alignment vertical="center" wrapText="1"/>
    </xf>
    <xf numFmtId="1" fontId="89" fillId="0" borderId="13" xfId="0" applyNumberFormat="1" applyFont="1" applyBorder="1" applyAlignment="1">
      <alignment vertical="center"/>
    </xf>
    <xf numFmtId="189" fontId="0" fillId="0" borderId="13" xfId="58" applyNumberFormat="1" applyFont="1" applyFill="1" applyBorder="1" applyAlignment="1">
      <alignment vertical="center"/>
    </xf>
    <xf numFmtId="207" fontId="0" fillId="0" borderId="13" xfId="58" applyNumberFormat="1" applyFont="1" applyFill="1" applyBorder="1" applyAlignment="1">
      <alignment vertical="center"/>
    </xf>
    <xf numFmtId="0" fontId="99" fillId="44" borderId="13" xfId="79" applyNumberFormat="1" applyFont="1" applyFill="1" applyBorder="1" applyAlignment="1">
      <alignment horizontal="left" vertical="center" wrapText="1"/>
    </xf>
    <xf numFmtId="189" fontId="89" fillId="0" borderId="13" xfId="58" applyNumberFormat="1" applyFont="1" applyBorder="1" applyAlignment="1">
      <alignment horizontal="center" vertical="center"/>
    </xf>
    <xf numFmtId="9" fontId="89" fillId="0" borderId="13" xfId="79" applyFont="1" applyFill="1" applyBorder="1" applyAlignment="1">
      <alignment vertical="center" wrapText="1"/>
    </xf>
    <xf numFmtId="9" fontId="100" fillId="0" borderId="13" xfId="79" applyFont="1" applyFill="1" applyBorder="1" applyAlignment="1">
      <alignment vertical="center" wrapText="1"/>
    </xf>
    <xf numFmtId="0" fontId="10" fillId="38" borderId="13" xfId="79" applyNumberFormat="1" applyFont="1" applyFill="1" applyBorder="1" applyAlignment="1">
      <alignment vertical="center" wrapText="1"/>
    </xf>
    <xf numFmtId="9" fontId="10" fillId="0" borderId="13" xfId="79" applyFont="1" applyFill="1" applyBorder="1" applyAlignment="1">
      <alignment vertical="center" wrapText="1"/>
    </xf>
    <xf numFmtId="0" fontId="11" fillId="5" borderId="13" xfId="72" applyFont="1" applyFill="1" applyBorder="1" applyAlignment="1">
      <alignment horizontal="center" vertical="center" wrapText="1"/>
      <protection/>
    </xf>
    <xf numFmtId="0" fontId="91" fillId="11" borderId="13" xfId="0" applyFont="1" applyFill="1" applyBorder="1" applyAlignment="1">
      <alignment horizontal="center" vertical="center" wrapText="1"/>
    </xf>
    <xf numFmtId="9" fontId="10" fillId="0" borderId="13" xfId="76" applyNumberFormat="1" applyFont="1" applyBorder="1" applyAlignment="1">
      <alignment horizontal="center" vertical="center"/>
      <protection/>
    </xf>
    <xf numFmtId="0" fontId="10" fillId="0" borderId="13" xfId="79" applyNumberFormat="1" applyFont="1" applyBorder="1" applyAlignment="1">
      <alignment vertical="center" wrapText="1"/>
    </xf>
    <xf numFmtId="0" fontId="89" fillId="0" borderId="13" xfId="79" applyNumberFormat="1" applyFont="1" applyFill="1" applyBorder="1" applyAlignment="1">
      <alignment vertical="center" wrapText="1"/>
    </xf>
    <xf numFmtId="9" fontId="4" fillId="0" borderId="13" xfId="0" applyNumberFormat="1" applyFont="1" applyFill="1" applyBorder="1" applyAlignment="1">
      <alignment vertical="center" wrapText="1"/>
    </xf>
    <xf numFmtId="0" fontId="10" fillId="0" borderId="13" xfId="79" applyNumberFormat="1" applyFont="1" applyFill="1" applyBorder="1" applyAlignment="1">
      <alignment horizontal="center" vertical="center" wrapText="1"/>
    </xf>
    <xf numFmtId="0" fontId="0" fillId="0" borderId="0" xfId="0" applyFill="1" applyAlignment="1">
      <alignment vertical="center" wrapText="1"/>
    </xf>
    <xf numFmtId="0" fontId="10" fillId="0" borderId="13" xfId="79" applyNumberFormat="1" applyFont="1" applyFill="1" applyBorder="1" applyAlignment="1">
      <alignment horizontal="center" vertical="center"/>
    </xf>
    <xf numFmtId="0" fontId="0" fillId="0" borderId="13" xfId="0" applyFill="1" applyBorder="1" applyAlignment="1">
      <alignment vertical="center" wrapText="1"/>
    </xf>
    <xf numFmtId="9" fontId="89" fillId="0" borderId="13" xfId="79" applyFont="1" applyFill="1" applyBorder="1" applyAlignment="1">
      <alignment horizontal="left" vertical="center" wrapText="1"/>
    </xf>
    <xf numFmtId="9" fontId="10" fillId="0" borderId="22" xfId="72" applyNumberFormat="1" applyFont="1" applyFill="1" applyBorder="1" applyAlignment="1">
      <alignment horizontal="center" vertical="center" wrapText="1"/>
      <protection/>
    </xf>
    <xf numFmtId="0" fontId="10" fillId="0" borderId="13" xfId="79" applyNumberFormat="1" applyFont="1" applyFill="1" applyBorder="1" applyAlignment="1">
      <alignment vertical="center" wrapText="1"/>
    </xf>
    <xf numFmtId="0" fontId="10" fillId="0" borderId="13" xfId="0" applyFont="1" applyFill="1" applyBorder="1" applyAlignment="1">
      <alignment vertical="center" wrapText="1"/>
    </xf>
    <xf numFmtId="9" fontId="10" fillId="0" borderId="13" xfId="0" applyNumberFormat="1" applyFont="1" applyBorder="1" applyAlignment="1">
      <alignment vertical="center"/>
    </xf>
    <xf numFmtId="9" fontId="10" fillId="0" borderId="13" xfId="0" applyNumberFormat="1" applyFont="1" applyBorder="1" applyAlignment="1">
      <alignment horizontal="center" vertical="center"/>
    </xf>
    <xf numFmtId="9" fontId="10" fillId="0" borderId="13" xfId="79" applyFont="1" applyBorder="1" applyAlignment="1">
      <alignment horizontal="center" vertical="center"/>
    </xf>
    <xf numFmtId="0" fontId="10" fillId="0" borderId="13" xfId="79" applyNumberFormat="1" applyFont="1" applyFill="1" applyBorder="1" applyAlignment="1">
      <alignment horizontal="justify" vertical="center" wrapText="1"/>
    </xf>
    <xf numFmtId="0" fontId="10" fillId="0" borderId="17" xfId="79" applyNumberFormat="1" applyFont="1" applyBorder="1" applyAlignment="1">
      <alignment vertical="center" wrapText="1"/>
    </xf>
    <xf numFmtId="10" fontId="89" fillId="38" borderId="13" xfId="0" applyNumberFormat="1" applyFont="1" applyFill="1" applyBorder="1" applyAlignment="1">
      <alignment vertical="center"/>
    </xf>
    <xf numFmtId="0" fontId="101" fillId="0" borderId="13" xfId="79" applyNumberFormat="1" applyFont="1" applyFill="1" applyBorder="1" applyAlignment="1">
      <alignment horizontal="left" vertical="center" wrapText="1"/>
    </xf>
    <xf numFmtId="0" fontId="101" fillId="0" borderId="13" xfId="79" applyNumberFormat="1" applyFont="1" applyFill="1" applyBorder="1" applyAlignment="1">
      <alignment horizontal="left" vertical="top" wrapText="1"/>
    </xf>
    <xf numFmtId="0" fontId="99" fillId="0" borderId="13" xfId="79" applyNumberFormat="1" applyFont="1" applyFill="1" applyBorder="1" applyAlignment="1">
      <alignment vertical="center" wrapText="1"/>
    </xf>
    <xf numFmtId="0" fontId="99" fillId="0" borderId="13" xfId="0" applyFont="1" applyBorder="1" applyAlignment="1">
      <alignment vertical="center" wrapText="1"/>
    </xf>
    <xf numFmtId="0" fontId="90" fillId="38" borderId="13" xfId="0" applyFont="1" applyFill="1" applyBorder="1" applyAlignment="1">
      <alignment vertical="center"/>
    </xf>
    <xf numFmtId="9" fontId="10" fillId="38" borderId="13" xfId="79" applyFont="1" applyFill="1" applyBorder="1" applyAlignment="1">
      <alignment vertical="center"/>
    </xf>
    <xf numFmtId="9" fontId="10" fillId="38" borderId="13" xfId="0" applyNumberFormat="1" applyFont="1" applyFill="1" applyBorder="1" applyAlignment="1">
      <alignment vertical="center"/>
    </xf>
    <xf numFmtId="9" fontId="93" fillId="0" borderId="13" xfId="79" applyFont="1" applyFill="1" applyBorder="1" applyAlignment="1">
      <alignment vertical="center" wrapText="1"/>
    </xf>
    <xf numFmtId="0" fontId="93" fillId="38" borderId="13" xfId="79" applyNumberFormat="1" applyFont="1" applyFill="1" applyBorder="1" applyAlignment="1">
      <alignment vertical="center" wrapText="1"/>
    </xf>
    <xf numFmtId="2" fontId="89" fillId="0" borderId="13" xfId="0" applyNumberFormat="1" applyFont="1" applyFill="1" applyBorder="1" applyAlignment="1">
      <alignment vertical="center"/>
    </xf>
    <xf numFmtId="9" fontId="4" fillId="0" borderId="13" xfId="0" applyNumberFormat="1" applyFont="1" applyFill="1" applyBorder="1" applyAlignment="1">
      <alignment horizontal="center" vertical="center" wrapText="1"/>
    </xf>
    <xf numFmtId="2" fontId="10" fillId="0" borderId="37" xfId="72" applyNumberFormat="1" applyFont="1" applyFill="1" applyBorder="1" applyAlignment="1" applyProtection="1">
      <alignment vertical="center" wrapText="1"/>
      <protection/>
    </xf>
    <xf numFmtId="0" fontId="0" fillId="0" borderId="63" xfId="0" applyFont="1" applyFill="1" applyBorder="1" applyAlignment="1">
      <alignment vertical="center" wrapText="1"/>
    </xf>
    <xf numFmtId="2" fontId="10" fillId="0" borderId="22" xfId="72" applyNumberFormat="1" applyFont="1" applyFill="1" applyBorder="1" applyAlignment="1" applyProtection="1">
      <alignment horizontal="center" vertical="center" wrapText="1"/>
      <protection/>
    </xf>
    <xf numFmtId="2" fontId="10" fillId="0" borderId="57" xfId="72" applyNumberFormat="1" applyFont="1" applyFill="1" applyBorder="1" applyAlignment="1" applyProtection="1">
      <alignment horizontal="center" vertical="center" wrapText="1"/>
      <protection/>
    </xf>
    <xf numFmtId="9" fontId="90" fillId="0" borderId="64" xfId="72" applyNumberFormat="1" applyFont="1" applyFill="1" applyBorder="1" applyAlignment="1" applyProtection="1">
      <alignment horizontal="center" vertical="center" wrapText="1"/>
      <protection/>
    </xf>
    <xf numFmtId="9" fontId="90" fillId="0" borderId="41" xfId="72" applyNumberFormat="1" applyFont="1" applyFill="1" applyBorder="1" applyAlignment="1" applyProtection="1">
      <alignment horizontal="center" vertical="center" wrapText="1"/>
      <protection/>
    </xf>
    <xf numFmtId="9" fontId="90" fillId="0" borderId="65" xfId="72" applyNumberFormat="1" applyFont="1" applyFill="1" applyBorder="1" applyAlignment="1" applyProtection="1">
      <alignment horizontal="center" vertical="center" wrapText="1"/>
      <protection/>
    </xf>
    <xf numFmtId="9" fontId="90" fillId="0" borderId="58" xfId="72" applyNumberFormat="1" applyFont="1" applyFill="1" applyBorder="1" applyAlignment="1" applyProtection="1">
      <alignment horizontal="center" vertical="center" wrapText="1"/>
      <protection/>
    </xf>
    <xf numFmtId="9" fontId="90" fillId="0" borderId="34" xfId="72" applyNumberFormat="1" applyFont="1" applyFill="1" applyBorder="1" applyAlignment="1" applyProtection="1">
      <alignment horizontal="center" vertical="center" wrapText="1"/>
      <protection/>
    </xf>
    <xf numFmtId="9" fontId="90" fillId="0" borderId="35" xfId="72" applyNumberFormat="1" applyFont="1" applyFill="1" applyBorder="1" applyAlignment="1" applyProtection="1">
      <alignment horizontal="center" vertical="center" wrapText="1"/>
      <protection/>
    </xf>
    <xf numFmtId="2" fontId="10" fillId="0" borderId="20" xfId="72" applyNumberFormat="1" applyFont="1" applyFill="1" applyBorder="1" applyAlignment="1" applyProtection="1">
      <alignment vertical="center" wrapText="1"/>
      <protection/>
    </xf>
    <xf numFmtId="2" fontId="10" fillId="0" borderId="16" xfId="72" applyNumberFormat="1" applyFont="1" applyFill="1" applyBorder="1" applyAlignment="1" applyProtection="1">
      <alignment horizontal="center" vertical="center" wrapText="1"/>
      <protection/>
    </xf>
    <xf numFmtId="9" fontId="90" fillId="0" borderId="66" xfId="72" applyNumberFormat="1" applyFont="1" applyFill="1" applyBorder="1" applyAlignment="1" applyProtection="1">
      <alignment horizontal="center" vertical="center" wrapText="1"/>
      <protection/>
    </xf>
    <xf numFmtId="9" fontId="90" fillId="0" borderId="0" xfId="72" applyNumberFormat="1" applyFont="1" applyFill="1" applyBorder="1" applyAlignment="1" applyProtection="1">
      <alignment horizontal="center" vertical="center" wrapText="1"/>
      <protection/>
    </xf>
    <xf numFmtId="9" fontId="90" fillId="0" borderId="29" xfId="72" applyNumberFormat="1" applyFont="1" applyFill="1" applyBorder="1" applyAlignment="1" applyProtection="1">
      <alignment horizontal="center" vertical="center" wrapText="1"/>
      <protection/>
    </xf>
    <xf numFmtId="2" fontId="10" fillId="0" borderId="37" xfId="72" applyNumberFormat="1"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horizontal="center" vertical="center" wrapText="1"/>
      <protection/>
    </xf>
    <xf numFmtId="0" fontId="11" fillId="5" borderId="67" xfId="72" applyFont="1" applyFill="1" applyBorder="1" applyAlignment="1" applyProtection="1">
      <alignment horizontal="center" vertical="center" wrapText="1"/>
      <protection/>
    </xf>
    <xf numFmtId="0" fontId="11" fillId="5" borderId="20" xfId="72" applyFont="1" applyFill="1" applyBorder="1" applyAlignment="1" applyProtection="1">
      <alignment horizontal="center" vertical="center" wrapText="1"/>
      <protection/>
    </xf>
    <xf numFmtId="0" fontId="11" fillId="5" borderId="68" xfId="72" applyFont="1" applyFill="1" applyBorder="1" applyAlignment="1" applyProtection="1">
      <alignment horizontal="center" vertical="center" wrapText="1"/>
      <protection/>
    </xf>
    <xf numFmtId="0" fontId="11" fillId="5" borderId="16" xfId="72" applyFont="1" applyFill="1" applyBorder="1" applyAlignment="1" applyProtection="1">
      <alignment horizontal="center" vertical="center" wrapText="1"/>
      <protection/>
    </xf>
    <xf numFmtId="0" fontId="11" fillId="5" borderId="69" xfId="72" applyFont="1" applyFill="1" applyBorder="1" applyAlignment="1" applyProtection="1">
      <alignment horizontal="center" vertical="center" wrapText="1"/>
      <protection/>
    </xf>
    <xf numFmtId="0" fontId="11" fillId="5" borderId="59" xfId="72" applyFont="1" applyFill="1" applyBorder="1" applyAlignment="1" applyProtection="1">
      <alignment horizontal="center" vertical="center" wrapText="1"/>
      <protection/>
    </xf>
    <xf numFmtId="0" fontId="11" fillId="5" borderId="60" xfId="72" applyFont="1" applyFill="1" applyBorder="1" applyAlignment="1" applyProtection="1">
      <alignment horizontal="center" vertical="center" wrapText="1"/>
      <protection/>
    </xf>
    <xf numFmtId="0" fontId="11" fillId="5" borderId="62" xfId="72" applyFont="1" applyFill="1" applyBorder="1" applyAlignment="1" applyProtection="1">
      <alignment horizontal="center" vertical="center" wrapText="1"/>
      <protection/>
    </xf>
    <xf numFmtId="0" fontId="11" fillId="5" borderId="14" xfId="72" applyFont="1" applyFill="1" applyBorder="1" applyAlignment="1" applyProtection="1">
      <alignment horizontal="center" vertical="center" wrapText="1"/>
      <protection/>
    </xf>
    <xf numFmtId="0" fontId="11" fillId="5" borderId="70" xfId="72" applyFont="1" applyFill="1" applyBorder="1" applyAlignment="1" applyProtection="1">
      <alignment horizontal="center" vertical="center" wrapText="1"/>
      <protection/>
    </xf>
    <xf numFmtId="0" fontId="11" fillId="5" borderId="45" xfId="72" applyFont="1" applyFill="1" applyBorder="1" applyAlignment="1" applyProtection="1">
      <alignment horizontal="center" vertical="center" wrapText="1"/>
      <protection/>
    </xf>
    <xf numFmtId="2" fontId="10" fillId="0" borderId="51" xfId="72" applyNumberFormat="1" applyFont="1" applyFill="1" applyBorder="1" applyAlignment="1" applyProtection="1">
      <alignment vertical="center" wrapText="1"/>
      <protection/>
    </xf>
    <xf numFmtId="2" fontId="10" fillId="0" borderId="54" xfId="72" applyNumberFormat="1" applyFont="1" applyFill="1" applyBorder="1" applyAlignment="1" applyProtection="1">
      <alignment horizontal="center" vertical="center" wrapText="1"/>
      <protection/>
    </xf>
    <xf numFmtId="9" fontId="90" fillId="0" borderId="64" xfId="72" applyNumberFormat="1" applyFont="1" applyFill="1" applyBorder="1" applyAlignment="1" applyProtection="1">
      <alignment horizontal="left" vertical="center" wrapText="1"/>
      <protection/>
    </xf>
    <xf numFmtId="9" fontId="90" fillId="0" borderId="41" xfId="72" applyNumberFormat="1" applyFont="1" applyFill="1" applyBorder="1" applyAlignment="1" applyProtection="1">
      <alignment horizontal="left" vertical="center" wrapText="1"/>
      <protection/>
    </xf>
    <xf numFmtId="9" fontId="90" fillId="0" borderId="65" xfId="72" applyNumberFormat="1" applyFont="1" applyFill="1" applyBorder="1" applyAlignment="1" applyProtection="1">
      <alignment horizontal="left" vertical="center" wrapText="1"/>
      <protection/>
    </xf>
    <xf numFmtId="9" fontId="90" fillId="0" borderId="66" xfId="72" applyNumberFormat="1" applyFont="1" applyFill="1" applyBorder="1" applyAlignment="1" applyProtection="1">
      <alignment horizontal="left" vertical="center" wrapText="1"/>
      <protection/>
    </xf>
    <xf numFmtId="9" fontId="90" fillId="0" borderId="0" xfId="72" applyNumberFormat="1" applyFont="1" applyFill="1" applyBorder="1" applyAlignment="1" applyProtection="1">
      <alignment horizontal="left" vertical="center" wrapText="1"/>
      <protection/>
    </xf>
    <xf numFmtId="9" fontId="90" fillId="0" borderId="29" xfId="72" applyNumberFormat="1" applyFont="1" applyFill="1" applyBorder="1" applyAlignment="1" applyProtection="1">
      <alignment horizontal="left" vertical="center" wrapText="1"/>
      <protection/>
    </xf>
    <xf numFmtId="0" fontId="11" fillId="0" borderId="37" xfId="72" applyFont="1" applyFill="1" applyBorder="1" applyAlignment="1" applyProtection="1">
      <alignment horizontal="center" vertical="center" wrapText="1"/>
      <protection/>
    </xf>
    <xf numFmtId="0" fontId="11" fillId="0" borderId="63" xfId="72" applyFont="1" applyFill="1" applyBorder="1" applyAlignment="1" applyProtection="1">
      <alignment horizontal="center" vertical="center" wrapText="1"/>
      <protection/>
    </xf>
    <xf numFmtId="0" fontId="11" fillId="0" borderId="22" xfId="72" applyFont="1" applyFill="1" applyBorder="1" applyAlignment="1" applyProtection="1">
      <alignment horizontal="center" vertical="center" wrapText="1"/>
      <protection/>
    </xf>
    <xf numFmtId="0" fontId="11" fillId="0" borderId="57" xfId="72" applyFont="1" applyFill="1" applyBorder="1" applyAlignment="1" applyProtection="1">
      <alignment horizontal="center" vertical="center" wrapText="1"/>
      <protection/>
    </xf>
    <xf numFmtId="9" fontId="90" fillId="0" borderId="64" xfId="81" applyFont="1" applyFill="1" applyBorder="1" applyAlignment="1" applyProtection="1">
      <alignment horizontal="center" vertical="center" wrapText="1"/>
      <protection/>
    </xf>
    <xf numFmtId="9" fontId="90" fillId="0" borderId="41" xfId="81" applyFont="1" applyFill="1" applyBorder="1" applyAlignment="1" applyProtection="1">
      <alignment horizontal="center" vertical="center" wrapText="1"/>
      <protection/>
    </xf>
    <xf numFmtId="9" fontId="90" fillId="0" borderId="42" xfId="81" applyFont="1" applyFill="1" applyBorder="1" applyAlignment="1" applyProtection="1">
      <alignment horizontal="center" vertical="center" wrapText="1"/>
      <protection/>
    </xf>
    <xf numFmtId="9" fontId="90" fillId="0" borderId="58" xfId="81" applyFont="1" applyFill="1" applyBorder="1" applyAlignment="1" applyProtection="1">
      <alignment horizontal="center" vertical="center" wrapText="1"/>
      <protection/>
    </xf>
    <xf numFmtId="9" fontId="90" fillId="0" borderId="34" xfId="81" applyFont="1" applyFill="1" applyBorder="1" applyAlignment="1" applyProtection="1">
      <alignment horizontal="center" vertical="center" wrapText="1"/>
      <protection/>
    </xf>
    <xf numFmtId="9" fontId="90" fillId="0" borderId="71" xfId="81" applyFont="1" applyFill="1" applyBorder="1" applyAlignment="1" applyProtection="1">
      <alignment horizontal="center" vertical="center" wrapText="1"/>
      <protection/>
    </xf>
    <xf numFmtId="9" fontId="90" fillId="0" borderId="65" xfId="81" applyFont="1" applyFill="1" applyBorder="1" applyAlignment="1" applyProtection="1">
      <alignment horizontal="center" vertical="center" wrapText="1"/>
      <protection/>
    </xf>
    <xf numFmtId="9" fontId="90" fillId="0" borderId="35" xfId="81" applyFont="1" applyFill="1" applyBorder="1" applyAlignment="1" applyProtection="1">
      <alignment horizontal="center" vertical="center" wrapText="1"/>
      <protection/>
    </xf>
    <xf numFmtId="0" fontId="11" fillId="5" borderId="13" xfId="72" applyFont="1" applyFill="1" applyBorder="1" applyAlignment="1" applyProtection="1">
      <alignment horizontal="center" vertical="center" wrapText="1"/>
      <protection/>
    </xf>
    <xf numFmtId="3" fontId="11" fillId="0" borderId="64" xfId="72" applyNumberFormat="1" applyFont="1" applyFill="1" applyBorder="1" applyAlignment="1" applyProtection="1">
      <alignment horizontal="center" vertical="center" wrapText="1"/>
      <protection/>
    </xf>
    <xf numFmtId="3" fontId="11" fillId="0" borderId="42" xfId="72" applyNumberFormat="1" applyFont="1" applyFill="1" applyBorder="1" applyAlignment="1" applyProtection="1">
      <alignment horizontal="center" vertical="center" wrapText="1"/>
      <protection/>
    </xf>
    <xf numFmtId="0" fontId="90" fillId="0" borderId="13" xfId="72" applyFont="1" applyFill="1" applyBorder="1" applyAlignment="1" applyProtection="1">
      <alignment horizontal="left" vertical="center" wrapText="1"/>
      <protection/>
    </xf>
    <xf numFmtId="0" fontId="90" fillId="0" borderId="21" xfId="72" applyFont="1" applyFill="1" applyBorder="1" applyAlignment="1" applyProtection="1">
      <alignment horizontal="left" vertical="center" wrapText="1"/>
      <protection/>
    </xf>
    <xf numFmtId="0" fontId="11" fillId="0" borderId="67" xfId="72" applyFont="1" applyFill="1" applyBorder="1" applyAlignment="1" applyProtection="1">
      <alignment horizontal="center" vertical="center" wrapText="1"/>
      <protection/>
    </xf>
    <xf numFmtId="0" fontId="11" fillId="0" borderId="69" xfId="72" applyFont="1" applyFill="1" applyBorder="1" applyAlignment="1" applyProtection="1">
      <alignment horizontal="center" vertical="center" wrapText="1"/>
      <protection/>
    </xf>
    <xf numFmtId="0" fontId="11" fillId="0" borderId="72" xfId="72" applyFont="1" applyFill="1" applyBorder="1" applyAlignment="1" applyProtection="1">
      <alignment horizontal="center" vertical="center" wrapText="1"/>
      <protection/>
    </xf>
    <xf numFmtId="0" fontId="10" fillId="5" borderId="13" xfId="72" applyFont="1" applyFill="1" applyBorder="1" applyAlignment="1" applyProtection="1">
      <alignment horizontal="center" vertical="center" wrapText="1"/>
      <protection/>
    </xf>
    <xf numFmtId="0" fontId="11" fillId="5" borderId="21" xfId="72" applyFont="1" applyFill="1" applyBorder="1" applyAlignment="1" applyProtection="1">
      <alignment horizontal="center" vertical="center" wrapText="1"/>
      <protection/>
    </xf>
    <xf numFmtId="0" fontId="11" fillId="5" borderId="39" xfId="72" applyFont="1" applyFill="1" applyBorder="1" applyAlignment="1" applyProtection="1">
      <alignment horizontal="center" vertical="center" wrapText="1"/>
      <protection/>
    </xf>
    <xf numFmtId="0" fontId="11" fillId="5" borderId="15" xfId="72" applyFont="1" applyFill="1" applyBorder="1" applyAlignment="1" applyProtection="1">
      <alignment horizontal="center" vertical="center" wrapText="1"/>
      <protection/>
    </xf>
    <xf numFmtId="0" fontId="11" fillId="5" borderId="44" xfId="72" applyFont="1" applyFill="1" applyBorder="1" applyAlignment="1" applyProtection="1">
      <alignment horizontal="center" vertical="center" wrapText="1"/>
      <protection/>
    </xf>
    <xf numFmtId="0" fontId="11" fillId="5" borderId="19" xfId="72" applyFont="1" applyFill="1" applyBorder="1" applyAlignment="1" applyProtection="1">
      <alignment horizontal="center" vertical="center" wrapText="1"/>
      <protection/>
    </xf>
    <xf numFmtId="0" fontId="11" fillId="5" borderId="49" xfId="72" applyFont="1" applyFill="1" applyBorder="1" applyAlignment="1" applyProtection="1">
      <alignment horizontal="center" vertical="center" wrapText="1"/>
      <protection/>
    </xf>
    <xf numFmtId="0" fontId="11" fillId="5" borderId="18" xfId="72" applyFont="1" applyFill="1" applyBorder="1" applyAlignment="1" applyProtection="1">
      <alignment horizontal="center" vertical="center" wrapText="1"/>
      <protection/>
    </xf>
    <xf numFmtId="0" fontId="11" fillId="5" borderId="64" xfId="72" applyFont="1" applyFill="1" applyBorder="1" applyAlignment="1" applyProtection="1">
      <alignment horizontal="center" vertical="center" wrapText="1"/>
      <protection/>
    </xf>
    <xf numFmtId="0" fontId="11" fillId="5" borderId="42" xfId="72" applyFont="1" applyFill="1" applyBorder="1" applyAlignment="1" applyProtection="1">
      <alignment horizontal="center" vertical="center" wrapText="1"/>
      <protection/>
    </xf>
    <xf numFmtId="0" fontId="11" fillId="5" borderId="17" xfId="72" applyFont="1" applyFill="1" applyBorder="1" applyAlignment="1" applyProtection="1">
      <alignment horizontal="center" vertical="center" wrapText="1"/>
      <protection/>
    </xf>
    <xf numFmtId="0" fontId="11" fillId="0" borderId="46" xfId="72" applyFont="1" applyFill="1" applyBorder="1" applyAlignment="1">
      <alignment horizontal="center" vertical="center" wrapText="1"/>
      <protection/>
    </xf>
    <xf numFmtId="0" fontId="11" fillId="0" borderId="47" xfId="72" applyFont="1" applyFill="1" applyBorder="1" applyAlignment="1">
      <alignment horizontal="center" vertical="center" wrapText="1"/>
      <protection/>
    </xf>
    <xf numFmtId="0" fontId="11" fillId="0" borderId="48" xfId="72" applyFont="1" applyFill="1" applyBorder="1" applyAlignment="1">
      <alignment horizontal="center" vertical="center" wrapText="1"/>
      <protection/>
    </xf>
    <xf numFmtId="0" fontId="11" fillId="5" borderId="73" xfId="72" applyFont="1" applyFill="1" applyBorder="1" applyAlignment="1">
      <alignment horizontal="center" vertical="center" wrapText="1"/>
      <protection/>
    </xf>
    <xf numFmtId="0" fontId="11" fillId="5" borderId="74" xfId="72" applyFont="1" applyFill="1" applyBorder="1" applyAlignment="1">
      <alignment horizontal="center" vertical="center" wrapText="1"/>
      <protection/>
    </xf>
    <xf numFmtId="9" fontId="11" fillId="0" borderId="73" xfId="79" applyFont="1" applyFill="1" applyBorder="1" applyAlignment="1" applyProtection="1">
      <alignment horizontal="center" vertical="center" wrapText="1"/>
      <protection/>
    </xf>
    <xf numFmtId="9" fontId="11" fillId="0" borderId="74" xfId="79" applyFont="1" applyFill="1" applyBorder="1" applyAlignment="1" applyProtection="1">
      <alignment horizontal="center" vertical="center" wrapText="1"/>
      <protection/>
    </xf>
    <xf numFmtId="0" fontId="11" fillId="5" borderId="75" xfId="72" applyFont="1" applyFill="1" applyBorder="1" applyAlignment="1" applyProtection="1">
      <alignment horizontal="center" vertical="center" wrapText="1"/>
      <protection/>
    </xf>
    <xf numFmtId="0" fontId="11" fillId="5" borderId="74" xfId="72" applyFont="1" applyFill="1" applyBorder="1" applyAlignment="1" applyProtection="1">
      <alignment horizontal="center" vertical="center" wrapText="1"/>
      <protection/>
    </xf>
    <xf numFmtId="0" fontId="11" fillId="5" borderId="73" xfId="72" applyFont="1" applyFill="1" applyBorder="1" applyAlignment="1">
      <alignment horizontal="left" vertical="center" wrapText="1"/>
      <protection/>
    </xf>
    <xf numFmtId="0" fontId="11" fillId="5" borderId="74" xfId="72" applyFont="1" applyFill="1" applyBorder="1" applyAlignment="1">
      <alignment horizontal="left" vertical="center" wrapText="1"/>
      <protection/>
    </xf>
    <xf numFmtId="0" fontId="88" fillId="0" borderId="76" xfId="0" applyFont="1" applyFill="1" applyBorder="1" applyAlignment="1">
      <alignment horizontal="center" vertical="center" wrapText="1"/>
    </xf>
    <xf numFmtId="0" fontId="88" fillId="0" borderId="77"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88" fillId="0" borderId="78" xfId="0" applyFont="1" applyFill="1" applyBorder="1" applyAlignment="1">
      <alignment horizontal="center" vertical="center" wrapText="1"/>
    </xf>
    <xf numFmtId="0" fontId="88" fillId="0" borderId="62" xfId="0" applyFont="1" applyFill="1" applyBorder="1" applyAlignment="1">
      <alignment horizontal="center" vertical="center" wrapText="1"/>
    </xf>
    <xf numFmtId="0" fontId="11" fillId="38" borderId="67" xfId="72" applyFont="1" applyFill="1" applyBorder="1" applyAlignment="1" applyProtection="1">
      <alignment horizontal="center" vertical="center" wrapText="1"/>
      <protection/>
    </xf>
    <xf numFmtId="0" fontId="11" fillId="38" borderId="61" xfId="72" applyFont="1" applyFill="1" applyBorder="1" applyAlignment="1" applyProtection="1">
      <alignment horizontal="center" vertical="center" wrapText="1"/>
      <protection/>
    </xf>
    <xf numFmtId="0" fontId="11" fillId="38" borderId="69" xfId="72" applyFont="1" applyFill="1" applyBorder="1" applyAlignment="1" applyProtection="1">
      <alignment horizontal="center" vertical="center" wrapText="1"/>
      <protection/>
    </xf>
    <xf numFmtId="0" fontId="11" fillId="38" borderId="72" xfId="72" applyFont="1" applyFill="1" applyBorder="1" applyAlignment="1" applyProtection="1">
      <alignment horizontal="center" vertical="center" wrapText="1"/>
      <protection/>
    </xf>
    <xf numFmtId="0" fontId="11" fillId="5" borderId="50" xfId="72" applyFont="1" applyFill="1" applyBorder="1" applyAlignment="1" applyProtection="1">
      <alignment horizontal="center" vertical="center" wrapText="1"/>
      <protection/>
    </xf>
    <xf numFmtId="0" fontId="11" fillId="5" borderId="40" xfId="72" applyFont="1" applyFill="1" applyBorder="1" applyAlignment="1" applyProtection="1">
      <alignment horizontal="center" vertical="center" wrapText="1"/>
      <protection/>
    </xf>
    <xf numFmtId="0" fontId="11" fillId="0" borderId="73" xfId="72" applyFont="1" applyFill="1" applyBorder="1" applyAlignment="1">
      <alignment horizontal="center" vertical="center" wrapText="1"/>
      <protection/>
    </xf>
    <xf numFmtId="0" fontId="11" fillId="0" borderId="75" xfId="72" applyFont="1" applyFill="1" applyBorder="1" applyAlignment="1">
      <alignment horizontal="center" vertical="center" wrapText="1"/>
      <protection/>
    </xf>
    <xf numFmtId="0" fontId="11" fillId="0" borderId="74" xfId="72" applyFont="1" applyFill="1" applyBorder="1" applyAlignment="1">
      <alignment horizontal="center" vertical="center" wrapText="1"/>
      <protection/>
    </xf>
    <xf numFmtId="0" fontId="11" fillId="38" borderId="34" xfId="72" applyFont="1" applyFill="1" applyBorder="1" applyAlignment="1" applyProtection="1">
      <alignment horizontal="left" vertical="center" wrapText="1"/>
      <protection/>
    </xf>
    <xf numFmtId="0" fontId="10" fillId="0" borderId="73" xfId="72" applyFont="1" applyFill="1" applyBorder="1" applyAlignment="1" applyProtection="1">
      <alignment horizontal="center" vertical="center" wrapText="1"/>
      <protection/>
    </xf>
    <xf numFmtId="0" fontId="10" fillId="0" borderId="75" xfId="72" applyFont="1" applyFill="1" applyBorder="1" applyAlignment="1" applyProtection="1">
      <alignment horizontal="center" vertical="center" wrapText="1"/>
      <protection/>
    </xf>
    <xf numFmtId="0" fontId="10" fillId="0" borderId="74" xfId="72" applyFont="1" applyFill="1" applyBorder="1" applyAlignment="1" applyProtection="1">
      <alignment horizontal="center" vertical="center" wrapText="1"/>
      <protection/>
    </xf>
    <xf numFmtId="0" fontId="11" fillId="0" borderId="50" xfId="72" applyFont="1" applyFill="1" applyBorder="1" applyAlignment="1" applyProtection="1">
      <alignment horizontal="center" vertical="center" wrapText="1"/>
      <protection/>
    </xf>
    <xf numFmtId="0" fontId="11" fillId="0" borderId="38" xfId="72" applyFont="1" applyFill="1" applyBorder="1" applyAlignment="1" applyProtection="1">
      <alignment horizontal="center" vertical="center" wrapText="1"/>
      <protection/>
    </xf>
    <xf numFmtId="0" fontId="11" fillId="0" borderId="52" xfId="72"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02" fillId="0" borderId="79" xfId="0" applyFont="1" applyBorder="1" applyAlignment="1">
      <alignment horizontal="left" vertical="center" wrapText="1"/>
    </xf>
    <xf numFmtId="0" fontId="102" fillId="0" borderId="38" xfId="0" applyFont="1" applyBorder="1" applyAlignment="1">
      <alignment horizontal="left" vertical="center" wrapText="1"/>
    </xf>
    <xf numFmtId="0" fontId="102" fillId="0" borderId="52" xfId="0" applyFont="1" applyBorder="1" applyAlignment="1">
      <alignment horizontal="left" vertical="center" wrapText="1"/>
    </xf>
    <xf numFmtId="0" fontId="11" fillId="5" borderId="80" xfId="72" applyFont="1" applyFill="1" applyBorder="1" applyAlignment="1">
      <alignment horizontal="left" vertical="center" wrapText="1"/>
      <protection/>
    </xf>
    <xf numFmtId="0" fontId="11" fillId="5" borderId="27" xfId="72" applyFont="1" applyFill="1" applyBorder="1" applyAlignment="1">
      <alignment horizontal="left" vertical="center" wrapText="1"/>
      <protection/>
    </xf>
    <xf numFmtId="0" fontId="11" fillId="5" borderId="28" xfId="72" applyFont="1" applyFill="1" applyBorder="1" applyAlignment="1">
      <alignment horizontal="left" vertical="center" wrapText="1"/>
      <protection/>
    </xf>
    <xf numFmtId="0" fontId="11" fillId="5" borderId="29" xfId="72" applyFont="1" applyFill="1" applyBorder="1" applyAlignment="1">
      <alignment horizontal="left" vertical="center" wrapText="1"/>
      <protection/>
    </xf>
    <xf numFmtId="0" fontId="11" fillId="5" borderId="81" xfId="72" applyFont="1" applyFill="1" applyBorder="1" applyAlignment="1">
      <alignment horizontal="left" vertical="center" wrapText="1"/>
      <protection/>
    </xf>
    <xf numFmtId="0" fontId="11" fillId="5" borderId="35" xfId="72" applyFont="1" applyFill="1" applyBorder="1" applyAlignment="1">
      <alignment horizontal="left" vertical="center" wrapText="1"/>
      <protection/>
    </xf>
    <xf numFmtId="0" fontId="11" fillId="5" borderId="26" xfId="72" applyFont="1" applyFill="1" applyBorder="1" applyAlignment="1">
      <alignment horizontal="left" vertical="center" wrapText="1"/>
      <protection/>
    </xf>
    <xf numFmtId="0" fontId="11" fillId="5" borderId="0" xfId="72" applyFont="1" applyFill="1" applyBorder="1" applyAlignment="1">
      <alignment horizontal="left" vertical="center" wrapText="1"/>
      <protection/>
    </xf>
    <xf numFmtId="0" fontId="11" fillId="5" borderId="34" xfId="72" applyFont="1" applyFill="1" applyBorder="1" applyAlignment="1">
      <alignment horizontal="left" vertical="center" wrapText="1"/>
      <protection/>
    </xf>
    <xf numFmtId="0" fontId="94" fillId="0" borderId="80" xfId="0" applyFont="1" applyFill="1" applyBorder="1" applyAlignment="1">
      <alignment horizontal="center" vertical="center"/>
    </xf>
    <xf numFmtId="0" fontId="94" fillId="0" borderId="27" xfId="0" applyFont="1" applyFill="1" applyBorder="1" applyAlignment="1">
      <alignment horizontal="center" vertical="center"/>
    </xf>
    <xf numFmtId="0" fontId="94" fillId="0" borderId="28" xfId="0" applyFont="1" applyFill="1" applyBorder="1" applyAlignment="1">
      <alignment horizontal="center" vertical="center"/>
    </xf>
    <xf numFmtId="0" fontId="94" fillId="0" borderId="29" xfId="0" applyFont="1" applyFill="1" applyBorder="1" applyAlignment="1">
      <alignment horizontal="center" vertical="center"/>
    </xf>
    <xf numFmtId="0" fontId="94" fillId="0" borderId="81" xfId="0" applyFont="1" applyFill="1" applyBorder="1" applyAlignment="1">
      <alignment horizontal="center" vertical="center"/>
    </xf>
    <xf numFmtId="0" fontId="94" fillId="0" borderId="3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88" fillId="0" borderId="82" xfId="0" applyFont="1" applyFill="1" applyBorder="1" applyAlignment="1">
      <alignment horizontal="center" vertical="center" wrapText="1"/>
    </xf>
    <xf numFmtId="0" fontId="88" fillId="0" borderId="45"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80" xfId="72" applyFont="1" applyFill="1" applyBorder="1" applyAlignment="1" applyProtection="1">
      <alignment horizontal="left" vertical="center" wrapText="1"/>
      <protection/>
    </xf>
    <xf numFmtId="0" fontId="11" fillId="5" borderId="27" xfId="72" applyFont="1" applyFill="1" applyBorder="1" applyAlignment="1" applyProtection="1">
      <alignment horizontal="left" vertical="center" wrapText="1"/>
      <protection/>
    </xf>
    <xf numFmtId="0" fontId="11" fillId="5" borderId="28" xfId="72" applyFont="1" applyFill="1" applyBorder="1" applyAlignment="1" applyProtection="1">
      <alignment horizontal="left" vertical="center" wrapText="1"/>
      <protection/>
    </xf>
    <xf numFmtId="0" fontId="11" fillId="5" borderId="29" xfId="72" applyFont="1" applyFill="1" applyBorder="1" applyAlignment="1" applyProtection="1">
      <alignment horizontal="left" vertical="center" wrapText="1"/>
      <protection/>
    </xf>
    <xf numFmtId="0" fontId="11" fillId="5" borderId="81" xfId="72" applyFont="1" applyFill="1" applyBorder="1" applyAlignment="1" applyProtection="1">
      <alignment horizontal="left" vertical="center" wrapText="1"/>
      <protection/>
    </xf>
    <xf numFmtId="0" fontId="11" fillId="5" borderId="35" xfId="72" applyFont="1" applyFill="1" applyBorder="1" applyAlignment="1" applyProtection="1">
      <alignment horizontal="left" vertical="center" wrapText="1"/>
      <protection/>
    </xf>
    <xf numFmtId="0" fontId="103" fillId="0" borderId="83" xfId="0" applyFont="1" applyFill="1" applyBorder="1" applyAlignment="1">
      <alignment horizontal="center" vertical="center"/>
    </xf>
    <xf numFmtId="0" fontId="103" fillId="0" borderId="84" xfId="0" applyFont="1" applyFill="1" applyBorder="1" applyAlignment="1">
      <alignment horizontal="center" vertical="center"/>
    </xf>
    <xf numFmtId="0" fontId="103" fillId="0" borderId="85" xfId="0" applyFont="1" applyFill="1" applyBorder="1" applyAlignment="1">
      <alignment horizontal="center" vertical="center"/>
    </xf>
    <xf numFmtId="0" fontId="11" fillId="5" borderId="73" xfId="72" applyFont="1" applyFill="1" applyBorder="1" applyAlignment="1" applyProtection="1">
      <alignment horizontal="center" vertical="center" wrapText="1"/>
      <protection/>
    </xf>
    <xf numFmtId="0" fontId="11" fillId="0" borderId="80" xfId="72" applyFont="1" applyFill="1" applyBorder="1" applyAlignment="1">
      <alignment horizontal="center" vertical="center" wrapText="1"/>
      <protection/>
    </xf>
    <xf numFmtId="0" fontId="11" fillId="0" borderId="26" xfId="72" applyFont="1" applyFill="1" applyBorder="1" applyAlignment="1">
      <alignment horizontal="center" vertical="center" wrapText="1"/>
      <protection/>
    </xf>
    <xf numFmtId="0" fontId="11" fillId="0" borderId="27" xfId="72" applyFont="1" applyFill="1" applyBorder="1" applyAlignment="1">
      <alignment horizontal="center" vertical="center" wrapText="1"/>
      <protection/>
    </xf>
    <xf numFmtId="0" fontId="11" fillId="0" borderId="28" xfId="72" applyFont="1" applyFill="1" applyBorder="1" applyAlignment="1">
      <alignment horizontal="center" vertical="center" wrapText="1"/>
      <protection/>
    </xf>
    <xf numFmtId="0" fontId="11" fillId="0" borderId="0" xfId="72" applyFont="1" applyFill="1" applyBorder="1" applyAlignment="1">
      <alignment horizontal="center" vertical="center" wrapText="1"/>
      <protection/>
    </xf>
    <xf numFmtId="0" fontId="11" fillId="0" borderId="29" xfId="72" applyFont="1" applyFill="1" applyBorder="1" applyAlignment="1">
      <alignment horizontal="center" vertical="center" wrapText="1"/>
      <protection/>
    </xf>
    <xf numFmtId="0" fontId="11" fillId="0" borderId="81" xfId="72" applyFont="1" applyFill="1" applyBorder="1" applyAlignment="1">
      <alignment horizontal="center" vertical="center" wrapText="1"/>
      <protection/>
    </xf>
    <xf numFmtId="0" fontId="11" fillId="0" borderId="34" xfId="72" applyFont="1" applyFill="1" applyBorder="1" applyAlignment="1">
      <alignment horizontal="center" vertical="center" wrapText="1"/>
      <protection/>
    </xf>
    <xf numFmtId="0" fontId="11" fillId="0" borderId="35" xfId="72" applyFont="1" applyFill="1" applyBorder="1" applyAlignment="1">
      <alignment horizontal="center" vertical="center" wrapText="1"/>
      <protection/>
    </xf>
    <xf numFmtId="0" fontId="11" fillId="5" borderId="75" xfId="72" applyFont="1" applyFill="1" applyBorder="1" applyAlignment="1">
      <alignment horizontal="center" vertical="center" wrapText="1"/>
      <protection/>
    </xf>
    <xf numFmtId="0" fontId="10" fillId="0" borderId="80" xfId="72" applyFont="1" applyFill="1" applyBorder="1" applyAlignment="1" applyProtection="1">
      <alignment horizontal="center" vertical="center" wrapText="1"/>
      <protection/>
    </xf>
    <xf numFmtId="0" fontId="10" fillId="0" borderId="28" xfId="72" applyFont="1" applyFill="1" applyBorder="1" applyAlignment="1" applyProtection="1">
      <alignment horizontal="center" vertical="center" wrapText="1"/>
      <protection/>
    </xf>
    <xf numFmtId="0" fontId="10" fillId="0" borderId="81" xfId="72" applyFont="1" applyFill="1" applyBorder="1" applyAlignment="1" applyProtection="1">
      <alignment horizontal="center" vertical="center" wrapText="1"/>
      <protection/>
    </xf>
    <xf numFmtId="0" fontId="11" fillId="0" borderId="46" xfId="72" applyFont="1" applyFill="1" applyBorder="1" applyAlignment="1" applyProtection="1">
      <alignment horizontal="center" vertical="center"/>
      <protection/>
    </xf>
    <xf numFmtId="0" fontId="11" fillId="0" borderId="47" xfId="72" applyFont="1" applyFill="1" applyBorder="1" applyAlignment="1" applyProtection="1">
      <alignment horizontal="center" vertical="center"/>
      <protection/>
    </xf>
    <xf numFmtId="0" fontId="11" fillId="0" borderId="48" xfId="72" applyFont="1" applyFill="1" applyBorder="1" applyAlignment="1" applyProtection="1">
      <alignment horizontal="center" vertical="center"/>
      <protection/>
    </xf>
    <xf numFmtId="0" fontId="18" fillId="0" borderId="61"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72" xfId="0" applyFont="1" applyFill="1" applyBorder="1" applyAlignment="1">
      <alignment horizontal="left" vertical="center" wrapText="1"/>
    </xf>
    <xf numFmtId="0" fontId="10" fillId="0" borderId="73" xfId="72" applyFont="1" applyFill="1" applyBorder="1" applyAlignment="1">
      <alignment horizontal="center" vertical="center" wrapText="1"/>
      <protection/>
    </xf>
    <xf numFmtId="0" fontId="10" fillId="0" borderId="75" xfId="72" applyFont="1" applyFill="1" applyBorder="1" applyAlignment="1">
      <alignment horizontal="center" vertical="center" wrapText="1"/>
      <protection/>
    </xf>
    <xf numFmtId="0" fontId="10" fillId="0" borderId="74" xfId="72" applyFont="1" applyFill="1" applyBorder="1" applyAlignment="1">
      <alignment horizontal="center" vertical="center" wrapText="1"/>
      <protection/>
    </xf>
    <xf numFmtId="0" fontId="11" fillId="5" borderId="28" xfId="72" applyFont="1" applyFill="1" applyBorder="1" applyAlignment="1" applyProtection="1">
      <alignment horizontal="center" vertical="center" wrapText="1"/>
      <protection/>
    </xf>
    <xf numFmtId="0" fontId="11" fillId="5" borderId="0" xfId="72" applyFont="1" applyFill="1" applyBorder="1" applyAlignment="1" applyProtection="1">
      <alignment horizontal="center" vertical="center" wrapText="1"/>
      <protection/>
    </xf>
    <xf numFmtId="0" fontId="11" fillId="5" borderId="29" xfId="72" applyFont="1" applyFill="1" applyBorder="1" applyAlignment="1" applyProtection="1">
      <alignment horizontal="center" vertical="center" wrapText="1"/>
      <protection/>
    </xf>
    <xf numFmtId="0" fontId="11" fillId="5" borderId="81" xfId="72" applyFont="1" applyFill="1" applyBorder="1" applyAlignment="1" applyProtection="1">
      <alignment horizontal="center" vertical="center" wrapText="1"/>
      <protection/>
    </xf>
    <xf numFmtId="0" fontId="11" fillId="5" borderId="34" xfId="72" applyFont="1" applyFill="1" applyBorder="1" applyAlignment="1" applyProtection="1">
      <alignment horizontal="center" vertical="center" wrapText="1"/>
      <protection/>
    </xf>
    <xf numFmtId="0" fontId="11" fillId="5" borderId="35" xfId="72" applyFont="1" applyFill="1" applyBorder="1" applyAlignment="1" applyProtection="1">
      <alignment horizontal="center" vertical="center" wrapText="1"/>
      <protection/>
    </xf>
    <xf numFmtId="9" fontId="11" fillId="0" borderId="73" xfId="72" applyNumberFormat="1" applyFont="1" applyFill="1" applyBorder="1" applyAlignment="1" applyProtection="1">
      <alignment horizontal="center" vertical="center" wrapText="1"/>
      <protection/>
    </xf>
    <xf numFmtId="9" fontId="11" fillId="0" borderId="74" xfId="72" applyNumberFormat="1" applyFont="1" applyFill="1" applyBorder="1" applyAlignment="1" applyProtection="1">
      <alignment horizontal="center" vertical="center" wrapText="1"/>
      <protection/>
    </xf>
    <xf numFmtId="0" fontId="11" fillId="38" borderId="39" xfId="72" applyFont="1" applyFill="1" applyBorder="1" applyAlignment="1" applyProtection="1">
      <alignment horizontal="center" vertical="center" wrapText="1"/>
      <protection/>
    </xf>
    <xf numFmtId="0" fontId="11" fillId="38" borderId="15" xfId="72" applyFont="1" applyFill="1" applyBorder="1" applyAlignment="1" applyProtection="1">
      <alignment horizontal="center" vertical="center" wrapText="1"/>
      <protection/>
    </xf>
    <xf numFmtId="0" fontId="11" fillId="38" borderId="19" xfId="72" applyFont="1" applyFill="1" applyBorder="1" applyAlignment="1" applyProtection="1">
      <alignment horizontal="center" vertical="center" wrapText="1"/>
      <protection/>
    </xf>
    <xf numFmtId="0" fontId="11" fillId="5" borderId="80" xfId="72" applyFont="1" applyFill="1" applyBorder="1" applyAlignment="1">
      <alignment horizontal="center" vertical="center" wrapText="1"/>
      <protection/>
    </xf>
    <xf numFmtId="0" fontId="11" fillId="5" borderId="27" xfId="72" applyFont="1" applyFill="1" applyBorder="1" applyAlignment="1">
      <alignment horizontal="center" vertical="center" wrapText="1"/>
      <protection/>
    </xf>
    <xf numFmtId="0" fontId="11" fillId="5" borderId="28" xfId="72" applyFont="1" applyFill="1" applyBorder="1" applyAlignment="1">
      <alignment horizontal="center" vertical="center" wrapText="1"/>
      <protection/>
    </xf>
    <xf numFmtId="0" fontId="11" fillId="5" borderId="29" xfId="72" applyFont="1" applyFill="1" applyBorder="1" applyAlignment="1">
      <alignment horizontal="center" vertical="center" wrapText="1"/>
      <protection/>
    </xf>
    <xf numFmtId="0" fontId="11" fillId="5" borderId="81" xfId="72" applyFont="1" applyFill="1" applyBorder="1" applyAlignment="1">
      <alignment horizontal="center" vertical="center" wrapText="1"/>
      <protection/>
    </xf>
    <xf numFmtId="0" fontId="11" fillId="5" borderId="35" xfId="72" applyFont="1" applyFill="1" applyBorder="1" applyAlignment="1">
      <alignment horizontal="center" vertical="center" wrapText="1"/>
      <protection/>
    </xf>
    <xf numFmtId="0" fontId="14" fillId="0" borderId="73" xfId="72" applyFont="1" applyFill="1" applyBorder="1" applyAlignment="1">
      <alignment horizontal="center" vertical="center" wrapText="1"/>
      <protection/>
    </xf>
    <xf numFmtId="0" fontId="14" fillId="0" borderId="75" xfId="72" applyFont="1" applyFill="1" applyBorder="1" applyAlignment="1">
      <alignment horizontal="center" vertical="center" wrapText="1"/>
      <protection/>
    </xf>
    <xf numFmtId="0" fontId="14" fillId="0" borderId="74" xfId="72" applyFont="1" applyFill="1" applyBorder="1" applyAlignment="1">
      <alignment horizontal="center" vertical="center" wrapText="1"/>
      <protection/>
    </xf>
    <xf numFmtId="0" fontId="11" fillId="38" borderId="0" xfId="72" applyFont="1" applyFill="1" applyBorder="1" applyAlignment="1" applyProtection="1">
      <alignment horizontal="center" vertical="center" wrapText="1"/>
      <protection/>
    </xf>
    <xf numFmtId="0" fontId="11" fillId="0" borderId="14" xfId="72" applyFont="1" applyFill="1" applyBorder="1" applyAlignment="1" applyProtection="1">
      <alignment horizontal="center" vertical="center" wrapText="1"/>
      <protection/>
    </xf>
    <xf numFmtId="0" fontId="11" fillId="0" borderId="70" xfId="72" applyFont="1" applyFill="1" applyBorder="1" applyAlignment="1" applyProtection="1">
      <alignment horizontal="center" vertical="center" wrapText="1"/>
      <protection/>
    </xf>
    <xf numFmtId="0" fontId="11" fillId="0" borderId="17" xfId="72" applyFont="1" applyFill="1" applyBorder="1" applyAlignment="1" applyProtection="1">
      <alignment horizontal="center" vertical="center" wrapText="1"/>
      <protection/>
    </xf>
    <xf numFmtId="0" fontId="11" fillId="38" borderId="18" xfId="72" applyFont="1" applyFill="1" applyBorder="1" applyAlignment="1" applyProtection="1">
      <alignment horizontal="center" vertical="center" wrapText="1"/>
      <protection/>
    </xf>
    <xf numFmtId="0" fontId="11" fillId="38" borderId="44" xfId="72" applyFont="1" applyFill="1" applyBorder="1" applyAlignment="1" applyProtection="1">
      <alignment horizontal="center" vertical="center" wrapText="1"/>
      <protection/>
    </xf>
    <xf numFmtId="0" fontId="11" fillId="0" borderId="61"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80" xfId="72" applyFont="1" applyFill="1" applyBorder="1" applyAlignment="1" applyProtection="1">
      <alignment horizontal="center" vertical="center"/>
      <protection/>
    </xf>
    <xf numFmtId="0" fontId="11" fillId="0" borderId="26" xfId="72" applyFont="1" applyFill="1" applyBorder="1" applyAlignment="1" applyProtection="1">
      <alignment horizontal="center" vertical="center"/>
      <protection/>
    </xf>
    <xf numFmtId="0" fontId="11" fillId="0" borderId="27"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protection/>
    </xf>
    <xf numFmtId="0" fontId="11" fillId="0" borderId="0" xfId="72" applyFont="1" applyFill="1" applyBorder="1" applyAlignment="1" applyProtection="1">
      <alignment horizontal="center" vertical="center"/>
      <protection/>
    </xf>
    <xf numFmtId="0" fontId="11" fillId="0" borderId="29" xfId="72" applyFont="1" applyFill="1" applyBorder="1" applyAlignment="1" applyProtection="1">
      <alignment horizontal="center" vertical="center"/>
      <protection/>
    </xf>
    <xf numFmtId="0" fontId="11" fillId="0" borderId="28" xfId="72" applyFont="1" applyFill="1" applyBorder="1" applyAlignment="1" applyProtection="1">
      <alignment horizontal="center" vertical="center" wrapText="1"/>
      <protection/>
    </xf>
    <xf numFmtId="0" fontId="11" fillId="0" borderId="0" xfId="72" applyFont="1" applyFill="1" applyBorder="1" applyAlignment="1" applyProtection="1">
      <alignment horizontal="center" vertical="center" wrapText="1"/>
      <protection/>
    </xf>
    <xf numFmtId="0" fontId="11" fillId="0" borderId="29" xfId="72" applyFont="1" applyFill="1" applyBorder="1" applyAlignment="1" applyProtection="1">
      <alignment horizontal="center" vertical="center" wrapText="1"/>
      <protection/>
    </xf>
    <xf numFmtId="0" fontId="11" fillId="0" borderId="81" xfId="72" applyFont="1" applyFill="1" applyBorder="1" applyAlignment="1" applyProtection="1">
      <alignment horizontal="center" vertical="center" wrapText="1"/>
      <protection/>
    </xf>
    <xf numFmtId="0" fontId="11" fillId="0" borderId="34" xfId="72" applyFont="1" applyFill="1" applyBorder="1" applyAlignment="1" applyProtection="1">
      <alignment horizontal="center" vertical="center" wrapText="1"/>
      <protection/>
    </xf>
    <xf numFmtId="0" fontId="11" fillId="0" borderId="35" xfId="72" applyFont="1" applyFill="1" applyBorder="1" applyAlignment="1" applyProtection="1">
      <alignment horizontal="center" vertical="center" wrapText="1"/>
      <protection/>
    </xf>
    <xf numFmtId="188" fontId="11" fillId="38" borderId="40" xfId="66" applyNumberFormat="1" applyFont="1" applyFill="1" applyBorder="1" applyAlignment="1" applyProtection="1">
      <alignment horizontal="center" vertical="center" wrapText="1"/>
      <protection/>
    </xf>
    <xf numFmtId="188" fontId="11" fillId="38" borderId="86" xfId="66" applyNumberFormat="1" applyFont="1" applyFill="1" applyBorder="1" applyAlignment="1" applyProtection="1">
      <alignment horizontal="center" vertical="center" wrapText="1"/>
      <protection/>
    </xf>
    <xf numFmtId="188" fontId="11" fillId="38" borderId="79" xfId="66" applyNumberFormat="1" applyFont="1" applyFill="1" applyBorder="1" applyAlignment="1" applyProtection="1">
      <alignment horizontal="center" vertical="center" wrapText="1"/>
      <protection/>
    </xf>
    <xf numFmtId="0" fontId="11" fillId="39" borderId="28" xfId="72" applyFont="1" applyFill="1" applyBorder="1" applyAlignment="1" applyProtection="1">
      <alignment horizontal="center" vertical="center" wrapText="1"/>
      <protection/>
    </xf>
    <xf numFmtId="0" fontId="11" fillId="5" borderId="46" xfId="72" applyFont="1" applyFill="1" applyBorder="1" applyAlignment="1" applyProtection="1">
      <alignment horizontal="center" vertical="center" wrapText="1"/>
      <protection/>
    </xf>
    <xf numFmtId="0" fontId="11" fillId="5" borderId="47" xfId="72" applyFont="1" applyFill="1" applyBorder="1" applyAlignment="1" applyProtection="1">
      <alignment horizontal="center" vertical="center" wrapText="1"/>
      <protection/>
    </xf>
    <xf numFmtId="0" fontId="11" fillId="5" borderId="48" xfId="72" applyFont="1" applyFill="1" applyBorder="1" applyAlignment="1" applyProtection="1">
      <alignment horizontal="center" vertical="center" wrapText="1"/>
      <protection/>
    </xf>
    <xf numFmtId="188" fontId="11" fillId="38" borderId="14" xfId="66" applyNumberFormat="1" applyFont="1" applyFill="1" applyBorder="1" applyAlignment="1" applyProtection="1">
      <alignment horizontal="center" vertical="center"/>
      <protection/>
    </xf>
    <xf numFmtId="188" fontId="11" fillId="38" borderId="17" xfId="66" applyNumberFormat="1" applyFont="1" applyFill="1" applyBorder="1" applyAlignment="1" applyProtection="1">
      <alignment horizontal="center" vertical="center"/>
      <protection/>
    </xf>
    <xf numFmtId="0" fontId="94" fillId="0" borderId="83" xfId="0" applyFont="1" applyFill="1" applyBorder="1" applyAlignment="1">
      <alignment horizontal="center" vertical="center"/>
    </xf>
    <xf numFmtId="0" fontId="94" fillId="0" borderId="85" xfId="0" applyFont="1" applyFill="1" applyBorder="1" applyAlignment="1">
      <alignment horizontal="center" vertical="center"/>
    </xf>
    <xf numFmtId="0" fontId="10" fillId="0" borderId="83" xfId="72" applyFont="1" applyFill="1" applyBorder="1" applyAlignment="1" applyProtection="1">
      <alignment horizontal="center" vertical="center" wrapText="1"/>
      <protection/>
    </xf>
    <xf numFmtId="0" fontId="10" fillId="0" borderId="84" xfId="72" applyFont="1" applyFill="1" applyBorder="1" applyAlignment="1" applyProtection="1">
      <alignment horizontal="center" vertical="center" wrapText="1"/>
      <protection/>
    </xf>
    <xf numFmtId="0" fontId="10" fillId="0" borderId="85" xfId="72"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91" fillId="0" borderId="79" xfId="0" applyFont="1" applyBorder="1" applyAlignment="1">
      <alignment horizontal="left" vertical="center" wrapText="1"/>
    </xf>
    <xf numFmtId="0" fontId="91" fillId="0" borderId="38" xfId="0" applyFont="1" applyBorder="1" applyAlignment="1">
      <alignment horizontal="left" vertical="center" wrapText="1"/>
    </xf>
    <xf numFmtId="0" fontId="91" fillId="0" borderId="52" xfId="0" applyFont="1" applyBorder="1" applyAlignment="1">
      <alignment horizontal="left" vertical="center" wrapText="1"/>
    </xf>
    <xf numFmtId="0" fontId="11" fillId="5" borderId="26" xfId="72" applyFont="1" applyFill="1" applyBorder="1" applyAlignment="1">
      <alignment horizontal="center" vertical="center" wrapText="1"/>
      <protection/>
    </xf>
    <xf numFmtId="0" fontId="11" fillId="5" borderId="0" xfId="72" applyFont="1" applyFill="1" applyBorder="1" applyAlignment="1">
      <alignment horizontal="center" vertical="center" wrapText="1"/>
      <protection/>
    </xf>
    <xf numFmtId="0" fontId="11" fillId="5" borderId="34" xfId="72" applyFont="1" applyFill="1" applyBorder="1" applyAlignment="1">
      <alignment horizontal="center" vertical="center" wrapText="1"/>
      <protection/>
    </xf>
    <xf numFmtId="188" fontId="11" fillId="38" borderId="14" xfId="66" applyNumberFormat="1" applyFont="1" applyFill="1" applyBorder="1" applyAlignment="1" applyProtection="1">
      <alignment horizontal="center" vertical="center" wrapText="1"/>
      <protection/>
    </xf>
    <xf numFmtId="188" fontId="11" fillId="38" borderId="17" xfId="66" applyNumberFormat="1" applyFont="1" applyFill="1" applyBorder="1" applyAlignment="1" applyProtection="1">
      <alignment horizontal="center" vertical="center" wrapText="1"/>
      <protection/>
    </xf>
    <xf numFmtId="0" fontId="11" fillId="38" borderId="14" xfId="72" applyFont="1" applyFill="1" applyBorder="1" applyAlignment="1" applyProtection="1">
      <alignment horizontal="center" vertical="center" wrapText="1"/>
      <protection/>
    </xf>
    <xf numFmtId="0" fontId="11" fillId="38" borderId="17" xfId="72" applyFont="1" applyFill="1" applyBorder="1" applyAlignment="1" applyProtection="1">
      <alignment horizontal="center" vertical="center" wrapText="1"/>
      <protection/>
    </xf>
    <xf numFmtId="0" fontId="11" fillId="0" borderId="45" xfId="72" applyFont="1" applyFill="1" applyBorder="1" applyAlignment="1" applyProtection="1">
      <alignment horizontal="center" vertical="center" wrapText="1"/>
      <protection/>
    </xf>
    <xf numFmtId="188" fontId="11" fillId="38" borderId="76" xfId="66" applyNumberFormat="1" applyFont="1" applyFill="1" applyBorder="1" applyAlignment="1" applyProtection="1">
      <alignment horizontal="center" vertical="center" wrapText="1"/>
      <protection/>
    </xf>
    <xf numFmtId="0" fontId="11" fillId="38" borderId="82" xfId="72" applyFont="1" applyFill="1" applyBorder="1" applyAlignment="1" applyProtection="1">
      <alignment horizontal="center" vertical="center" wrapText="1"/>
      <protection/>
    </xf>
    <xf numFmtId="0" fontId="11" fillId="38" borderId="70" xfId="72" applyFont="1" applyFill="1" applyBorder="1" applyAlignment="1" applyProtection="1">
      <alignment horizontal="center" vertical="center" wrapText="1"/>
      <protection/>
    </xf>
    <xf numFmtId="188" fontId="11" fillId="0" borderId="14" xfId="66" applyNumberFormat="1" applyFont="1" applyFill="1" applyBorder="1" applyAlignment="1" applyProtection="1">
      <alignment horizontal="center" vertical="center" wrapText="1"/>
      <protection/>
    </xf>
    <xf numFmtId="188" fontId="11" fillId="0" borderId="45" xfId="66" applyNumberFormat="1" applyFont="1" applyFill="1" applyBorder="1" applyAlignment="1" applyProtection="1">
      <alignment horizontal="center"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91" fillId="0" borderId="13" xfId="0" applyFont="1" applyBorder="1" applyAlignment="1">
      <alignment horizontal="left" vertical="center" wrapText="1"/>
    </xf>
    <xf numFmtId="0" fontId="91" fillId="0" borderId="39" xfId="0" applyFont="1" applyBorder="1" applyAlignment="1">
      <alignment horizontal="center" vertical="center"/>
    </xf>
    <xf numFmtId="0" fontId="91" fillId="0" borderId="15" xfId="0" applyFont="1" applyBorder="1" applyAlignment="1">
      <alignment horizontal="center" vertical="center"/>
    </xf>
    <xf numFmtId="0" fontId="91" fillId="0" borderId="44" xfId="0" applyFont="1" applyBorder="1" applyAlignment="1">
      <alignment horizontal="center" vertical="center"/>
    </xf>
    <xf numFmtId="0" fontId="91" fillId="11" borderId="14" xfId="0" applyFont="1" applyFill="1" applyBorder="1" applyAlignment="1">
      <alignment horizontal="center" vertical="center"/>
    </xf>
    <xf numFmtId="0" fontId="91" fillId="11" borderId="70" xfId="0" applyFont="1" applyFill="1" applyBorder="1" applyAlignment="1">
      <alignment horizontal="center" vertical="center"/>
    </xf>
    <xf numFmtId="0" fontId="91" fillId="11" borderId="17" xfId="0" applyFont="1" applyFill="1" applyBorder="1" applyAlignment="1">
      <alignment horizontal="center" vertical="center"/>
    </xf>
    <xf numFmtId="0" fontId="91" fillId="11" borderId="39" xfId="0" applyFont="1" applyFill="1" applyBorder="1" applyAlignment="1">
      <alignment horizontal="left" vertical="center"/>
    </xf>
    <xf numFmtId="0" fontId="91" fillId="11" borderId="15" xfId="0" applyFont="1" applyFill="1" applyBorder="1" applyAlignment="1">
      <alignment horizontal="left" vertical="center"/>
    </xf>
    <xf numFmtId="0" fontId="91" fillId="11" borderId="44" xfId="0" applyFont="1" applyFill="1" applyBorder="1" applyAlignment="1">
      <alignment horizontal="left" vertical="center"/>
    </xf>
    <xf numFmtId="0" fontId="91" fillId="0" borderId="14" xfId="0" applyFont="1" applyFill="1" applyBorder="1" applyAlignment="1">
      <alignment horizontal="center" vertical="center"/>
    </xf>
    <xf numFmtId="0" fontId="91" fillId="0" borderId="70" xfId="0" applyFont="1" applyFill="1" applyBorder="1" applyAlignment="1">
      <alignment horizontal="center" vertical="center"/>
    </xf>
    <xf numFmtId="0" fontId="91" fillId="0" borderId="17" xfId="0" applyFont="1" applyFill="1" applyBorder="1" applyAlignment="1">
      <alignment horizontal="center" vertical="center"/>
    </xf>
    <xf numFmtId="0" fontId="91" fillId="0" borderId="64" xfId="0" applyFont="1" applyBorder="1" applyAlignment="1">
      <alignment horizontal="center" vertical="center"/>
    </xf>
    <xf numFmtId="0" fontId="91" fillId="0" borderId="41" xfId="0" applyFont="1" applyBorder="1" applyAlignment="1">
      <alignment horizontal="center" vertical="center"/>
    </xf>
    <xf numFmtId="0" fontId="91" fillId="0" borderId="42" xfId="0" applyFont="1" applyBorder="1" applyAlignment="1">
      <alignment horizontal="center" vertical="center"/>
    </xf>
    <xf numFmtId="0" fontId="91" fillId="11" borderId="14" xfId="0" applyFont="1" applyFill="1" applyBorder="1" applyAlignment="1">
      <alignment horizontal="center" vertical="center" wrapText="1"/>
    </xf>
    <xf numFmtId="0" fontId="91" fillId="11" borderId="17" xfId="0" applyFont="1" applyFill="1" applyBorder="1" applyAlignment="1">
      <alignment horizontal="center" vertical="center" wrapText="1"/>
    </xf>
    <xf numFmtId="0" fontId="11" fillId="38" borderId="13" xfId="72" applyFont="1" applyFill="1" applyBorder="1" applyAlignment="1">
      <alignment horizontal="left" vertical="center" wrapText="1"/>
      <protection/>
    </xf>
    <xf numFmtId="0" fontId="91" fillId="11" borderId="22" xfId="0" applyFont="1" applyFill="1" applyBorder="1" applyAlignment="1">
      <alignment horizontal="center" vertical="center" wrapText="1"/>
    </xf>
    <xf numFmtId="0" fontId="91" fillId="11" borderId="16" xfId="0" applyFont="1" applyFill="1" applyBorder="1" applyAlignment="1">
      <alignment horizontal="center" vertical="center" wrapText="1"/>
    </xf>
    <xf numFmtId="0" fontId="91" fillId="11" borderId="70" xfId="0" applyFont="1" applyFill="1" applyBorder="1" applyAlignment="1">
      <alignment horizontal="center" vertical="center" wrapText="1"/>
    </xf>
    <xf numFmtId="0" fontId="91" fillId="41" borderId="13" xfId="72" applyFont="1" applyFill="1" applyBorder="1" applyAlignment="1">
      <alignment horizontal="center" vertical="center" wrapText="1"/>
      <protection/>
    </xf>
    <xf numFmtId="0" fontId="11" fillId="41" borderId="13" xfId="72" applyFont="1" applyFill="1" applyBorder="1" applyAlignment="1">
      <alignment horizontal="center" vertical="center" wrapText="1"/>
      <protection/>
    </xf>
    <xf numFmtId="0" fontId="89" fillId="0" borderId="14" xfId="0" applyFont="1" applyBorder="1" applyAlignment="1">
      <alignment horizontal="left" vertical="center"/>
    </xf>
    <xf numFmtId="0" fontId="89" fillId="0" borderId="70" xfId="0" applyFont="1" applyBorder="1" applyAlignment="1">
      <alignment horizontal="left" vertical="center"/>
    </xf>
    <xf numFmtId="0" fontId="89" fillId="0" borderId="17" xfId="0" applyFont="1" applyBorder="1" applyAlignment="1">
      <alignment horizontal="left" vertical="center"/>
    </xf>
    <xf numFmtId="0" fontId="91" fillId="11" borderId="54" xfId="0" applyFont="1" applyFill="1" applyBorder="1" applyAlignment="1">
      <alignment horizontal="center" vertical="center" wrapText="1"/>
    </xf>
    <xf numFmtId="0" fontId="91" fillId="0" borderId="13" xfId="0" applyFont="1" applyFill="1" applyBorder="1" applyAlignment="1">
      <alignment horizontal="center" vertical="center" wrapText="1"/>
    </xf>
    <xf numFmtId="0" fontId="91" fillId="11" borderId="64" xfId="0" applyFont="1" applyFill="1" applyBorder="1" applyAlignment="1">
      <alignment horizontal="center" vertical="center"/>
    </xf>
    <xf numFmtId="0" fontId="91" fillId="11" borderId="41" xfId="0" applyFont="1" applyFill="1" applyBorder="1" applyAlignment="1">
      <alignment horizontal="center" vertical="center"/>
    </xf>
    <xf numFmtId="0" fontId="91" fillId="11" borderId="42" xfId="0" applyFont="1" applyFill="1" applyBorder="1" applyAlignment="1">
      <alignment horizontal="center" vertical="center"/>
    </xf>
    <xf numFmtId="0" fontId="91" fillId="11" borderId="66" xfId="0" applyFont="1" applyFill="1" applyBorder="1" applyAlignment="1">
      <alignment horizontal="center" vertical="center"/>
    </xf>
    <xf numFmtId="0" fontId="91" fillId="11" borderId="0" xfId="0" applyFont="1" applyFill="1" applyBorder="1" applyAlignment="1">
      <alignment horizontal="center" vertical="center"/>
    </xf>
    <xf numFmtId="0" fontId="91" fillId="11" borderId="43" xfId="0" applyFont="1" applyFill="1" applyBorder="1" applyAlignment="1">
      <alignment horizontal="center" vertical="center"/>
    </xf>
    <xf numFmtId="0" fontId="91" fillId="11" borderId="39" xfId="0" applyFont="1" applyFill="1" applyBorder="1" applyAlignment="1">
      <alignment horizontal="center" vertical="center"/>
    </xf>
    <xf numFmtId="0" fontId="91" fillId="11" borderId="15" xfId="0" applyFont="1" applyFill="1" applyBorder="1" applyAlignment="1">
      <alignment horizontal="center" vertical="center"/>
    </xf>
    <xf numFmtId="0" fontId="91" fillId="11" borderId="44" xfId="0" applyFont="1" applyFill="1" applyBorder="1" applyAlignment="1">
      <alignment horizontal="center" vertical="center"/>
    </xf>
    <xf numFmtId="0" fontId="91" fillId="11" borderId="13" xfId="0" applyFont="1" applyFill="1" applyBorder="1" applyAlignment="1">
      <alignment horizontal="center" vertical="center"/>
    </xf>
    <xf numFmtId="0" fontId="104" fillId="0" borderId="13" xfId="0" applyFont="1" applyFill="1" applyBorder="1" applyAlignment="1">
      <alignment horizontal="center" vertical="center"/>
    </xf>
    <xf numFmtId="0" fontId="91" fillId="11" borderId="14" xfId="0" applyFont="1" applyFill="1" applyBorder="1" applyAlignment="1">
      <alignment horizontal="left" vertical="center"/>
    </xf>
    <xf numFmtId="0" fontId="91" fillId="11" borderId="70" xfId="0" applyFont="1" applyFill="1" applyBorder="1" applyAlignment="1">
      <alignment horizontal="left" vertical="center"/>
    </xf>
    <xf numFmtId="0" fontId="91" fillId="11" borderId="17" xfId="0" applyFont="1" applyFill="1" applyBorder="1" applyAlignment="1">
      <alignment horizontal="left" vertical="center"/>
    </xf>
    <xf numFmtId="0" fontId="89" fillId="0" borderId="39" xfId="0" applyFont="1" applyBorder="1" applyAlignment="1">
      <alignment horizontal="center" vertical="center"/>
    </xf>
    <xf numFmtId="0" fontId="89" fillId="0" borderId="15" xfId="0" applyFont="1" applyBorder="1" applyAlignment="1">
      <alignment horizontal="center" vertical="center"/>
    </xf>
    <xf numFmtId="0" fontId="89" fillId="0" borderId="70" xfId="0" applyFont="1" applyBorder="1" applyAlignment="1">
      <alignment horizontal="center" vertical="center"/>
    </xf>
    <xf numFmtId="0" fontId="89" fillId="0" borderId="17" xfId="0" applyFont="1" applyBorder="1" applyAlignment="1">
      <alignment horizontal="center" vertical="center"/>
    </xf>
    <xf numFmtId="0" fontId="89" fillId="0" borderId="14" xfId="0" applyFont="1" applyBorder="1" applyAlignment="1">
      <alignment horizontal="center" vertical="center"/>
    </xf>
    <xf numFmtId="0" fontId="91" fillId="0" borderId="64" xfId="0" applyFont="1" applyBorder="1" applyAlignment="1">
      <alignment vertical="center" wrapText="1"/>
    </xf>
    <xf numFmtId="0" fontId="91" fillId="0" borderId="41" xfId="0" applyFont="1" applyBorder="1" applyAlignment="1">
      <alignment vertical="center" wrapText="1"/>
    </xf>
    <xf numFmtId="0" fontId="91" fillId="0" borderId="42" xfId="0" applyFont="1" applyBorder="1" applyAlignment="1">
      <alignment vertical="center" wrapText="1"/>
    </xf>
    <xf numFmtId="0" fontId="91"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70" xfId="0" applyFont="1" applyFill="1" applyBorder="1" applyAlignment="1">
      <alignment horizontal="center"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91" fillId="17" borderId="14" xfId="0" applyFont="1" applyFill="1" applyBorder="1" applyAlignment="1">
      <alignment horizontal="center" vertical="center"/>
    </xf>
    <xf numFmtId="0" fontId="91" fillId="17" borderId="17" xfId="0" applyFont="1" applyFill="1" applyBorder="1" applyAlignment="1">
      <alignment horizontal="center" vertical="center"/>
    </xf>
    <xf numFmtId="0" fontId="91" fillId="0" borderId="14" xfId="0" applyFont="1" applyFill="1" applyBorder="1" applyAlignment="1">
      <alignment horizontal="left" vertical="center" wrapText="1"/>
    </xf>
    <xf numFmtId="0" fontId="91" fillId="0" borderId="17" xfId="0" applyFont="1" applyFill="1" applyBorder="1" applyAlignment="1">
      <alignment horizontal="left" vertical="center" wrapText="1"/>
    </xf>
    <xf numFmtId="0" fontId="89" fillId="0" borderId="22" xfId="0" applyFont="1" applyFill="1" applyBorder="1" applyAlignment="1">
      <alignment horizontal="left" vertical="center" wrapText="1"/>
    </xf>
    <xf numFmtId="0" fontId="89" fillId="0" borderId="54" xfId="0" applyFont="1" applyFill="1" applyBorder="1" applyAlignment="1">
      <alignment horizontal="left" vertical="center" wrapText="1"/>
    </xf>
    <xf numFmtId="0" fontId="89" fillId="0" borderId="16" xfId="0" applyFont="1" applyFill="1" applyBorder="1" applyAlignment="1">
      <alignment horizontal="left" vertical="center" wrapText="1"/>
    </xf>
    <xf numFmtId="41" fontId="89" fillId="0" borderId="64" xfId="60" applyFont="1" applyFill="1" applyBorder="1" applyAlignment="1">
      <alignment horizontal="left" vertical="center"/>
    </xf>
    <xf numFmtId="41" fontId="89" fillId="0" borderId="66" xfId="60" applyFont="1" applyFill="1" applyBorder="1" applyAlignment="1">
      <alignment horizontal="left" vertical="center"/>
    </xf>
    <xf numFmtId="41" fontId="89" fillId="0" borderId="39" xfId="60" applyFont="1" applyFill="1" applyBorder="1" applyAlignment="1">
      <alignment horizontal="left" vertical="center"/>
    </xf>
    <xf numFmtId="189" fontId="88" fillId="0" borderId="13" xfId="58" applyNumberFormat="1" applyFont="1" applyBorder="1" applyAlignment="1">
      <alignment horizontal="center" vertical="center" wrapText="1"/>
    </xf>
    <xf numFmtId="189" fontId="88" fillId="0" borderId="13" xfId="58" applyNumberFormat="1" applyFont="1" applyBorder="1" applyAlignment="1">
      <alignment horizontal="center" vertical="center"/>
    </xf>
    <xf numFmtId="189" fontId="88" fillId="0" borderId="14" xfId="58" applyNumberFormat="1" applyFont="1" applyBorder="1" applyAlignment="1">
      <alignment horizontal="center" vertical="center"/>
    </xf>
    <xf numFmtId="189" fontId="88" fillId="0" borderId="70" xfId="58" applyNumberFormat="1" applyFont="1" applyBorder="1" applyAlignment="1">
      <alignment horizontal="center" vertical="center"/>
    </xf>
    <xf numFmtId="189" fontId="88" fillId="0" borderId="17" xfId="58" applyNumberFormat="1" applyFont="1" applyBorder="1" applyAlignment="1">
      <alignment horizontal="center" vertical="center"/>
    </xf>
    <xf numFmtId="14" fontId="94" fillId="0" borderId="80" xfId="0" applyNumberFormat="1" applyFont="1" applyBorder="1" applyAlignment="1">
      <alignment horizontal="center" vertical="center"/>
    </xf>
    <xf numFmtId="0" fontId="94" fillId="0" borderId="27" xfId="0" applyFont="1" applyBorder="1" applyAlignment="1">
      <alignment horizontal="center" vertical="center"/>
    </xf>
    <xf numFmtId="0" fontId="94" fillId="0" borderId="28" xfId="0" applyFont="1" applyBorder="1" applyAlignment="1">
      <alignment horizontal="center" vertical="center"/>
    </xf>
    <xf numFmtId="0" fontId="94" fillId="0" borderId="29" xfId="0" applyFont="1" applyBorder="1" applyAlignment="1">
      <alignment horizontal="center" vertical="center"/>
    </xf>
    <xf numFmtId="0" fontId="94" fillId="0" borderId="81" xfId="0" applyFont="1" applyBorder="1" applyAlignment="1">
      <alignment horizontal="center" vertical="center"/>
    </xf>
    <xf numFmtId="0" fontId="94" fillId="0" borderId="35" xfId="0" applyFont="1" applyBorder="1" applyAlignment="1">
      <alignment horizontal="center" vertical="center"/>
    </xf>
    <xf numFmtId="0" fontId="88" fillId="0" borderId="78" xfId="0" applyFont="1" applyBorder="1" applyAlignment="1">
      <alignment horizontal="center" vertical="center" wrapText="1"/>
    </xf>
    <xf numFmtId="0" fontId="88" fillId="0" borderId="62" xfId="0" applyFont="1" applyBorder="1" applyAlignment="1">
      <alignment horizontal="center" vertical="center" wrapText="1"/>
    </xf>
    <xf numFmtId="0" fontId="10" fillId="0" borderId="80" xfId="72" applyFont="1" applyBorder="1" applyAlignment="1">
      <alignment horizontal="center" vertical="center" wrapText="1"/>
      <protection/>
    </xf>
    <xf numFmtId="0" fontId="10" fillId="0" borderId="28" xfId="72" applyFont="1" applyBorder="1" applyAlignment="1">
      <alignment horizontal="center" vertical="center" wrapText="1"/>
      <protection/>
    </xf>
    <xf numFmtId="0" fontId="10" fillId="0" borderId="81" xfId="72" applyFont="1" applyBorder="1" applyAlignment="1">
      <alignment horizontal="center" vertical="center" wrapText="1"/>
      <protection/>
    </xf>
    <xf numFmtId="0" fontId="11" fillId="0" borderId="46" xfId="72" applyFont="1" applyBorder="1" applyAlignment="1">
      <alignment horizontal="center" vertical="center"/>
      <protection/>
    </xf>
    <xf numFmtId="0" fontId="11" fillId="0" borderId="47" xfId="72" applyFont="1" applyBorder="1" applyAlignment="1">
      <alignment horizontal="center" vertical="center"/>
      <protection/>
    </xf>
    <xf numFmtId="0" fontId="11" fillId="0" borderId="48" xfId="72" applyFont="1" applyBorder="1" applyAlignment="1">
      <alignment horizontal="center" vertical="center"/>
      <protection/>
    </xf>
    <xf numFmtId="0" fontId="18" fillId="0" borderId="61" xfId="0" applyFont="1" applyBorder="1" applyAlignment="1">
      <alignment horizontal="left" vertical="center" wrapText="1"/>
    </xf>
    <xf numFmtId="0" fontId="18" fillId="0" borderId="69" xfId="0" applyFont="1" applyBorder="1" applyAlignment="1">
      <alignment horizontal="left" vertical="center" wrapText="1"/>
    </xf>
    <xf numFmtId="0" fontId="18" fillId="0" borderId="72" xfId="0" applyFont="1" applyBorder="1" applyAlignment="1">
      <alignment horizontal="left" vertical="center" wrapText="1"/>
    </xf>
    <xf numFmtId="0" fontId="18" fillId="0" borderId="17" xfId="0" applyFont="1" applyBorder="1" applyAlignment="1">
      <alignment horizontal="left" vertical="center" wrapText="1"/>
    </xf>
    <xf numFmtId="0" fontId="18" fillId="0" borderId="13" xfId="0" applyFont="1" applyBorder="1" applyAlignment="1">
      <alignment horizontal="left" vertical="center" wrapText="1"/>
    </xf>
    <xf numFmtId="0" fontId="18" fillId="0" borderId="21" xfId="0" applyFont="1" applyBorder="1" applyAlignment="1">
      <alignment horizontal="left" vertical="center" wrapText="1"/>
    </xf>
    <xf numFmtId="0" fontId="11" fillId="0" borderId="67" xfId="72" applyFont="1" applyBorder="1" applyAlignment="1">
      <alignment horizontal="center" vertical="center" wrapText="1"/>
      <protection/>
    </xf>
    <xf numFmtId="0" fontId="11" fillId="0" borderId="69" xfId="72" applyFont="1" applyBorder="1" applyAlignment="1">
      <alignment horizontal="center" vertical="center" wrapText="1"/>
      <protection/>
    </xf>
    <xf numFmtId="0" fontId="11" fillId="0" borderId="72" xfId="72" applyFont="1" applyBorder="1" applyAlignment="1">
      <alignment horizontal="center" vertical="center" wrapText="1"/>
      <protection/>
    </xf>
    <xf numFmtId="0" fontId="11" fillId="0" borderId="50" xfId="72" applyFont="1" applyBorder="1" applyAlignment="1">
      <alignment horizontal="center" vertical="center" wrapText="1"/>
      <protection/>
    </xf>
    <xf numFmtId="0" fontId="11" fillId="0" borderId="38" xfId="72" applyFont="1" applyBorder="1" applyAlignment="1">
      <alignment horizontal="center" vertical="center" wrapText="1"/>
      <protection/>
    </xf>
    <xf numFmtId="0" fontId="11" fillId="0" borderId="52" xfId="72" applyFont="1" applyBorder="1" applyAlignment="1">
      <alignment horizontal="center" vertical="center" wrapText="1"/>
      <protection/>
    </xf>
    <xf numFmtId="0" fontId="0" fillId="0" borderId="78" xfId="0" applyBorder="1" applyAlignment="1">
      <alignment horizontal="center" vertical="center"/>
    </xf>
    <xf numFmtId="0" fontId="0" fillId="0" borderId="62" xfId="0" applyBorder="1" applyAlignment="1">
      <alignment horizontal="center" vertical="center"/>
    </xf>
    <xf numFmtId="0" fontId="88" fillId="0" borderId="82" xfId="0" applyFont="1" applyBorder="1" applyAlignment="1">
      <alignment horizontal="center" vertical="center" wrapText="1"/>
    </xf>
    <xf numFmtId="0" fontId="88" fillId="0" borderId="45" xfId="0" applyFont="1" applyBorder="1" applyAlignment="1">
      <alignment horizontal="center" vertical="center" wrapText="1"/>
    </xf>
    <xf numFmtId="0" fontId="0" fillId="0" borderId="82" xfId="0" applyBorder="1" applyAlignment="1">
      <alignment horizontal="center" vertical="center"/>
    </xf>
    <xf numFmtId="0" fontId="0" fillId="0" borderId="45" xfId="0" applyBorder="1" applyAlignment="1">
      <alignment horizontal="center" vertical="center"/>
    </xf>
    <xf numFmtId="0" fontId="88" fillId="0" borderId="76" xfId="0" applyFont="1" applyBorder="1" applyAlignment="1">
      <alignment horizontal="center" vertical="center" wrapText="1"/>
    </xf>
    <xf numFmtId="0" fontId="88" fillId="0" borderId="77"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11" fillId="0" borderId="80" xfId="72" applyFont="1" applyBorder="1" applyAlignment="1">
      <alignment horizontal="center" vertical="center" wrapText="1"/>
      <protection/>
    </xf>
    <xf numFmtId="0" fontId="11" fillId="0" borderId="26" xfId="72" applyFont="1" applyBorder="1" applyAlignment="1">
      <alignment horizontal="center" vertical="center" wrapText="1"/>
      <protection/>
    </xf>
    <xf numFmtId="0" fontId="11" fillId="0" borderId="27" xfId="72" applyFont="1" applyBorder="1" applyAlignment="1">
      <alignment horizontal="center" vertical="center" wrapText="1"/>
      <protection/>
    </xf>
    <xf numFmtId="0" fontId="11" fillId="0" borderId="28" xfId="72" applyFont="1" applyBorder="1" applyAlignment="1">
      <alignment horizontal="center" vertical="center" wrapText="1"/>
      <protection/>
    </xf>
    <xf numFmtId="0" fontId="11" fillId="0" borderId="0" xfId="72" applyFont="1" applyAlignment="1">
      <alignment horizontal="center" vertical="center" wrapText="1"/>
      <protection/>
    </xf>
    <xf numFmtId="0" fontId="11" fillId="0" borderId="29" xfId="72" applyFont="1" applyBorder="1" applyAlignment="1">
      <alignment horizontal="center" vertical="center" wrapText="1"/>
      <protection/>
    </xf>
    <xf numFmtId="0" fontId="11" fillId="0" borderId="81" xfId="72" applyFont="1" applyBorder="1" applyAlignment="1">
      <alignment horizontal="center" vertical="center" wrapText="1"/>
      <protection/>
    </xf>
    <xf numFmtId="0" fontId="11" fillId="0" borderId="34" xfId="72" applyFont="1" applyBorder="1" applyAlignment="1">
      <alignment horizontal="center" vertical="center" wrapText="1"/>
      <protection/>
    </xf>
    <xf numFmtId="0" fontId="11" fillId="0" borderId="35" xfId="72" applyFont="1" applyBorder="1" applyAlignment="1">
      <alignment horizontal="center" vertical="center" wrapText="1"/>
      <protection/>
    </xf>
    <xf numFmtId="0" fontId="103" fillId="0" borderId="83" xfId="0" applyFont="1" applyBorder="1" applyAlignment="1">
      <alignment horizontal="center" vertical="center"/>
    </xf>
    <xf numFmtId="0" fontId="103" fillId="0" borderId="84" xfId="0" applyFont="1" applyBorder="1" applyAlignment="1">
      <alignment horizontal="center" vertical="center"/>
    </xf>
    <xf numFmtId="0" fontId="103" fillId="0" borderId="85" xfId="0" applyFont="1" applyBorder="1" applyAlignment="1">
      <alignment horizontal="center" vertical="center"/>
    </xf>
    <xf numFmtId="0" fontId="11" fillId="5" borderId="0" xfId="72" applyFont="1" applyFill="1" applyAlignment="1">
      <alignment horizontal="left" vertical="center" wrapText="1"/>
      <protection/>
    </xf>
    <xf numFmtId="0" fontId="11" fillId="0" borderId="73" xfId="72" applyFont="1" applyBorder="1" applyAlignment="1">
      <alignment horizontal="center" vertical="center" wrapText="1"/>
      <protection/>
    </xf>
    <xf numFmtId="0" fontId="11" fillId="0" borderId="75" xfId="72" applyFont="1" applyBorder="1" applyAlignment="1">
      <alignment horizontal="center" vertical="center" wrapText="1"/>
      <protection/>
    </xf>
    <xf numFmtId="0" fontId="11" fillId="0" borderId="74" xfId="72" applyFont="1" applyBorder="1" applyAlignment="1">
      <alignment horizontal="center" vertical="center" wrapText="1"/>
      <protection/>
    </xf>
    <xf numFmtId="0" fontId="11" fillId="0" borderId="46" xfId="72" applyFont="1" applyBorder="1" applyAlignment="1">
      <alignment horizontal="center" vertical="center" wrapText="1"/>
      <protection/>
    </xf>
    <xf numFmtId="0" fontId="11" fillId="0" borderId="47" xfId="72" applyFont="1" applyBorder="1" applyAlignment="1">
      <alignment horizontal="center" vertical="center" wrapText="1"/>
      <protection/>
    </xf>
    <xf numFmtId="0" fontId="11" fillId="0" borderId="48" xfId="72" applyFont="1" applyBorder="1" applyAlignment="1">
      <alignment horizontal="center" vertical="center" wrapText="1"/>
      <protection/>
    </xf>
    <xf numFmtId="0" fontId="11" fillId="38" borderId="34" xfId="72" applyFont="1" applyFill="1" applyBorder="1" applyAlignment="1">
      <alignment horizontal="left" vertical="center" wrapText="1"/>
      <protection/>
    </xf>
    <xf numFmtId="0" fontId="10" fillId="0" borderId="73" xfId="72" applyFont="1" applyBorder="1" applyAlignment="1">
      <alignment horizontal="center" vertical="center" wrapText="1"/>
      <protection/>
    </xf>
    <xf numFmtId="0" fontId="10" fillId="0" borderId="75" xfId="72" applyFont="1" applyBorder="1" applyAlignment="1">
      <alignment horizontal="center" vertical="center" wrapText="1"/>
      <protection/>
    </xf>
    <xf numFmtId="0" fontId="10" fillId="0" borderId="74" xfId="72" applyFont="1" applyBorder="1" applyAlignment="1">
      <alignment horizontal="center" vertical="center" wrapText="1"/>
      <protection/>
    </xf>
    <xf numFmtId="9" fontId="11" fillId="0" borderId="73" xfId="72" applyNumberFormat="1" applyFont="1" applyBorder="1" applyAlignment="1">
      <alignment horizontal="center" vertical="center" wrapText="1"/>
      <protection/>
    </xf>
    <xf numFmtId="9" fontId="11" fillId="0" borderId="74" xfId="72" applyNumberFormat="1" applyFont="1" applyBorder="1" applyAlignment="1">
      <alignment horizontal="center" vertical="center" wrapText="1"/>
      <protection/>
    </xf>
    <xf numFmtId="0" fontId="11" fillId="5" borderId="0" xfId="72" applyFont="1" applyFill="1" applyAlignment="1">
      <alignment horizontal="center" vertical="center" wrapText="1"/>
      <protection/>
    </xf>
    <xf numFmtId="0" fontId="11" fillId="5" borderId="67" xfId="72" applyFont="1" applyFill="1" applyBorder="1" applyAlignment="1">
      <alignment horizontal="center" vertical="center" wrapText="1"/>
      <protection/>
    </xf>
    <xf numFmtId="0" fontId="11" fillId="5" borderId="59" xfId="72" applyFont="1" applyFill="1" applyBorder="1" applyAlignment="1">
      <alignment horizontal="center" vertical="center" wrapText="1"/>
      <protection/>
    </xf>
    <xf numFmtId="0" fontId="11" fillId="5" borderId="20" xfId="72" applyFont="1" applyFill="1" applyBorder="1" applyAlignment="1">
      <alignment horizontal="center" vertical="center" wrapText="1"/>
      <protection/>
    </xf>
    <xf numFmtId="0" fontId="11" fillId="5" borderId="14" xfId="72" applyFont="1" applyFill="1" applyBorder="1" applyAlignment="1">
      <alignment horizontal="center" vertical="center" wrapText="1"/>
      <protection/>
    </xf>
    <xf numFmtId="0" fontId="11" fillId="5" borderId="50" xfId="72" applyFont="1" applyFill="1" applyBorder="1" applyAlignment="1">
      <alignment horizontal="center" vertical="center" wrapText="1"/>
      <protection/>
    </xf>
    <xf numFmtId="0" fontId="11" fillId="5" borderId="40" xfId="72" applyFont="1" applyFill="1" applyBorder="1" applyAlignment="1">
      <alignment horizontal="center" vertical="center" wrapText="1"/>
      <protection/>
    </xf>
    <xf numFmtId="0" fontId="11" fillId="38" borderId="67" xfId="72" applyFont="1" applyFill="1" applyBorder="1" applyAlignment="1">
      <alignment horizontal="center" vertical="center" wrapText="1"/>
      <protection/>
    </xf>
    <xf numFmtId="0" fontId="11" fillId="38" borderId="61" xfId="72" applyFont="1" applyFill="1" applyBorder="1" applyAlignment="1">
      <alignment horizontal="center" vertical="center" wrapText="1"/>
      <protection/>
    </xf>
    <xf numFmtId="0" fontId="11" fillId="38" borderId="69" xfId="72" applyFont="1" applyFill="1" applyBorder="1" applyAlignment="1">
      <alignment horizontal="center" vertical="center" wrapText="1"/>
      <protection/>
    </xf>
    <xf numFmtId="0" fontId="11" fillId="38" borderId="72" xfId="72" applyFont="1" applyFill="1" applyBorder="1" applyAlignment="1">
      <alignment horizontal="center" vertical="center" wrapText="1"/>
      <protection/>
    </xf>
    <xf numFmtId="0" fontId="11" fillId="5" borderId="49" xfId="72" applyFont="1" applyFill="1" applyBorder="1" applyAlignment="1">
      <alignment horizontal="center" vertical="center" wrapText="1"/>
      <protection/>
    </xf>
    <xf numFmtId="0" fontId="11" fillId="5" borderId="18" xfId="72" applyFont="1" applyFill="1" applyBorder="1" applyAlignment="1">
      <alignment horizontal="center" vertical="center" wrapText="1"/>
      <protection/>
    </xf>
    <xf numFmtId="0" fontId="11" fillId="5" borderId="64" xfId="72" applyFont="1" applyFill="1" applyBorder="1" applyAlignment="1">
      <alignment horizontal="center" vertical="center" wrapText="1"/>
      <protection/>
    </xf>
    <xf numFmtId="0" fontId="11" fillId="5" borderId="42" xfId="72" applyFont="1" applyFill="1" applyBorder="1" applyAlignment="1">
      <alignment horizontal="center" vertical="center" wrapText="1"/>
      <protection/>
    </xf>
    <xf numFmtId="0" fontId="11" fillId="5" borderId="39" xfId="72" applyFont="1" applyFill="1" applyBorder="1" applyAlignment="1">
      <alignment horizontal="center" vertical="center" wrapText="1"/>
      <protection/>
    </xf>
    <xf numFmtId="0" fontId="11" fillId="5" borderId="44" xfId="72" applyFont="1" applyFill="1" applyBorder="1" applyAlignment="1">
      <alignment horizontal="center" vertical="center" wrapText="1"/>
      <protection/>
    </xf>
    <xf numFmtId="0" fontId="11" fillId="5" borderId="70" xfId="72" applyFont="1" applyFill="1" applyBorder="1" applyAlignment="1">
      <alignment horizontal="center" vertical="center" wrapText="1"/>
      <protection/>
    </xf>
    <xf numFmtId="0" fontId="11" fillId="5" borderId="17" xfId="72" applyFont="1" applyFill="1" applyBorder="1" applyAlignment="1">
      <alignment horizontal="center" vertical="center" wrapText="1"/>
      <protection/>
    </xf>
    <xf numFmtId="0" fontId="11" fillId="5" borderId="13" xfId="72" applyFont="1" applyFill="1" applyBorder="1" applyAlignment="1">
      <alignment horizontal="center" vertical="center" wrapText="1"/>
      <protection/>
    </xf>
    <xf numFmtId="0" fontId="11" fillId="5" borderId="21" xfId="72" applyFont="1" applyFill="1" applyBorder="1" applyAlignment="1">
      <alignment horizontal="center" vertical="center" wrapText="1"/>
      <protection/>
    </xf>
    <xf numFmtId="3" fontId="11" fillId="0" borderId="64" xfId="72" applyNumberFormat="1" applyFont="1" applyBorder="1" applyAlignment="1">
      <alignment horizontal="center" vertical="center" wrapText="1"/>
      <protection/>
    </xf>
    <xf numFmtId="3" fontId="11" fillId="0" borderId="42" xfId="72" applyNumberFormat="1" applyFont="1" applyBorder="1" applyAlignment="1">
      <alignment horizontal="center" vertical="center" wrapText="1"/>
      <protection/>
    </xf>
    <xf numFmtId="0" fontId="90" fillId="0" borderId="13" xfId="72" applyFont="1" applyBorder="1" applyAlignment="1">
      <alignment horizontal="left" vertical="center" wrapText="1"/>
      <protection/>
    </xf>
    <xf numFmtId="0" fontId="90" fillId="0" borderId="21" xfId="72" applyFont="1" applyBorder="1" applyAlignment="1">
      <alignment horizontal="left" vertical="center" wrapText="1"/>
      <protection/>
    </xf>
    <xf numFmtId="0" fontId="10" fillId="5" borderId="13" xfId="72" applyFont="1" applyFill="1" applyBorder="1" applyAlignment="1">
      <alignment horizontal="center" vertical="center" wrapText="1"/>
      <protection/>
    </xf>
    <xf numFmtId="0" fontId="11" fillId="5" borderId="15" xfId="72" applyFont="1" applyFill="1" applyBorder="1" applyAlignment="1">
      <alignment horizontal="center" vertical="center" wrapText="1"/>
      <protection/>
    </xf>
    <xf numFmtId="0" fontId="11" fillId="5" borderId="19" xfId="72" applyFont="1" applyFill="1" applyBorder="1" applyAlignment="1">
      <alignment horizontal="center" vertical="center" wrapText="1"/>
      <protection/>
    </xf>
    <xf numFmtId="0" fontId="10" fillId="0" borderId="37" xfId="72" applyFont="1" applyBorder="1" applyAlignment="1">
      <alignment horizontal="center" vertical="center" wrapText="1"/>
      <protection/>
    </xf>
    <xf numFmtId="0" fontId="10" fillId="0" borderId="63" xfId="72" applyFont="1" applyBorder="1" applyAlignment="1">
      <alignment horizontal="center" vertical="center" wrapText="1"/>
      <protection/>
    </xf>
    <xf numFmtId="9" fontId="11" fillId="0" borderId="22" xfId="79" applyFont="1" applyFill="1" applyBorder="1" applyAlignment="1" applyProtection="1">
      <alignment horizontal="center" vertical="center" wrapText="1"/>
      <protection/>
    </xf>
    <xf numFmtId="9" fontId="11" fillId="0" borderId="57" xfId="79" applyFont="1" applyFill="1" applyBorder="1" applyAlignment="1" applyProtection="1">
      <alignment horizontal="center" vertical="center" wrapText="1"/>
      <protection/>
    </xf>
    <xf numFmtId="9" fontId="10" fillId="38" borderId="64" xfId="81" applyFont="1" applyFill="1" applyBorder="1" applyAlignment="1" applyProtection="1">
      <alignment horizontal="left" vertical="center" wrapText="1"/>
      <protection/>
    </xf>
    <xf numFmtId="9" fontId="10" fillId="38" borderId="41" xfId="81" applyFont="1" applyFill="1" applyBorder="1" applyAlignment="1" applyProtection="1">
      <alignment horizontal="left" vertical="center" wrapText="1"/>
      <protection/>
    </xf>
    <xf numFmtId="9" fontId="10" fillId="38" borderId="42" xfId="81" applyFont="1" applyFill="1" applyBorder="1" applyAlignment="1" applyProtection="1">
      <alignment horizontal="left" vertical="center" wrapText="1"/>
      <protection/>
    </xf>
    <xf numFmtId="9" fontId="10" fillId="38" borderId="58" xfId="81" applyFont="1" applyFill="1" applyBorder="1" applyAlignment="1" applyProtection="1">
      <alignment horizontal="left" vertical="center" wrapText="1"/>
      <protection/>
    </xf>
    <xf numFmtId="9" fontId="10" fillId="38" borderId="34" xfId="81" applyFont="1" applyFill="1" applyBorder="1" applyAlignment="1" applyProtection="1">
      <alignment horizontal="left" vertical="center" wrapText="1"/>
      <protection/>
    </xf>
    <xf numFmtId="9" fontId="10" fillId="38" borderId="71" xfId="81" applyFont="1" applyFill="1" applyBorder="1" applyAlignment="1" applyProtection="1">
      <alignment horizontal="left" vertical="center" wrapText="1"/>
      <protection/>
    </xf>
    <xf numFmtId="9" fontId="10" fillId="0" borderId="64" xfId="81" applyFont="1" applyFill="1" applyBorder="1" applyAlignment="1" applyProtection="1">
      <alignment horizontal="center" vertical="center" wrapText="1"/>
      <protection/>
    </xf>
    <xf numFmtId="9" fontId="10" fillId="0" borderId="41" xfId="81" applyFont="1" applyFill="1" applyBorder="1" applyAlignment="1" applyProtection="1">
      <alignment horizontal="center" vertical="center" wrapText="1"/>
      <protection/>
    </xf>
    <xf numFmtId="9" fontId="10" fillId="0" borderId="42" xfId="81" applyFont="1" applyFill="1" applyBorder="1" applyAlignment="1" applyProtection="1">
      <alignment horizontal="center" vertical="center" wrapText="1"/>
      <protection/>
    </xf>
    <xf numFmtId="9" fontId="10" fillId="0" borderId="58" xfId="81" applyFont="1" applyFill="1" applyBorder="1" applyAlignment="1" applyProtection="1">
      <alignment horizontal="center" vertical="center" wrapText="1"/>
      <protection/>
    </xf>
    <xf numFmtId="9" fontId="10" fillId="0" borderId="34" xfId="81" applyFont="1" applyFill="1" applyBorder="1" applyAlignment="1" applyProtection="1">
      <alignment horizontal="center" vertical="center" wrapText="1"/>
      <protection/>
    </xf>
    <xf numFmtId="9" fontId="10" fillId="0" borderId="71" xfId="81" applyFont="1" applyFill="1" applyBorder="1" applyAlignment="1" applyProtection="1">
      <alignment horizontal="center" vertical="center" wrapText="1"/>
      <protection/>
    </xf>
    <xf numFmtId="9" fontId="10" fillId="38" borderId="65" xfId="81" applyFont="1" applyFill="1" applyBorder="1" applyAlignment="1" applyProtection="1">
      <alignment horizontal="left" vertical="center" wrapText="1"/>
      <protection/>
    </xf>
    <xf numFmtId="9" fontId="10" fillId="38" borderId="35" xfId="81" applyFont="1" applyFill="1" applyBorder="1" applyAlignment="1" applyProtection="1">
      <alignment horizontal="left" vertical="center" wrapText="1"/>
      <protection/>
    </xf>
    <xf numFmtId="0" fontId="11" fillId="5" borderId="87" xfId="72" applyFont="1" applyFill="1" applyBorder="1" applyAlignment="1">
      <alignment horizontal="center" vertical="center" wrapText="1"/>
      <protection/>
    </xf>
    <xf numFmtId="0" fontId="11" fillId="5" borderId="51" xfId="72" applyFont="1" applyFill="1" applyBorder="1" applyAlignment="1">
      <alignment horizontal="center" vertical="center" wrapText="1"/>
      <protection/>
    </xf>
    <xf numFmtId="0" fontId="11" fillId="5" borderId="68" xfId="72" applyFont="1" applyFill="1" applyBorder="1" applyAlignment="1">
      <alignment horizontal="center" vertical="center" wrapText="1"/>
      <protection/>
    </xf>
    <xf numFmtId="0" fontId="11" fillId="5" borderId="16" xfId="72" applyFont="1" applyFill="1" applyBorder="1" applyAlignment="1">
      <alignment horizontal="center" vertical="center" wrapText="1"/>
      <protection/>
    </xf>
    <xf numFmtId="0" fontId="11" fillId="5" borderId="60" xfId="72" applyFont="1" applyFill="1" applyBorder="1" applyAlignment="1">
      <alignment horizontal="center" vertical="center" wrapText="1"/>
      <protection/>
    </xf>
    <xf numFmtId="0" fontId="11" fillId="5" borderId="61" xfId="72" applyFont="1" applyFill="1" applyBorder="1" applyAlignment="1">
      <alignment horizontal="center" vertical="center" wrapText="1"/>
      <protection/>
    </xf>
    <xf numFmtId="0" fontId="11" fillId="5" borderId="62" xfId="72" applyFont="1" applyFill="1" applyBorder="1" applyAlignment="1">
      <alignment horizontal="center" vertical="center" wrapText="1"/>
      <protection/>
    </xf>
    <xf numFmtId="0" fontId="11" fillId="5" borderId="45" xfId="72" applyFont="1" applyFill="1" applyBorder="1" applyAlignment="1">
      <alignment horizontal="center" vertical="center" wrapText="1"/>
      <protection/>
    </xf>
    <xf numFmtId="2" fontId="10" fillId="0" borderId="37" xfId="72" applyNumberFormat="1" applyFont="1" applyBorder="1" applyAlignment="1">
      <alignment vertical="center" wrapText="1"/>
      <protection/>
    </xf>
    <xf numFmtId="2" fontId="10" fillId="0" borderId="51" xfId="72" applyNumberFormat="1" applyFont="1" applyBorder="1" applyAlignment="1">
      <alignment vertical="center" wrapText="1"/>
      <protection/>
    </xf>
    <xf numFmtId="9" fontId="10" fillId="0" borderId="22" xfId="79" applyFont="1" applyFill="1" applyBorder="1" applyAlignment="1" applyProtection="1">
      <alignment horizontal="center" vertical="center" wrapText="1"/>
      <protection/>
    </xf>
    <xf numFmtId="9" fontId="10" fillId="0" borderId="16" xfId="79" applyFont="1" applyFill="1" applyBorder="1" applyAlignment="1" applyProtection="1">
      <alignment horizontal="center" vertical="center" wrapText="1"/>
      <protection/>
    </xf>
    <xf numFmtId="9" fontId="10" fillId="38" borderId="13" xfId="72" applyNumberFormat="1" applyFont="1" applyFill="1" applyBorder="1" applyAlignment="1">
      <alignment horizontal="left" vertical="center" wrapText="1"/>
      <protection/>
    </xf>
    <xf numFmtId="9" fontId="10" fillId="0" borderId="64" xfId="72" applyNumberFormat="1" applyFont="1" applyBorder="1" applyAlignment="1">
      <alignment horizontal="left" vertical="center" wrapText="1"/>
      <protection/>
    </xf>
    <xf numFmtId="9" fontId="10" fillId="0" borderId="41" xfId="72" applyNumberFormat="1" applyFont="1" applyBorder="1" applyAlignment="1">
      <alignment horizontal="left" vertical="center" wrapText="1"/>
      <protection/>
    </xf>
    <xf numFmtId="9" fontId="10" fillId="0" borderId="65" xfId="72" applyNumberFormat="1" applyFont="1" applyBorder="1" applyAlignment="1">
      <alignment horizontal="left" vertical="center" wrapText="1"/>
      <protection/>
    </xf>
    <xf numFmtId="9" fontId="10" fillId="0" borderId="39" xfId="72" applyNumberFormat="1" applyFont="1" applyBorder="1" applyAlignment="1">
      <alignment horizontal="left" vertical="center" wrapText="1"/>
      <protection/>
    </xf>
    <xf numFmtId="9" fontId="10" fillId="0" borderId="15" xfId="72" applyNumberFormat="1" applyFont="1" applyBorder="1" applyAlignment="1">
      <alignment horizontal="left" vertical="center" wrapText="1"/>
      <protection/>
    </xf>
    <xf numFmtId="9" fontId="10" fillId="0" borderId="19" xfId="72" applyNumberFormat="1" applyFont="1" applyBorder="1" applyAlignment="1">
      <alignment horizontal="left" vertical="center" wrapText="1"/>
      <protection/>
    </xf>
    <xf numFmtId="2" fontId="10" fillId="0" borderId="63" xfId="72" applyNumberFormat="1" applyFont="1" applyBorder="1" applyAlignment="1">
      <alignment vertical="center" wrapText="1"/>
      <protection/>
    </xf>
    <xf numFmtId="9" fontId="10" fillId="0" borderId="57" xfId="79" applyFont="1" applyFill="1" applyBorder="1" applyAlignment="1" applyProtection="1">
      <alignment horizontal="center" vertical="center" wrapText="1"/>
      <protection/>
    </xf>
    <xf numFmtId="2" fontId="10" fillId="38" borderId="20" xfId="72" applyNumberFormat="1" applyFont="1" applyFill="1" applyBorder="1" applyAlignment="1">
      <alignment vertical="center" wrapText="1"/>
      <protection/>
    </xf>
    <xf numFmtId="2" fontId="10" fillId="38" borderId="50" xfId="72" applyNumberFormat="1" applyFont="1" applyFill="1" applyBorder="1" applyAlignment="1">
      <alignment vertical="center" wrapText="1"/>
      <protection/>
    </xf>
    <xf numFmtId="190" fontId="10" fillId="0" borderId="22" xfId="79" applyNumberFormat="1" applyFont="1" applyBorder="1" applyAlignment="1">
      <alignment horizontal="center" vertical="center" wrapText="1"/>
    </xf>
    <xf numFmtId="190" fontId="10" fillId="0" borderId="57" xfId="79" applyNumberFormat="1" applyFont="1" applyBorder="1" applyAlignment="1">
      <alignment horizontal="center" vertical="center" wrapText="1"/>
    </xf>
    <xf numFmtId="9" fontId="89" fillId="0" borderId="64" xfId="72" applyNumberFormat="1" applyFont="1" applyBorder="1" applyAlignment="1">
      <alignment horizontal="left" vertical="center" wrapText="1"/>
      <protection/>
    </xf>
    <xf numFmtId="9" fontId="89" fillId="0" borderId="41" xfId="72" applyNumberFormat="1" applyFont="1" applyBorder="1" applyAlignment="1">
      <alignment horizontal="left" vertical="center" wrapText="1"/>
      <protection/>
    </xf>
    <xf numFmtId="9" fontId="89" fillId="0" borderId="65" xfId="72" applyNumberFormat="1" applyFont="1" applyBorder="1" applyAlignment="1">
      <alignment horizontal="left" vertical="center" wrapText="1"/>
      <protection/>
    </xf>
    <xf numFmtId="9" fontId="89" fillId="0" borderId="58" xfId="72" applyNumberFormat="1" applyFont="1" applyBorder="1" applyAlignment="1">
      <alignment horizontal="left" vertical="center" wrapText="1"/>
      <protection/>
    </xf>
    <xf numFmtId="9" fontId="89" fillId="0" borderId="34" xfId="72" applyNumberFormat="1" applyFont="1" applyBorder="1" applyAlignment="1">
      <alignment horizontal="left" vertical="center" wrapText="1"/>
      <protection/>
    </xf>
    <xf numFmtId="9" fontId="89" fillId="0" borderId="35" xfId="72" applyNumberFormat="1" applyFont="1" applyBorder="1" applyAlignment="1">
      <alignment horizontal="left" vertical="center" wrapText="1"/>
      <protection/>
    </xf>
    <xf numFmtId="2" fontId="11" fillId="0" borderId="20" xfId="72" applyNumberFormat="1" applyFont="1" applyFill="1" applyBorder="1" applyAlignment="1">
      <alignment vertical="center" wrapText="1"/>
      <protection/>
    </xf>
    <xf numFmtId="2" fontId="10" fillId="0" borderId="20" xfId="72" applyNumberFormat="1" applyFont="1" applyFill="1" applyBorder="1" applyAlignment="1">
      <alignment vertical="center" wrapText="1"/>
      <protection/>
    </xf>
    <xf numFmtId="190" fontId="10" fillId="0" borderId="16" xfId="79" applyNumberFormat="1" applyFont="1" applyBorder="1" applyAlignment="1">
      <alignment horizontal="center" vertical="center" wrapText="1"/>
    </xf>
    <xf numFmtId="9" fontId="10" fillId="0" borderId="66" xfId="72" applyNumberFormat="1" applyFont="1" applyBorder="1" applyAlignment="1">
      <alignment horizontal="left" vertical="center" wrapText="1"/>
      <protection/>
    </xf>
    <xf numFmtId="9" fontId="10" fillId="0" borderId="0" xfId="72" applyNumberFormat="1" applyFont="1" applyAlignment="1">
      <alignment horizontal="left" vertical="center" wrapText="1"/>
      <protection/>
    </xf>
    <xf numFmtId="9" fontId="10" fillId="0" borderId="29" xfId="72" applyNumberFormat="1" applyFont="1" applyBorder="1" applyAlignment="1">
      <alignment horizontal="left" vertical="center" wrapText="1"/>
      <protection/>
    </xf>
    <xf numFmtId="2" fontId="10" fillId="0" borderId="51" xfId="72" applyNumberFormat="1" applyFont="1" applyFill="1" applyBorder="1" applyAlignment="1">
      <alignment vertical="center" wrapText="1"/>
      <protection/>
    </xf>
    <xf numFmtId="0" fontId="11" fillId="5" borderId="69" xfId="72" applyFont="1" applyFill="1" applyBorder="1" applyAlignment="1">
      <alignment horizontal="center" vertical="center" wrapText="1"/>
      <protection/>
    </xf>
    <xf numFmtId="190" fontId="10" fillId="0" borderId="54" xfId="79" applyNumberFormat="1" applyFont="1" applyBorder="1" applyAlignment="1">
      <alignment horizontal="center" vertical="center" wrapText="1"/>
    </xf>
    <xf numFmtId="0" fontId="10" fillId="0" borderId="37" xfId="72" applyFont="1" applyFill="1" applyBorder="1" applyAlignment="1">
      <alignment horizontal="center" vertical="center" wrapText="1"/>
      <protection/>
    </xf>
    <xf numFmtId="0" fontId="10" fillId="0" borderId="63" xfId="72" applyFont="1" applyFill="1" applyBorder="1" applyAlignment="1">
      <alignment horizontal="center" vertical="center" wrapText="1"/>
      <protection/>
    </xf>
    <xf numFmtId="9" fontId="11" fillId="0" borderId="22" xfId="72" applyNumberFormat="1" applyFont="1" applyBorder="1" applyAlignment="1">
      <alignment horizontal="center" vertical="center" wrapText="1"/>
      <protection/>
    </xf>
    <xf numFmtId="0" fontId="11" fillId="0" borderId="57" xfId="72" applyFont="1" applyBorder="1" applyAlignment="1">
      <alignment horizontal="center" vertical="center" wrapText="1"/>
      <protection/>
    </xf>
    <xf numFmtId="3" fontId="10" fillId="0" borderId="64" xfId="72" applyNumberFormat="1" applyFont="1" applyBorder="1" applyAlignment="1">
      <alignment horizontal="center" vertical="center" wrapText="1"/>
      <protection/>
    </xf>
    <xf numFmtId="3" fontId="10" fillId="0" borderId="42" xfId="72" applyNumberFormat="1" applyFont="1" applyBorder="1" applyAlignment="1">
      <alignment horizontal="center" vertical="center" wrapText="1"/>
      <protection/>
    </xf>
    <xf numFmtId="0" fontId="11" fillId="0" borderId="0" xfId="72" applyFont="1" applyFill="1" applyAlignment="1">
      <alignment horizontal="center" vertical="center" wrapText="1"/>
      <protection/>
    </xf>
    <xf numFmtId="2" fontId="10" fillId="0" borderId="50" xfId="72" applyNumberFormat="1" applyFont="1" applyBorder="1" applyAlignment="1">
      <alignment horizontal="left" vertical="center" wrapText="1"/>
      <protection/>
    </xf>
    <xf numFmtId="2" fontId="10" fillId="0" borderId="63" xfId="72" applyNumberFormat="1" applyFont="1" applyBorder="1" applyAlignment="1">
      <alignment horizontal="left" vertical="center" wrapText="1"/>
      <protection/>
    </xf>
    <xf numFmtId="9" fontId="10" fillId="0" borderId="38" xfId="79" applyFont="1" applyFill="1" applyBorder="1" applyAlignment="1" applyProtection="1">
      <alignment horizontal="center" vertical="center" wrapText="1"/>
      <protection/>
    </xf>
    <xf numFmtId="9" fontId="89" fillId="0" borderId="52" xfId="72" applyNumberFormat="1" applyFont="1" applyBorder="1" applyAlignment="1">
      <alignment vertical="center" wrapText="1"/>
      <protection/>
    </xf>
    <xf numFmtId="9" fontId="89" fillId="0" borderId="41" xfId="72" applyNumberFormat="1" applyFont="1" applyBorder="1" applyAlignment="1">
      <alignment vertical="center" wrapText="1"/>
      <protection/>
    </xf>
    <xf numFmtId="9" fontId="89" fillId="0" borderId="65" xfId="72" applyNumberFormat="1" applyFont="1" applyBorder="1" applyAlignment="1">
      <alignment vertical="center" wrapText="1"/>
      <protection/>
    </xf>
    <xf numFmtId="9" fontId="89" fillId="0" borderId="58" xfId="72" applyNumberFormat="1" applyFont="1" applyBorder="1" applyAlignment="1">
      <alignment vertical="center" wrapText="1"/>
      <protection/>
    </xf>
    <xf numFmtId="9" fontId="89" fillId="0" borderId="34" xfId="72" applyNumberFormat="1" applyFont="1" applyBorder="1" applyAlignment="1">
      <alignment vertical="center" wrapText="1"/>
      <protection/>
    </xf>
    <xf numFmtId="9" fontId="89" fillId="0" borderId="35" xfId="72" applyNumberFormat="1" applyFont="1" applyBorder="1" applyAlignment="1">
      <alignment vertical="center" wrapText="1"/>
      <protection/>
    </xf>
    <xf numFmtId="2" fontId="10" fillId="0" borderId="51" xfId="72" applyNumberFormat="1" applyFont="1" applyBorder="1" applyAlignment="1">
      <alignment horizontal="left" vertical="center" wrapText="1"/>
      <protection/>
    </xf>
    <xf numFmtId="2" fontId="10" fillId="0" borderId="20" xfId="72" applyNumberFormat="1" applyFont="1" applyBorder="1" applyAlignment="1">
      <alignment horizontal="left" vertical="center" wrapText="1"/>
      <protection/>
    </xf>
    <xf numFmtId="9" fontId="10" fillId="0" borderId="54" xfId="79" applyFont="1" applyBorder="1" applyAlignment="1">
      <alignment horizontal="center" vertical="center" wrapText="1"/>
    </xf>
    <xf numFmtId="9" fontId="10" fillId="0" borderId="16" xfId="79" applyFont="1" applyBorder="1" applyAlignment="1">
      <alignment horizontal="center" vertical="center" wrapText="1"/>
    </xf>
    <xf numFmtId="9" fontId="10" fillId="0" borderId="22" xfId="72" applyNumberFormat="1" applyFont="1" applyBorder="1" applyAlignment="1">
      <alignment horizontal="center" vertical="center" wrapText="1"/>
      <protection/>
    </xf>
    <xf numFmtId="0" fontId="10" fillId="0" borderId="57" xfId="72" applyFont="1" applyBorder="1" applyAlignment="1">
      <alignment horizontal="center" vertical="center" wrapText="1"/>
      <protection/>
    </xf>
    <xf numFmtId="9" fontId="10" fillId="0" borderId="65" xfId="81" applyFont="1" applyFill="1" applyBorder="1" applyAlignment="1" applyProtection="1">
      <alignment horizontal="center" vertical="center" wrapText="1"/>
      <protection/>
    </xf>
    <xf numFmtId="9" fontId="10" fillId="0" borderId="35" xfId="81" applyFont="1" applyFill="1" applyBorder="1" applyAlignment="1" applyProtection="1">
      <alignment horizontal="center" vertical="center" wrapText="1"/>
      <protection/>
    </xf>
    <xf numFmtId="0" fontId="10" fillId="0" borderId="83" xfId="72" applyFont="1" applyBorder="1" applyAlignment="1">
      <alignment horizontal="center" vertical="center" wrapText="1"/>
      <protection/>
    </xf>
    <xf numFmtId="0" fontId="10" fillId="0" borderId="84" xfId="72" applyFont="1" applyBorder="1" applyAlignment="1">
      <alignment horizontal="center" vertical="center" wrapText="1"/>
      <protection/>
    </xf>
    <xf numFmtId="0" fontId="10" fillId="0" borderId="85" xfId="72" applyFont="1" applyBorder="1" applyAlignment="1">
      <alignment horizontal="center" vertical="center" wrapText="1"/>
      <protection/>
    </xf>
    <xf numFmtId="0" fontId="11" fillId="0" borderId="80" xfId="72" applyFont="1" applyBorder="1" applyAlignment="1">
      <alignment horizontal="center" vertical="center"/>
      <protection/>
    </xf>
    <xf numFmtId="0" fontId="11" fillId="0" borderId="26" xfId="72" applyFont="1" applyBorder="1" applyAlignment="1">
      <alignment horizontal="center" vertical="center"/>
      <protection/>
    </xf>
    <xf numFmtId="0" fontId="11" fillId="0" borderId="27" xfId="72" applyFont="1" applyBorder="1" applyAlignment="1">
      <alignment horizontal="center" vertical="center"/>
      <protection/>
    </xf>
    <xf numFmtId="2" fontId="10" fillId="0" borderId="37" xfId="72" applyNumberFormat="1" applyFont="1" applyBorder="1" applyAlignment="1">
      <alignment horizontal="left" vertical="center" wrapText="1"/>
      <protection/>
    </xf>
    <xf numFmtId="9" fontId="10" fillId="0" borderId="22" xfId="79" applyFont="1" applyBorder="1" applyAlignment="1">
      <alignment horizontal="center" vertical="center" wrapText="1"/>
    </xf>
    <xf numFmtId="9" fontId="10" fillId="0" borderId="64" xfId="72" applyNumberFormat="1" applyFont="1" applyFill="1" applyBorder="1" applyAlignment="1">
      <alignment horizontal="left" vertical="center" wrapText="1"/>
      <protection/>
    </xf>
    <xf numFmtId="9" fontId="10" fillId="0" borderId="41" xfId="72" applyNumberFormat="1" applyFont="1" applyFill="1" applyBorder="1" applyAlignment="1">
      <alignment horizontal="left" vertical="center" wrapText="1"/>
      <protection/>
    </xf>
    <xf numFmtId="9" fontId="10" fillId="0" borderId="65" xfId="72" applyNumberFormat="1" applyFont="1" applyFill="1" applyBorder="1" applyAlignment="1">
      <alignment horizontal="left" vertical="center" wrapText="1"/>
      <protection/>
    </xf>
    <xf numFmtId="9" fontId="10" fillId="0" borderId="66" xfId="72" applyNumberFormat="1" applyFont="1" applyFill="1" applyBorder="1" applyAlignment="1">
      <alignment horizontal="left" vertical="center" wrapText="1"/>
      <protection/>
    </xf>
    <xf numFmtId="9" fontId="10" fillId="0" borderId="0" xfId="72" applyNumberFormat="1" applyFont="1" applyFill="1" applyAlignment="1">
      <alignment horizontal="left" vertical="center" wrapText="1"/>
      <protection/>
    </xf>
    <xf numFmtId="9" fontId="10" fillId="0" borderId="29" xfId="72" applyNumberFormat="1" applyFont="1" applyFill="1" applyBorder="1" applyAlignment="1">
      <alignment horizontal="left" vertical="center" wrapText="1"/>
      <protection/>
    </xf>
    <xf numFmtId="0" fontId="11" fillId="0" borderId="28" xfId="72" applyFont="1" applyBorder="1" applyAlignment="1">
      <alignment horizontal="center" vertical="center"/>
      <protection/>
    </xf>
    <xf numFmtId="0" fontId="11" fillId="0" borderId="0" xfId="72" applyFont="1" applyAlignment="1">
      <alignment horizontal="center" vertical="center"/>
      <protection/>
    </xf>
    <xf numFmtId="0" fontId="11" fillId="0" borderId="29" xfId="72" applyFont="1" applyBorder="1" applyAlignment="1">
      <alignment horizontal="center" vertical="center"/>
      <protection/>
    </xf>
    <xf numFmtId="0" fontId="11" fillId="0" borderId="61" xfId="0" applyFont="1" applyBorder="1" applyAlignment="1">
      <alignment horizontal="left" vertical="center" wrapText="1"/>
    </xf>
    <xf numFmtId="0" fontId="11" fillId="0" borderId="69" xfId="0" applyFont="1" applyBorder="1" applyAlignment="1">
      <alignment horizontal="left" vertical="center" wrapText="1"/>
    </xf>
    <xf numFmtId="0" fontId="11" fillId="0" borderId="72" xfId="0" applyFont="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0" fontId="10" fillId="0" borderId="64"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9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9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71" xfId="0" applyFont="1" applyFill="1" applyBorder="1" applyAlignment="1">
      <alignment horizontal="left" vertical="center" wrapText="1"/>
    </xf>
    <xf numFmtId="190" fontId="10" fillId="0" borderId="54" xfId="79" applyNumberFormat="1" applyFont="1" applyFill="1" applyBorder="1" applyAlignment="1" applyProtection="1">
      <alignment horizontal="center" vertical="center" wrapText="1"/>
      <protection/>
    </xf>
    <xf numFmtId="190" fontId="10" fillId="0" borderId="16" xfId="79" applyNumberFormat="1" applyFont="1" applyFill="1" applyBorder="1" applyAlignment="1" applyProtection="1">
      <alignment horizontal="center" vertical="center" wrapText="1"/>
      <protection/>
    </xf>
    <xf numFmtId="9" fontId="19" fillId="0" borderId="64" xfId="72" applyNumberFormat="1" applyFont="1" applyFill="1" applyBorder="1" applyAlignment="1">
      <alignment vertical="center" wrapText="1"/>
      <protection/>
    </xf>
    <xf numFmtId="9" fontId="19" fillId="0" borderId="41" xfId="72" applyNumberFormat="1" applyFont="1" applyFill="1" applyBorder="1" applyAlignment="1">
      <alignment vertical="center" wrapText="1"/>
      <protection/>
    </xf>
    <xf numFmtId="9" fontId="19" fillId="0" borderId="65" xfId="72" applyNumberFormat="1" applyFont="1" applyFill="1" applyBorder="1" applyAlignment="1">
      <alignment vertical="center" wrapText="1"/>
      <protection/>
    </xf>
    <xf numFmtId="9" fontId="19" fillId="0" borderId="39" xfId="72" applyNumberFormat="1" applyFont="1" applyFill="1" applyBorder="1" applyAlignment="1">
      <alignment vertical="center" wrapText="1"/>
      <protection/>
    </xf>
    <xf numFmtId="9" fontId="19" fillId="0" borderId="15" xfId="72" applyNumberFormat="1" applyFont="1" applyFill="1" applyBorder="1" applyAlignment="1">
      <alignment vertical="center" wrapText="1"/>
      <protection/>
    </xf>
    <xf numFmtId="9" fontId="19" fillId="0" borderId="19" xfId="72" applyNumberFormat="1" applyFont="1" applyFill="1" applyBorder="1" applyAlignment="1">
      <alignment vertical="center" wrapText="1"/>
      <protection/>
    </xf>
    <xf numFmtId="0" fontId="0" fillId="0" borderId="51" xfId="0" applyBorder="1" applyAlignment="1">
      <alignment horizontal="left" vertical="center" wrapText="1"/>
    </xf>
    <xf numFmtId="9" fontId="19" fillId="0" borderId="66" xfId="72" applyNumberFormat="1" applyFont="1" applyFill="1" applyBorder="1" applyAlignment="1">
      <alignment vertical="center" wrapText="1"/>
      <protection/>
    </xf>
    <xf numFmtId="9" fontId="19" fillId="0" borderId="0" xfId="72" applyNumberFormat="1" applyFont="1" applyFill="1" applyAlignment="1">
      <alignment vertical="center" wrapText="1"/>
      <protection/>
    </xf>
    <xf numFmtId="9" fontId="19" fillId="0" borderId="29" xfId="72" applyNumberFormat="1" applyFont="1" applyFill="1" applyBorder="1" applyAlignment="1">
      <alignment vertical="center" wrapText="1"/>
      <protection/>
    </xf>
    <xf numFmtId="2" fontId="10" fillId="0" borderId="94" xfId="72" applyNumberFormat="1" applyFont="1" applyBorder="1" applyAlignment="1">
      <alignment horizontal="left" vertical="center" wrapText="1"/>
      <protection/>
    </xf>
    <xf numFmtId="0" fontId="0" fillId="0" borderId="63" xfId="0" applyBorder="1" applyAlignment="1">
      <alignment horizontal="left" vertical="center" wrapText="1"/>
    </xf>
    <xf numFmtId="190" fontId="10" fillId="0" borderId="22" xfId="79" applyNumberFormat="1" applyFont="1" applyFill="1" applyBorder="1" applyAlignment="1" applyProtection="1">
      <alignment horizontal="center" vertical="center" wrapText="1"/>
      <protection/>
    </xf>
    <xf numFmtId="190" fontId="10" fillId="0" borderId="57" xfId="79" applyNumberFormat="1" applyFont="1" applyFill="1" applyBorder="1" applyAlignment="1" applyProtection="1">
      <alignment horizontal="center" vertical="center" wrapText="1"/>
      <protection/>
    </xf>
    <xf numFmtId="9" fontId="19" fillId="0" borderId="58" xfId="72" applyNumberFormat="1" applyFont="1" applyFill="1" applyBorder="1" applyAlignment="1">
      <alignment vertical="center" wrapText="1"/>
      <protection/>
    </xf>
    <xf numFmtId="9" fontId="19" fillId="0" borderId="34" xfId="72" applyNumberFormat="1" applyFont="1" applyFill="1" applyBorder="1" applyAlignment="1">
      <alignment vertical="center" wrapText="1"/>
      <protection/>
    </xf>
    <xf numFmtId="9" fontId="19" fillId="0" borderId="35" xfId="72" applyNumberFormat="1" applyFont="1" applyFill="1" applyBorder="1" applyAlignment="1">
      <alignment vertical="center" wrapText="1"/>
      <protection/>
    </xf>
    <xf numFmtId="199" fontId="11" fillId="0" borderId="95" xfId="72" applyNumberFormat="1" applyFont="1" applyBorder="1" applyAlignment="1">
      <alignment horizontal="center" vertical="center" wrapText="1"/>
      <protection/>
    </xf>
    <xf numFmtId="199" fontId="11" fillId="0" borderId="26" xfId="72" applyNumberFormat="1" applyFont="1" applyBorder="1" applyAlignment="1">
      <alignment horizontal="center" vertical="center" wrapText="1"/>
      <protection/>
    </xf>
    <xf numFmtId="199" fontId="11" fillId="0" borderId="96" xfId="72" applyNumberFormat="1" applyFont="1" applyBorder="1" applyAlignment="1">
      <alignment horizontal="center" vertical="center" wrapText="1"/>
      <protection/>
    </xf>
    <xf numFmtId="199" fontId="11" fillId="0" borderId="66" xfId="72" applyNumberFormat="1" applyFont="1" applyBorder="1" applyAlignment="1">
      <alignment horizontal="center" vertical="center" wrapText="1"/>
      <protection/>
    </xf>
    <xf numFmtId="199" fontId="11" fillId="0" borderId="0" xfId="72" applyNumberFormat="1" applyFont="1" applyAlignment="1">
      <alignment horizontal="center" vertical="center" wrapText="1"/>
      <protection/>
    </xf>
    <xf numFmtId="199" fontId="11" fillId="0" borderId="43" xfId="72" applyNumberFormat="1" applyFont="1" applyBorder="1" applyAlignment="1">
      <alignment horizontal="center" vertical="center" wrapText="1"/>
      <protection/>
    </xf>
    <xf numFmtId="199" fontId="11" fillId="0" borderId="58" xfId="72" applyNumberFormat="1" applyFont="1" applyBorder="1" applyAlignment="1">
      <alignment horizontal="center" vertical="center" wrapText="1"/>
      <protection/>
    </xf>
    <xf numFmtId="199" fontId="11" fillId="0" borderId="34" xfId="72" applyNumberFormat="1" applyFont="1" applyBorder="1" applyAlignment="1">
      <alignment horizontal="center" vertical="center" wrapText="1"/>
      <protection/>
    </xf>
    <xf numFmtId="199" fontId="11" fillId="0" borderId="71" xfId="72" applyNumberFormat="1" applyFont="1" applyBorder="1" applyAlignment="1">
      <alignment horizontal="center" vertical="center" wrapText="1"/>
      <protection/>
    </xf>
    <xf numFmtId="0" fontId="11" fillId="38" borderId="26" xfId="72" applyFont="1" applyFill="1" applyBorder="1" applyAlignment="1">
      <alignment horizontal="center" vertical="center" wrapText="1"/>
      <protection/>
    </xf>
    <xf numFmtId="0" fontId="11" fillId="38" borderId="0" xfId="72" applyFont="1" applyFill="1" applyAlignment="1">
      <alignment horizontal="center" vertical="center" wrapText="1"/>
      <protection/>
    </xf>
    <xf numFmtId="0" fontId="11" fillId="38" borderId="34" xfId="72" applyFont="1" applyFill="1" applyBorder="1" applyAlignment="1">
      <alignment horizontal="center" vertical="center" wrapText="1"/>
      <protection/>
    </xf>
    <xf numFmtId="0" fontId="11" fillId="38" borderId="14" xfId="72" applyFont="1" applyFill="1" applyBorder="1" applyAlignment="1">
      <alignment horizontal="left" vertical="center" wrapText="1"/>
      <protection/>
    </xf>
    <xf numFmtId="0" fontId="11" fillId="38" borderId="70" xfId="72" applyFont="1" applyFill="1" applyBorder="1" applyAlignment="1">
      <alignment horizontal="left" vertical="center" wrapText="1"/>
      <protection/>
    </xf>
    <xf numFmtId="0" fontId="11" fillId="38" borderId="17" xfId="72" applyFont="1" applyFill="1" applyBorder="1" applyAlignment="1">
      <alignment horizontal="left" vertical="center" wrapText="1"/>
      <protection/>
    </xf>
    <xf numFmtId="0" fontId="11" fillId="38" borderId="45" xfId="72" applyFont="1" applyFill="1" applyBorder="1" applyAlignment="1">
      <alignment horizontal="left" vertical="center" wrapText="1"/>
      <protection/>
    </xf>
    <xf numFmtId="0" fontId="11" fillId="38" borderId="40" xfId="72" applyFont="1" applyFill="1" applyBorder="1" applyAlignment="1">
      <alignment horizontal="left" vertical="center" wrapText="1"/>
      <protection/>
    </xf>
    <xf numFmtId="0" fontId="11" fillId="38" borderId="86" xfId="72" applyFont="1" applyFill="1" applyBorder="1" applyAlignment="1">
      <alignment horizontal="left" vertical="center" wrapText="1"/>
      <protection/>
    </xf>
    <xf numFmtId="0" fontId="11" fillId="38" borderId="79" xfId="72" applyFont="1" applyFill="1" applyBorder="1" applyAlignment="1">
      <alignment horizontal="left" vertical="center" wrapText="1"/>
      <protection/>
    </xf>
    <xf numFmtId="0" fontId="11" fillId="38" borderId="77" xfId="72" applyFont="1" applyFill="1" applyBorder="1" applyAlignment="1">
      <alignment horizontal="left" vertical="center" wrapText="1"/>
      <protection/>
    </xf>
    <xf numFmtId="14" fontId="104" fillId="0" borderId="13" xfId="0" applyNumberFormat="1" applyFont="1" applyFill="1" applyBorder="1" applyAlignment="1">
      <alignment horizontal="center" vertical="center"/>
    </xf>
    <xf numFmtId="0" fontId="91" fillId="0" borderId="14" xfId="0" applyFont="1" applyBorder="1" applyAlignment="1">
      <alignment horizontal="center" vertical="center" wrapText="1"/>
    </xf>
    <xf numFmtId="0" fontId="91" fillId="0" borderId="17" xfId="0" applyFont="1" applyBorder="1" applyAlignment="1">
      <alignment horizontal="center" vertical="center" wrapText="1"/>
    </xf>
    <xf numFmtId="0" fontId="91" fillId="41" borderId="64" xfId="72" applyFont="1" applyFill="1" applyBorder="1" applyAlignment="1">
      <alignment horizontal="center" vertical="center" wrapText="1"/>
      <protection/>
    </xf>
    <xf numFmtId="0" fontId="91" fillId="41" borderId="41" xfId="72" applyFont="1" applyFill="1" applyBorder="1" applyAlignment="1">
      <alignment horizontal="center" vertical="center" wrapText="1"/>
      <protection/>
    </xf>
    <xf numFmtId="0" fontId="91" fillId="41" borderId="42" xfId="72" applyFont="1" applyFill="1" applyBorder="1" applyAlignment="1">
      <alignment horizontal="center" vertical="center" wrapText="1"/>
      <protection/>
    </xf>
    <xf numFmtId="0" fontId="91" fillId="41" borderId="66" xfId="72" applyFont="1" applyFill="1" applyBorder="1" applyAlignment="1">
      <alignment horizontal="center" vertical="center" wrapText="1"/>
      <protection/>
    </xf>
    <xf numFmtId="0" fontId="91" fillId="41" borderId="0" xfId="72" applyFont="1" applyFill="1" applyBorder="1" applyAlignment="1">
      <alignment horizontal="center" vertical="center" wrapText="1"/>
      <protection/>
    </xf>
    <xf numFmtId="0" fontId="91" fillId="41" borderId="43" xfId="72" applyFont="1" applyFill="1" applyBorder="1" applyAlignment="1">
      <alignment horizontal="center" vertical="center" wrapText="1"/>
      <protection/>
    </xf>
    <xf numFmtId="0" fontId="91" fillId="41" borderId="39" xfId="72" applyFont="1" applyFill="1" applyBorder="1" applyAlignment="1">
      <alignment horizontal="center" vertical="center" wrapText="1"/>
      <protection/>
    </xf>
    <xf numFmtId="0" fontId="91" fillId="41" borderId="15" xfId="72" applyFont="1" applyFill="1" applyBorder="1" applyAlignment="1">
      <alignment horizontal="center" vertical="center" wrapText="1"/>
      <protection/>
    </xf>
    <xf numFmtId="0" fontId="91" fillId="41" borderId="44" xfId="72" applyFont="1" applyFill="1" applyBorder="1" applyAlignment="1">
      <alignment horizontal="center" vertical="center" wrapText="1"/>
      <protection/>
    </xf>
    <xf numFmtId="0" fontId="11" fillId="41" borderId="64" xfId="72" applyFont="1" applyFill="1" applyBorder="1" applyAlignment="1">
      <alignment horizontal="center" vertical="center" wrapText="1"/>
      <protection/>
    </xf>
    <xf numFmtId="0" fontId="11" fillId="41" borderId="41" xfId="72" applyFont="1" applyFill="1" applyBorder="1" applyAlignment="1">
      <alignment horizontal="center" vertical="center" wrapText="1"/>
      <protection/>
    </xf>
    <xf numFmtId="0" fontId="11" fillId="41" borderId="42" xfId="72" applyFont="1" applyFill="1" applyBorder="1" applyAlignment="1">
      <alignment horizontal="center" vertical="center" wrapText="1"/>
      <protection/>
    </xf>
    <xf numFmtId="0" fontId="11" fillId="41" borderId="66" xfId="72" applyFont="1" applyFill="1" applyBorder="1" applyAlignment="1">
      <alignment horizontal="center" vertical="center" wrapText="1"/>
      <protection/>
    </xf>
    <xf numFmtId="0" fontId="11" fillId="41" borderId="0" xfId="72" applyFont="1" applyFill="1" applyBorder="1" applyAlignment="1">
      <alignment horizontal="center" vertical="center" wrapText="1"/>
      <protection/>
    </xf>
    <xf numFmtId="0" fontId="11" fillId="41" borderId="43" xfId="72" applyFont="1" applyFill="1" applyBorder="1" applyAlignment="1">
      <alignment horizontal="center" vertical="center" wrapText="1"/>
      <protection/>
    </xf>
    <xf numFmtId="0" fontId="11" fillId="41" borderId="39" xfId="72" applyFont="1" applyFill="1" applyBorder="1" applyAlignment="1">
      <alignment horizontal="center" vertical="center" wrapText="1"/>
      <protection/>
    </xf>
    <xf numFmtId="0" fontId="11" fillId="41" borderId="15" xfId="72" applyFont="1" applyFill="1" applyBorder="1" applyAlignment="1">
      <alignment horizontal="center" vertical="center" wrapText="1"/>
      <protection/>
    </xf>
    <xf numFmtId="0" fontId="11" fillId="41" borderId="44" xfId="72" applyFont="1" applyFill="1" applyBorder="1" applyAlignment="1">
      <alignment horizontal="center" vertical="center" wrapText="1"/>
      <protection/>
    </xf>
    <xf numFmtId="0" fontId="91" fillId="0" borderId="14" xfId="0" applyFont="1" applyBorder="1" applyAlignment="1">
      <alignment horizontal="left" vertical="center" wrapText="1"/>
    </xf>
    <xf numFmtId="0" fontId="91" fillId="0" borderId="17" xfId="0" applyFont="1" applyBorder="1" applyAlignment="1">
      <alignment horizontal="left" vertical="center" wrapText="1"/>
    </xf>
    <xf numFmtId="0" fontId="11" fillId="0" borderId="14" xfId="0" applyFont="1" applyBorder="1" applyAlignment="1">
      <alignment horizontal="left" vertical="center" wrapText="1"/>
    </xf>
    <xf numFmtId="0" fontId="91" fillId="0" borderId="14" xfId="0" applyFont="1" applyBorder="1" applyAlignment="1">
      <alignment horizontal="center" vertical="center"/>
    </xf>
    <xf numFmtId="0" fontId="91" fillId="0" borderId="70" xfId="0" applyFont="1" applyBorder="1" applyAlignment="1">
      <alignment horizontal="center" vertical="center"/>
    </xf>
    <xf numFmtId="0" fontId="91" fillId="0" borderId="17" xfId="0" applyFont="1" applyBorder="1" applyAlignment="1">
      <alignment horizontal="center" vertical="center"/>
    </xf>
    <xf numFmtId="0" fontId="89" fillId="0" borderId="22" xfId="59" applyNumberFormat="1" applyFont="1" applyBorder="1" applyAlignment="1">
      <alignment horizontal="center" vertical="center" wrapText="1"/>
    </xf>
    <xf numFmtId="0" fontId="89" fillId="0" borderId="16" xfId="59" applyNumberFormat="1" applyFont="1" applyBorder="1" applyAlignment="1">
      <alignment horizontal="center" vertical="center" wrapText="1"/>
    </xf>
    <xf numFmtId="0" fontId="89" fillId="0" borderId="22" xfId="0" applyFont="1" applyBorder="1" applyAlignment="1">
      <alignment horizontal="center" vertical="center"/>
    </xf>
    <xf numFmtId="0" fontId="89" fillId="0" borderId="16" xfId="0" applyFont="1" applyBorder="1" applyAlignment="1">
      <alignment horizontal="center" vertical="center"/>
    </xf>
    <xf numFmtId="9" fontId="89" fillId="0" borderId="22" xfId="79" applyFont="1" applyBorder="1" applyAlignment="1">
      <alignment horizontal="center" vertical="center" wrapText="1"/>
    </xf>
    <xf numFmtId="9" fontId="89" fillId="0" borderId="16" xfId="79" applyFont="1" applyBorder="1" applyAlignment="1">
      <alignment horizontal="center" vertical="center" wrapText="1"/>
    </xf>
    <xf numFmtId="9" fontId="89" fillId="0" borderId="22" xfId="79" applyFont="1" applyBorder="1" applyAlignment="1">
      <alignment horizontal="center" vertical="center"/>
    </xf>
    <xf numFmtId="9" fontId="89" fillId="0" borderId="16" xfId="79" applyFont="1" applyBorder="1" applyAlignment="1">
      <alignment horizontal="center" vertical="center"/>
    </xf>
    <xf numFmtId="0" fontId="89" fillId="0" borderId="22" xfId="79" applyNumberFormat="1" applyFont="1" applyBorder="1" applyAlignment="1">
      <alignment horizontal="left" vertical="center" wrapText="1"/>
    </xf>
    <xf numFmtId="0" fontId="89" fillId="0" borderId="16" xfId="79" applyNumberFormat="1" applyFont="1" applyBorder="1" applyAlignment="1">
      <alignment horizontal="left" vertical="center" wrapText="1"/>
    </xf>
    <xf numFmtId="0" fontId="10" fillId="0" borderId="22" xfId="79" applyNumberFormat="1" applyFont="1" applyFill="1" applyBorder="1" applyAlignment="1">
      <alignment horizontal="center" vertical="center" wrapText="1"/>
    </xf>
    <xf numFmtId="0" fontId="10" fillId="0" borderId="16" xfId="79" applyNumberFormat="1" applyFont="1" applyFill="1" applyBorder="1" applyAlignment="1">
      <alignment horizontal="center" vertical="center"/>
    </xf>
    <xf numFmtId="0" fontId="10" fillId="0" borderId="22" xfId="79" applyNumberFormat="1" applyFont="1" applyBorder="1" applyAlignment="1">
      <alignment horizontal="center" vertical="center" wrapText="1"/>
    </xf>
    <xf numFmtId="0" fontId="10" fillId="0" borderId="16" xfId="79" applyNumberFormat="1" applyFont="1" applyBorder="1" applyAlignment="1">
      <alignment horizontal="center" vertical="center" wrapText="1"/>
    </xf>
    <xf numFmtId="0" fontId="91" fillId="11" borderId="0" xfId="0" applyFont="1" applyFill="1" applyAlignment="1">
      <alignment horizontal="center" vertical="center"/>
    </xf>
    <xf numFmtId="0" fontId="91" fillId="0" borderId="13" xfId="0" applyFont="1" applyBorder="1" applyAlignment="1">
      <alignment horizontal="center" vertical="center" wrapText="1"/>
    </xf>
    <xf numFmtId="9" fontId="10" fillId="0" borderId="22" xfId="79" applyFont="1" applyBorder="1" applyAlignment="1">
      <alignment horizontal="left" vertical="center" wrapText="1"/>
    </xf>
    <xf numFmtId="9" fontId="10" fillId="0" borderId="16" xfId="79" applyFont="1" applyBorder="1" applyAlignment="1">
      <alignment horizontal="left" vertical="center" wrapText="1"/>
    </xf>
    <xf numFmtId="0" fontId="89" fillId="0" borderId="22" xfId="0" applyFont="1" applyBorder="1" applyAlignment="1">
      <alignment horizontal="center" vertical="center" wrapText="1"/>
    </xf>
    <xf numFmtId="0" fontId="89" fillId="0" borderId="16" xfId="0" applyFont="1" applyBorder="1" applyAlignment="1">
      <alignment horizontal="center" vertical="center" wrapText="1"/>
    </xf>
    <xf numFmtId="9" fontId="89" fillId="0" borderId="22" xfId="0" applyNumberFormat="1" applyFont="1" applyBorder="1" applyAlignment="1">
      <alignment horizontal="center" vertical="center"/>
    </xf>
    <xf numFmtId="9" fontId="89" fillId="0" borderId="16" xfId="0" applyNumberFormat="1" applyFont="1" applyBorder="1" applyAlignment="1">
      <alignment horizontal="center" vertical="center"/>
    </xf>
    <xf numFmtId="9" fontId="10" fillId="0" borderId="16" xfId="72" applyNumberFormat="1" applyFont="1" applyBorder="1" applyAlignment="1">
      <alignment horizontal="center" vertical="center" wrapText="1"/>
      <protection/>
    </xf>
    <xf numFmtId="9" fontId="10" fillId="0" borderId="22" xfId="72" applyNumberFormat="1" applyFont="1" applyFill="1" applyBorder="1" applyAlignment="1">
      <alignment horizontal="center" vertical="center" wrapText="1"/>
      <protection/>
    </xf>
    <xf numFmtId="9" fontId="10" fillId="0" borderId="16" xfId="72" applyNumberFormat="1" applyFont="1" applyFill="1" applyBorder="1" applyAlignment="1">
      <alignment horizontal="center" vertical="center" wrapText="1"/>
      <protection/>
    </xf>
    <xf numFmtId="0" fontId="91" fillId="11" borderId="13" xfId="0" applyFont="1" applyFill="1" applyBorder="1" applyAlignment="1">
      <alignment horizontal="center" vertical="center" wrapText="1"/>
    </xf>
    <xf numFmtId="0" fontId="11" fillId="38" borderId="16" xfId="72" applyFont="1" applyFill="1" applyBorder="1" applyAlignment="1">
      <alignment horizontal="left" vertical="center" wrapText="1"/>
      <protection/>
    </xf>
    <xf numFmtId="0" fontId="11" fillId="0" borderId="13" xfId="0" applyFont="1" applyBorder="1" applyAlignment="1">
      <alignment horizontal="center" vertical="center" wrapText="1"/>
    </xf>
    <xf numFmtId="0" fontId="91" fillId="11" borderId="13" xfId="0" applyFont="1" applyFill="1" applyBorder="1" applyAlignment="1">
      <alignment horizontal="left" vertical="center"/>
    </xf>
    <xf numFmtId="0" fontId="89" fillId="0" borderId="13" xfId="0" applyFont="1" applyBorder="1" applyAlignment="1">
      <alignment horizontal="left" vertical="center"/>
    </xf>
    <xf numFmtId="14" fontId="11" fillId="0" borderId="13" xfId="0" applyNumberFormat="1" applyFont="1" applyBorder="1" applyAlignment="1">
      <alignment horizontal="center" vertical="center"/>
    </xf>
    <xf numFmtId="0" fontId="11" fillId="0" borderId="13" xfId="0" applyFont="1" applyBorder="1" applyAlignment="1">
      <alignment horizontal="center"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8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9" fontId="11" fillId="0" borderId="64" xfId="72" applyNumberFormat="1" applyFont="1" applyBorder="1" applyAlignment="1">
      <alignment horizontal="left" vertical="center" wrapText="1"/>
      <protection/>
    </xf>
    <xf numFmtId="9" fontId="10" fillId="38" borderId="22" xfId="72" applyNumberFormat="1" applyFont="1" applyFill="1" applyBorder="1" applyAlignment="1">
      <alignment horizontal="left" vertical="center" wrapText="1"/>
      <protection/>
    </xf>
    <xf numFmtId="9" fontId="10" fillId="0" borderId="0" xfId="72" applyNumberFormat="1" applyFont="1" applyBorder="1" applyAlignment="1">
      <alignment horizontal="left" vertical="center" wrapText="1"/>
      <protection/>
    </xf>
    <xf numFmtId="9" fontId="10" fillId="0" borderId="42" xfId="72" applyNumberFormat="1" applyFont="1" applyBorder="1" applyAlignment="1">
      <alignment horizontal="left" vertical="center" wrapText="1"/>
      <protection/>
    </xf>
    <xf numFmtId="9" fontId="10" fillId="0" borderId="44" xfId="72" applyNumberFormat="1" applyFont="1" applyBorder="1" applyAlignment="1">
      <alignment horizontal="left" vertical="center" wrapText="1"/>
      <protection/>
    </xf>
    <xf numFmtId="9" fontId="10" fillId="38" borderId="64" xfId="81" applyFont="1" applyFill="1" applyBorder="1" applyAlignment="1" applyProtection="1">
      <alignment horizontal="left" vertical="top" wrapText="1"/>
      <protection/>
    </xf>
    <xf numFmtId="9" fontId="10" fillId="38" borderId="41" xfId="81" applyFont="1" applyFill="1" applyBorder="1" applyAlignment="1" applyProtection="1">
      <alignment horizontal="left" vertical="top" wrapText="1"/>
      <protection/>
    </xf>
    <xf numFmtId="9" fontId="10" fillId="38" borderId="42" xfId="81" applyFont="1" applyFill="1" applyBorder="1" applyAlignment="1" applyProtection="1">
      <alignment horizontal="left" vertical="top" wrapText="1"/>
      <protection/>
    </xf>
    <xf numFmtId="9" fontId="10" fillId="38" borderId="58" xfId="81" applyFont="1" applyFill="1" applyBorder="1" applyAlignment="1" applyProtection="1">
      <alignment horizontal="left" vertical="top" wrapText="1"/>
      <protection/>
    </xf>
    <xf numFmtId="9" fontId="10" fillId="38" borderId="34" xfId="81" applyFont="1" applyFill="1" applyBorder="1" applyAlignment="1" applyProtection="1">
      <alignment horizontal="left" vertical="top" wrapText="1"/>
      <protection/>
    </xf>
    <xf numFmtId="9" fontId="10" fillId="38" borderId="71" xfId="81" applyFont="1" applyFill="1" applyBorder="1" applyAlignment="1" applyProtection="1">
      <alignment horizontal="left" vertical="top" wrapText="1"/>
      <protection/>
    </xf>
    <xf numFmtId="9" fontId="10" fillId="38" borderId="64" xfId="81" applyFont="1" applyFill="1" applyBorder="1" applyAlignment="1" applyProtection="1">
      <alignment horizontal="center" vertical="center" wrapText="1"/>
      <protection/>
    </xf>
    <xf numFmtId="9" fontId="10" fillId="38" borderId="41" xfId="81" applyFont="1" applyFill="1" applyBorder="1" applyAlignment="1" applyProtection="1">
      <alignment horizontal="center" vertical="center" wrapText="1"/>
      <protection/>
    </xf>
    <xf numFmtId="9" fontId="10" fillId="38" borderId="42" xfId="81" applyFont="1" applyFill="1" applyBorder="1" applyAlignment="1" applyProtection="1">
      <alignment horizontal="center" vertical="center" wrapText="1"/>
      <protection/>
    </xf>
    <xf numFmtId="9" fontId="10" fillId="38" borderId="58" xfId="81" applyFont="1" applyFill="1" applyBorder="1" applyAlignment="1" applyProtection="1">
      <alignment horizontal="center" vertical="center" wrapText="1"/>
      <protection/>
    </xf>
    <xf numFmtId="9" fontId="10" fillId="38" borderId="34" xfId="81" applyFont="1" applyFill="1" applyBorder="1" applyAlignment="1" applyProtection="1">
      <alignment horizontal="center" vertical="center" wrapText="1"/>
      <protection/>
    </xf>
    <xf numFmtId="9" fontId="10" fillId="38" borderId="71" xfId="81" applyFont="1" applyFill="1" applyBorder="1" applyAlignment="1" applyProtection="1">
      <alignment horizontal="center" vertical="center" wrapText="1"/>
      <protection/>
    </xf>
    <xf numFmtId="0" fontId="89" fillId="0" borderId="64" xfId="0" applyFont="1" applyFill="1" applyBorder="1" applyAlignment="1">
      <alignment horizontal="left" vertical="center" wrapText="1"/>
    </xf>
    <xf numFmtId="0" fontId="89" fillId="0" borderId="41" xfId="0" applyFont="1" applyFill="1" applyBorder="1" applyAlignment="1">
      <alignment horizontal="left" vertical="center" wrapText="1"/>
    </xf>
    <xf numFmtId="0" fontId="89" fillId="0" borderId="42"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89" fillId="0" borderId="58" xfId="0" applyFont="1" applyFill="1" applyBorder="1" applyAlignment="1">
      <alignment horizontal="left" vertical="center" wrapText="1"/>
    </xf>
    <xf numFmtId="0" fontId="89" fillId="0" borderId="34" xfId="0" applyFont="1" applyFill="1" applyBorder="1" applyAlignment="1">
      <alignment horizontal="left" vertical="center" wrapText="1"/>
    </xf>
    <xf numFmtId="0" fontId="89" fillId="0" borderId="71" xfId="0" applyFont="1" applyFill="1" applyBorder="1" applyAlignment="1">
      <alignment horizontal="left" vertical="center" wrapText="1"/>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0] 2 2" xfId="61"/>
    <cellStyle name="Millares 2" xfId="62"/>
    <cellStyle name="Currency" xfId="63"/>
    <cellStyle name="Currency [0]" xfId="64"/>
    <cellStyle name="Moneda 130" xfId="65"/>
    <cellStyle name="Moneda 2" xfId="66"/>
    <cellStyle name="Moneda 2 2" xfId="67"/>
    <cellStyle name="Moneda 23" xfId="68"/>
    <cellStyle name="Moneda 3" xfId="69"/>
    <cellStyle name="Neutral" xfId="70"/>
    <cellStyle name="Neutral 2" xfId="71"/>
    <cellStyle name="Normal 2" xfId="72"/>
    <cellStyle name="Normal 2 2" xfId="73"/>
    <cellStyle name="Normal 2 3" xfId="74"/>
    <cellStyle name="Normal 3" xfId="75"/>
    <cellStyle name="Normal 3 2" xfId="76"/>
    <cellStyle name="Normal 6 2" xfId="77"/>
    <cellStyle name="Notas" xfId="78"/>
    <cellStyle name="Percent" xfId="79"/>
    <cellStyle name="Porcentaje 2" xfId="80"/>
    <cellStyle name="Porcentual 2" xfId="81"/>
    <cellStyle name="Salida" xfId="82"/>
    <cellStyle name="Texto de advertencia" xfId="83"/>
    <cellStyle name="Texto de inicio" xfId="84"/>
    <cellStyle name="Texto de la columna A" xfId="85"/>
    <cellStyle name="Texto explicativo" xfId="86"/>
    <cellStyle name="Título"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15</xdr:row>
      <xdr:rowOff>2428875</xdr:rowOff>
    </xdr:from>
    <xdr:to>
      <xdr:col>7</xdr:col>
      <xdr:colOff>238125</xdr:colOff>
      <xdr:row>15</xdr:row>
      <xdr:rowOff>2428875</xdr:rowOff>
    </xdr:to>
    <xdr:pic>
      <xdr:nvPicPr>
        <xdr:cNvPr id="1" name="Entrada de lápiz 1"/>
        <xdr:cNvPicPr preferRelativeResize="1">
          <a:picLocks noChangeAspect="1"/>
        </xdr:cNvPicPr>
      </xdr:nvPicPr>
      <xdr:blipFill>
        <a:blip r:embed="rId1"/>
        <a:stretch>
          <a:fillRect/>
        </a:stretch>
      </xdr:blipFill>
      <xdr:spPr>
        <a:xfrm>
          <a:off x="5257800" y="985837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152400</xdr:colOff>
      <xdr:row>11</xdr:row>
      <xdr:rowOff>542925</xdr:rowOff>
    </xdr:from>
    <xdr:to>
      <xdr:col>18</xdr:col>
      <xdr:colOff>152400</xdr:colOff>
      <xdr:row>12</xdr:row>
      <xdr:rowOff>542925</xdr:rowOff>
    </xdr:to>
    <xdr:pic>
      <xdr:nvPicPr>
        <xdr:cNvPr id="1" name="Entrada de lápiz 7"/>
        <xdr:cNvPicPr preferRelativeResize="1">
          <a:picLocks noChangeAspect="1"/>
        </xdr:cNvPicPr>
      </xdr:nvPicPr>
      <xdr:blipFill>
        <a:blip r:embed="rId1"/>
        <a:stretch>
          <a:fillRect/>
        </a:stretch>
      </xdr:blipFill>
      <xdr:spPr>
        <a:xfrm>
          <a:off x="17068800" y="2981325"/>
          <a:ext cx="0"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2" name="Entrada de lápiz 4"/>
        <xdr:cNvPicPr preferRelativeResize="1">
          <a:picLocks noChangeAspect="1"/>
        </xdr:cNvPicPr>
      </xdr:nvPicPr>
      <xdr:blipFill>
        <a:blip r:embed="rId1"/>
        <a:stretch>
          <a:fillRect/>
        </a:stretch>
      </xdr:blipFill>
      <xdr:spPr>
        <a:xfrm>
          <a:off x="53816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3"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19</xdr:col>
      <xdr:colOff>152400</xdr:colOff>
      <xdr:row>12</xdr:row>
      <xdr:rowOff>0</xdr:rowOff>
    </xdr:from>
    <xdr:to>
      <xdr:col>19</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7649825" y="2981325"/>
          <a:ext cx="0" cy="0"/>
        </a:xfrm>
        <a:prstGeom prst="rect">
          <a:avLst/>
        </a:prstGeom>
        <a:noFill/>
        <a:ln w="9525" cmpd="sng">
          <a:noFill/>
        </a:ln>
      </xdr:spPr>
    </xdr:pic>
    <xdr:clientData/>
  </xdr:twoCellAnchor>
  <xdr:twoCellAnchor editAs="oneCell">
    <xdr:from>
      <xdr:col>7</xdr:col>
      <xdr:colOff>247650</xdr:colOff>
      <xdr:row>13</xdr:row>
      <xdr:rowOff>0</xdr:rowOff>
    </xdr:from>
    <xdr:to>
      <xdr:col>7</xdr:col>
      <xdr:colOff>247650</xdr:colOff>
      <xdr:row>13</xdr:row>
      <xdr:rowOff>0</xdr:rowOff>
    </xdr:to>
    <xdr:pic>
      <xdr:nvPicPr>
        <xdr:cNvPr id="5" name="Entrada de lápiz 4"/>
        <xdr:cNvPicPr preferRelativeResize="1">
          <a:picLocks noChangeAspect="1"/>
        </xdr:cNvPicPr>
      </xdr:nvPicPr>
      <xdr:blipFill>
        <a:blip r:embed="rId1"/>
        <a:stretch>
          <a:fillRect/>
        </a:stretch>
      </xdr:blipFill>
      <xdr:spPr>
        <a:xfrm>
          <a:off x="5381625" y="5457825"/>
          <a:ext cx="0" cy="0"/>
        </a:xfrm>
        <a:prstGeom prst="rect">
          <a:avLst/>
        </a:prstGeom>
        <a:noFill/>
        <a:ln w="9525" cmpd="sng">
          <a:noFill/>
        </a:ln>
      </xdr:spPr>
    </xdr:pic>
    <xdr:clientData/>
  </xdr:twoCellAnchor>
  <xdr:twoCellAnchor editAs="oneCell">
    <xdr:from>
      <xdr:col>7</xdr:col>
      <xdr:colOff>247650</xdr:colOff>
      <xdr:row>14</xdr:row>
      <xdr:rowOff>0</xdr:rowOff>
    </xdr:from>
    <xdr:to>
      <xdr:col>7</xdr:col>
      <xdr:colOff>247650</xdr:colOff>
      <xdr:row>14</xdr:row>
      <xdr:rowOff>0</xdr:rowOff>
    </xdr:to>
    <xdr:pic>
      <xdr:nvPicPr>
        <xdr:cNvPr id="6" name="Entrada de lápiz 4"/>
        <xdr:cNvPicPr preferRelativeResize="1">
          <a:picLocks noChangeAspect="1"/>
        </xdr:cNvPicPr>
      </xdr:nvPicPr>
      <xdr:blipFill>
        <a:blip r:embed="rId1"/>
        <a:stretch>
          <a:fillRect/>
        </a:stretch>
      </xdr:blipFill>
      <xdr:spPr>
        <a:xfrm>
          <a:off x="5381625" y="7934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7" name="Entrada de lápiz 4"/>
        <xdr:cNvPicPr preferRelativeResize="1">
          <a:picLocks noChangeAspect="1"/>
        </xdr:cNvPicPr>
      </xdr:nvPicPr>
      <xdr:blipFill>
        <a:blip r:embed="rId1"/>
        <a:stretch>
          <a:fillRect/>
        </a:stretch>
      </xdr:blipFill>
      <xdr:spPr>
        <a:xfrm>
          <a:off x="5381625" y="11172825"/>
          <a:ext cx="0" cy="0"/>
        </a:xfrm>
        <a:prstGeom prst="rect">
          <a:avLst/>
        </a:prstGeom>
        <a:noFill/>
        <a:ln w="9525" cmpd="sng">
          <a:noFill/>
        </a:ln>
      </xdr:spPr>
    </xdr:pic>
    <xdr:clientData/>
  </xdr:twoCellAnchor>
  <xdr:twoCellAnchor editAs="oneCell">
    <xdr:from>
      <xdr:col>7</xdr:col>
      <xdr:colOff>247650</xdr:colOff>
      <xdr:row>18</xdr:row>
      <xdr:rowOff>0</xdr:rowOff>
    </xdr:from>
    <xdr:to>
      <xdr:col>7</xdr:col>
      <xdr:colOff>247650</xdr:colOff>
      <xdr:row>18</xdr:row>
      <xdr:rowOff>0</xdr:rowOff>
    </xdr:to>
    <xdr:pic>
      <xdr:nvPicPr>
        <xdr:cNvPr id="8" name="Entrada de lápiz 4"/>
        <xdr:cNvPicPr preferRelativeResize="1">
          <a:picLocks noChangeAspect="1"/>
        </xdr:cNvPicPr>
      </xdr:nvPicPr>
      <xdr:blipFill>
        <a:blip r:embed="rId1"/>
        <a:stretch>
          <a:fillRect/>
        </a:stretch>
      </xdr:blipFill>
      <xdr:spPr>
        <a:xfrm>
          <a:off x="5381625" y="17478375"/>
          <a:ext cx="0" cy="0"/>
        </a:xfrm>
        <a:prstGeom prst="rect">
          <a:avLst/>
        </a:prstGeom>
        <a:noFill/>
        <a:ln w="9525" cmpd="sng">
          <a:noFill/>
        </a:ln>
      </xdr:spPr>
    </xdr:pic>
    <xdr:clientData/>
  </xdr:twoCellAnchor>
  <xdr:twoCellAnchor editAs="oneCell">
    <xdr:from>
      <xdr:col>7</xdr:col>
      <xdr:colOff>247650</xdr:colOff>
      <xdr:row>19</xdr:row>
      <xdr:rowOff>0</xdr:rowOff>
    </xdr:from>
    <xdr:to>
      <xdr:col>7</xdr:col>
      <xdr:colOff>247650</xdr:colOff>
      <xdr:row>19</xdr:row>
      <xdr:rowOff>0</xdr:rowOff>
    </xdr:to>
    <xdr:pic>
      <xdr:nvPicPr>
        <xdr:cNvPr id="9" name="Entrada de lápiz 4"/>
        <xdr:cNvPicPr preferRelativeResize="1">
          <a:picLocks noChangeAspect="1"/>
        </xdr:cNvPicPr>
      </xdr:nvPicPr>
      <xdr:blipFill>
        <a:blip r:embed="rId1"/>
        <a:stretch>
          <a:fillRect/>
        </a:stretch>
      </xdr:blipFill>
      <xdr:spPr>
        <a:xfrm>
          <a:off x="5381625" y="21859875"/>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10" name="Entrada de lápiz 4"/>
        <xdr:cNvPicPr preferRelativeResize="1">
          <a:picLocks noChangeAspect="1"/>
        </xdr:cNvPicPr>
      </xdr:nvPicPr>
      <xdr:blipFill>
        <a:blip r:embed="rId1"/>
        <a:stretch>
          <a:fillRect/>
        </a:stretch>
      </xdr:blipFill>
      <xdr:spPr>
        <a:xfrm>
          <a:off x="5381625" y="25269825"/>
          <a:ext cx="0" cy="0"/>
        </a:xfrm>
        <a:prstGeom prst="rect">
          <a:avLst/>
        </a:prstGeom>
        <a:noFill/>
        <a:ln w="9525" cmpd="sng">
          <a:noFill/>
        </a:ln>
      </xdr:spPr>
    </xdr:pic>
    <xdr:clientData/>
  </xdr:twoCellAnchor>
  <xdr:twoCellAnchor editAs="oneCell">
    <xdr:from>
      <xdr:col>7</xdr:col>
      <xdr:colOff>247650</xdr:colOff>
      <xdr:row>21</xdr:row>
      <xdr:rowOff>0</xdr:rowOff>
    </xdr:from>
    <xdr:to>
      <xdr:col>7</xdr:col>
      <xdr:colOff>247650</xdr:colOff>
      <xdr:row>21</xdr:row>
      <xdr:rowOff>0</xdr:rowOff>
    </xdr:to>
    <xdr:pic>
      <xdr:nvPicPr>
        <xdr:cNvPr id="11" name="Entrada de lápiz 4"/>
        <xdr:cNvPicPr preferRelativeResize="1">
          <a:picLocks noChangeAspect="1"/>
        </xdr:cNvPicPr>
      </xdr:nvPicPr>
      <xdr:blipFill>
        <a:blip r:embed="rId1"/>
        <a:stretch>
          <a:fillRect/>
        </a:stretch>
      </xdr:blipFill>
      <xdr:spPr>
        <a:xfrm>
          <a:off x="5381625" y="28013025"/>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17</xdr:row>
      <xdr:rowOff>0</xdr:rowOff>
    </xdr:from>
    <xdr:to>
      <xdr:col>7</xdr:col>
      <xdr:colOff>238125</xdr:colOff>
      <xdr:row>17</xdr:row>
      <xdr:rowOff>0</xdr:rowOff>
    </xdr:to>
    <xdr:pic>
      <xdr:nvPicPr>
        <xdr:cNvPr id="1" name="Entrada de lápiz 4"/>
        <xdr:cNvPicPr preferRelativeResize="1">
          <a:picLocks noChangeAspect="1"/>
        </xdr:cNvPicPr>
      </xdr:nvPicPr>
      <xdr:blipFill>
        <a:blip r:embed="rId1"/>
        <a:stretch>
          <a:fillRect/>
        </a:stretch>
      </xdr:blipFill>
      <xdr:spPr>
        <a:xfrm>
          <a:off x="5372100" y="18030825"/>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20</xdr:row>
      <xdr:rowOff>0</xdr:rowOff>
    </xdr:from>
    <xdr:to>
      <xdr:col>19</xdr:col>
      <xdr:colOff>152400</xdr:colOff>
      <xdr:row>20</xdr:row>
      <xdr:rowOff>0</xdr:rowOff>
    </xdr:to>
    <xdr:pic>
      <xdr:nvPicPr>
        <xdr:cNvPr id="1" name="Entrada de lápiz 7"/>
        <xdr:cNvPicPr preferRelativeResize="1">
          <a:picLocks noChangeAspect="1"/>
        </xdr:cNvPicPr>
      </xdr:nvPicPr>
      <xdr:blipFill>
        <a:blip r:embed="rId1"/>
        <a:stretch>
          <a:fillRect/>
        </a:stretch>
      </xdr:blipFill>
      <xdr:spPr>
        <a:xfrm>
          <a:off x="18478500" y="19707225"/>
          <a:ext cx="0" cy="0"/>
        </a:xfrm>
        <a:prstGeom prst="rect">
          <a:avLst/>
        </a:prstGeom>
        <a:noFill/>
        <a:ln w="9525" cmpd="sng">
          <a:noFill/>
        </a:ln>
      </xdr:spPr>
    </xdr:pic>
    <xdr:clientData/>
  </xdr:twoCellAnchor>
  <xdr:twoCellAnchor editAs="oneCell">
    <xdr:from>
      <xdr:col>19</xdr:col>
      <xdr:colOff>152400</xdr:colOff>
      <xdr:row>20</xdr:row>
      <xdr:rowOff>0</xdr:rowOff>
    </xdr:from>
    <xdr:to>
      <xdr:col>19</xdr:col>
      <xdr:colOff>152400</xdr:colOff>
      <xdr:row>20</xdr:row>
      <xdr:rowOff>0</xdr:rowOff>
    </xdr:to>
    <xdr:pic>
      <xdr:nvPicPr>
        <xdr:cNvPr id="2" name="Entrada de lápiz 7"/>
        <xdr:cNvPicPr preferRelativeResize="1">
          <a:picLocks noChangeAspect="1"/>
        </xdr:cNvPicPr>
      </xdr:nvPicPr>
      <xdr:blipFill>
        <a:blip r:embed="rId1"/>
        <a:stretch>
          <a:fillRect/>
        </a:stretch>
      </xdr:blipFill>
      <xdr:spPr>
        <a:xfrm>
          <a:off x="18478500" y="19707225"/>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257175</xdr:colOff>
      <xdr:row>19</xdr:row>
      <xdr:rowOff>0</xdr:rowOff>
    </xdr:from>
    <xdr:to>
      <xdr:col>7</xdr:col>
      <xdr:colOff>257175</xdr:colOff>
      <xdr:row>19</xdr:row>
      <xdr:rowOff>0</xdr:rowOff>
    </xdr:to>
    <xdr:pic>
      <xdr:nvPicPr>
        <xdr:cNvPr id="1" name="Entrada de lápiz 4"/>
        <xdr:cNvPicPr preferRelativeResize="1">
          <a:picLocks noChangeAspect="1"/>
        </xdr:cNvPicPr>
      </xdr:nvPicPr>
      <xdr:blipFill>
        <a:blip r:embed="rId1"/>
        <a:stretch>
          <a:fillRect/>
        </a:stretch>
      </xdr:blipFill>
      <xdr:spPr>
        <a:xfrm>
          <a:off x="6457950" y="19678650"/>
          <a:ext cx="0" cy="0"/>
        </a:xfrm>
        <a:prstGeom prst="rect">
          <a:avLst/>
        </a:prstGeom>
        <a:noFill/>
        <a:ln w="9525" cmpd="sng">
          <a:noFill/>
        </a:ln>
      </xdr:spPr>
    </xdr:pic>
    <xdr:clientData/>
  </xdr:twoCellAnchor>
  <xdr:twoCellAnchor editAs="oneCell">
    <xdr:from>
      <xdr:col>7</xdr:col>
      <xdr:colOff>257175</xdr:colOff>
      <xdr:row>19</xdr:row>
      <xdr:rowOff>0</xdr:rowOff>
    </xdr:from>
    <xdr:to>
      <xdr:col>7</xdr:col>
      <xdr:colOff>257175</xdr:colOff>
      <xdr:row>19</xdr:row>
      <xdr:rowOff>0</xdr:rowOff>
    </xdr:to>
    <xdr:pic>
      <xdr:nvPicPr>
        <xdr:cNvPr id="2" name="Entrada de lápiz 4"/>
        <xdr:cNvPicPr preferRelativeResize="1">
          <a:picLocks noChangeAspect="1"/>
        </xdr:cNvPicPr>
      </xdr:nvPicPr>
      <xdr:blipFill>
        <a:blip r:embed="rId1"/>
        <a:stretch>
          <a:fillRect/>
        </a:stretch>
      </xdr:blipFill>
      <xdr:spPr>
        <a:xfrm>
          <a:off x="6457950" y="19678650"/>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ecretariadistritald-my.sharepoint.com/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1.x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drawing" Target="../drawings/drawing12.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A5">
      <selection activeCell="C17" sqref="C17:Q1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670"/>
      <c r="B1" s="673" t="s">
        <v>16</v>
      </c>
      <c r="C1" s="674"/>
      <c r="D1" s="674"/>
      <c r="E1" s="674"/>
      <c r="F1" s="674"/>
      <c r="G1" s="674"/>
      <c r="H1" s="674"/>
      <c r="I1" s="674"/>
      <c r="J1" s="674"/>
      <c r="K1" s="674"/>
      <c r="L1" s="674"/>
      <c r="M1" s="674"/>
      <c r="N1" s="674"/>
      <c r="O1" s="674"/>
      <c r="P1" s="674"/>
      <c r="Q1" s="674"/>
      <c r="R1" s="674"/>
      <c r="S1" s="674"/>
      <c r="T1" s="674"/>
      <c r="U1" s="674"/>
      <c r="V1" s="674"/>
      <c r="W1" s="674"/>
      <c r="X1" s="674"/>
      <c r="Y1" s="674"/>
      <c r="Z1" s="674"/>
      <c r="AA1" s="675"/>
      <c r="AB1" s="676" t="s">
        <v>423</v>
      </c>
      <c r="AC1" s="677"/>
      <c r="AD1" s="678"/>
    </row>
    <row r="2" spans="1:30" ht="30.75" customHeight="1" thickBot="1">
      <c r="A2" s="671"/>
      <c r="B2" s="673" t="s">
        <v>17</v>
      </c>
      <c r="C2" s="674"/>
      <c r="D2" s="674"/>
      <c r="E2" s="674"/>
      <c r="F2" s="674"/>
      <c r="G2" s="674"/>
      <c r="H2" s="674"/>
      <c r="I2" s="674"/>
      <c r="J2" s="674"/>
      <c r="K2" s="674"/>
      <c r="L2" s="674"/>
      <c r="M2" s="674"/>
      <c r="N2" s="674"/>
      <c r="O2" s="674"/>
      <c r="P2" s="674"/>
      <c r="Q2" s="674"/>
      <c r="R2" s="674"/>
      <c r="S2" s="674"/>
      <c r="T2" s="674"/>
      <c r="U2" s="674"/>
      <c r="V2" s="674"/>
      <c r="W2" s="674"/>
      <c r="X2" s="674"/>
      <c r="Y2" s="674"/>
      <c r="Z2" s="674"/>
      <c r="AA2" s="675"/>
      <c r="AB2" s="623" t="s">
        <v>418</v>
      </c>
      <c r="AC2" s="624"/>
      <c r="AD2" s="625"/>
    </row>
    <row r="3" spans="1:30" ht="24" customHeight="1">
      <c r="A3" s="671"/>
      <c r="B3" s="576" t="s">
        <v>295</v>
      </c>
      <c r="C3" s="577"/>
      <c r="D3" s="577"/>
      <c r="E3" s="577"/>
      <c r="F3" s="577"/>
      <c r="G3" s="577"/>
      <c r="H3" s="577"/>
      <c r="I3" s="577"/>
      <c r="J3" s="577"/>
      <c r="K3" s="577"/>
      <c r="L3" s="577"/>
      <c r="M3" s="577"/>
      <c r="N3" s="577"/>
      <c r="O3" s="577"/>
      <c r="P3" s="577"/>
      <c r="Q3" s="577"/>
      <c r="R3" s="577"/>
      <c r="S3" s="577"/>
      <c r="T3" s="577"/>
      <c r="U3" s="577"/>
      <c r="V3" s="577"/>
      <c r="W3" s="577"/>
      <c r="X3" s="577"/>
      <c r="Y3" s="577"/>
      <c r="Z3" s="577"/>
      <c r="AA3" s="578"/>
      <c r="AB3" s="623" t="s">
        <v>424</v>
      </c>
      <c r="AC3" s="624"/>
      <c r="AD3" s="625"/>
    </row>
    <row r="4" spans="1:30" ht="21.75" customHeight="1" thickBot="1">
      <c r="A4" s="672"/>
      <c r="B4" s="620"/>
      <c r="C4" s="621"/>
      <c r="D4" s="621"/>
      <c r="E4" s="621"/>
      <c r="F4" s="621"/>
      <c r="G4" s="621"/>
      <c r="H4" s="621"/>
      <c r="I4" s="621"/>
      <c r="J4" s="621"/>
      <c r="K4" s="621"/>
      <c r="L4" s="621"/>
      <c r="M4" s="621"/>
      <c r="N4" s="621"/>
      <c r="O4" s="621"/>
      <c r="P4" s="621"/>
      <c r="Q4" s="621"/>
      <c r="R4" s="621"/>
      <c r="S4" s="621"/>
      <c r="T4" s="621"/>
      <c r="U4" s="621"/>
      <c r="V4" s="621"/>
      <c r="W4" s="621"/>
      <c r="X4" s="621"/>
      <c r="Y4" s="621"/>
      <c r="Z4" s="621"/>
      <c r="AA4" s="622"/>
      <c r="AB4" s="626" t="s">
        <v>175</v>
      </c>
      <c r="AC4" s="627"/>
      <c r="AD4" s="628"/>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650" t="s">
        <v>293</v>
      </c>
      <c r="B7" s="651"/>
      <c r="C7" s="656"/>
      <c r="D7" s="629" t="s">
        <v>71</v>
      </c>
      <c r="E7" s="635"/>
      <c r="F7" s="635"/>
      <c r="G7" s="635"/>
      <c r="H7" s="630"/>
      <c r="I7" s="638" t="s">
        <v>74</v>
      </c>
      <c r="J7" s="639"/>
      <c r="K7" s="629" t="s">
        <v>67</v>
      </c>
      <c r="L7" s="630"/>
      <c r="M7" s="605" t="s">
        <v>70</v>
      </c>
      <c r="N7" s="606"/>
      <c r="O7" s="644" t="s">
        <v>425</v>
      </c>
      <c r="P7" s="645"/>
      <c r="Q7" s="56"/>
      <c r="R7" s="56"/>
      <c r="S7" s="56"/>
      <c r="T7" s="56"/>
      <c r="U7" s="56"/>
      <c r="V7" s="56"/>
      <c r="W7" s="56"/>
      <c r="X7" s="56"/>
      <c r="Y7" s="56"/>
      <c r="Z7" s="57"/>
      <c r="AA7" s="56"/>
      <c r="AB7" s="56"/>
      <c r="AC7" s="62"/>
      <c r="AD7" s="63"/>
    </row>
    <row r="8" spans="1:30" ht="15">
      <c r="A8" s="652"/>
      <c r="B8" s="653"/>
      <c r="C8" s="657"/>
      <c r="D8" s="631"/>
      <c r="E8" s="636"/>
      <c r="F8" s="636"/>
      <c r="G8" s="636"/>
      <c r="H8" s="632"/>
      <c r="I8" s="640"/>
      <c r="J8" s="641"/>
      <c r="K8" s="631"/>
      <c r="L8" s="632"/>
      <c r="M8" s="646" t="s">
        <v>68</v>
      </c>
      <c r="N8" s="647"/>
      <c r="O8" s="648"/>
      <c r="P8" s="649"/>
      <c r="Q8" s="56"/>
      <c r="R8" s="56"/>
      <c r="S8" s="56"/>
      <c r="T8" s="56"/>
      <c r="U8" s="56"/>
      <c r="V8" s="56"/>
      <c r="W8" s="56"/>
      <c r="X8" s="56"/>
      <c r="Y8" s="56"/>
      <c r="Z8" s="57"/>
      <c r="AA8" s="56"/>
      <c r="AB8" s="56"/>
      <c r="AC8" s="62"/>
      <c r="AD8" s="63"/>
    </row>
    <row r="9" spans="1:30" ht="15.75" thickBot="1">
      <c r="A9" s="654"/>
      <c r="B9" s="655"/>
      <c r="C9" s="658"/>
      <c r="D9" s="633"/>
      <c r="E9" s="637"/>
      <c r="F9" s="637"/>
      <c r="G9" s="637"/>
      <c r="H9" s="634"/>
      <c r="I9" s="642"/>
      <c r="J9" s="643"/>
      <c r="K9" s="633"/>
      <c r="L9" s="634"/>
      <c r="M9" s="601" t="s">
        <v>69</v>
      </c>
      <c r="N9" s="602"/>
      <c r="O9" s="603"/>
      <c r="P9" s="604"/>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629" t="s">
        <v>0</v>
      </c>
      <c r="B11" s="630"/>
      <c r="C11" s="660"/>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2"/>
    </row>
    <row r="12" spans="1:30" ht="15" customHeight="1">
      <c r="A12" s="631"/>
      <c r="B12" s="632"/>
      <c r="C12" s="663"/>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5"/>
    </row>
    <row r="13" spans="1:30" ht="15" customHeight="1" thickBot="1">
      <c r="A13" s="633"/>
      <c r="B13" s="634"/>
      <c r="C13" s="666"/>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599" t="s">
        <v>77</v>
      </c>
      <c r="B15" s="600"/>
      <c r="C15" s="679" t="s">
        <v>426</v>
      </c>
      <c r="D15" s="680"/>
      <c r="E15" s="680"/>
      <c r="F15" s="680"/>
      <c r="G15" s="680"/>
      <c r="H15" s="680"/>
      <c r="I15" s="680"/>
      <c r="J15" s="680"/>
      <c r="K15" s="681"/>
      <c r="L15" s="593" t="s">
        <v>73</v>
      </c>
      <c r="M15" s="669"/>
      <c r="N15" s="669"/>
      <c r="O15" s="669"/>
      <c r="P15" s="669"/>
      <c r="Q15" s="594"/>
      <c r="R15" s="590"/>
      <c r="S15" s="591"/>
      <c r="T15" s="591"/>
      <c r="U15" s="591"/>
      <c r="V15" s="591"/>
      <c r="W15" s="591"/>
      <c r="X15" s="592"/>
      <c r="Y15" s="593" t="s">
        <v>72</v>
      </c>
      <c r="Z15" s="594"/>
      <c r="AA15" s="613"/>
      <c r="AB15" s="614"/>
      <c r="AC15" s="614"/>
      <c r="AD15" s="615"/>
    </row>
    <row r="16" spans="1:30" ht="9" customHeight="1" thickBot="1">
      <c r="A16" s="61"/>
      <c r="B16" s="56"/>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75"/>
      <c r="AD16" s="76"/>
    </row>
    <row r="17" spans="1:30" s="78" customFormat="1" ht="37.5" customHeight="1" thickBot="1">
      <c r="A17" s="599" t="s">
        <v>79</v>
      </c>
      <c r="B17" s="600"/>
      <c r="C17" s="617"/>
      <c r="D17" s="618"/>
      <c r="E17" s="618"/>
      <c r="F17" s="618"/>
      <c r="G17" s="618"/>
      <c r="H17" s="618"/>
      <c r="I17" s="618"/>
      <c r="J17" s="618"/>
      <c r="K17" s="618"/>
      <c r="L17" s="618"/>
      <c r="M17" s="618"/>
      <c r="N17" s="618"/>
      <c r="O17" s="618"/>
      <c r="P17" s="618"/>
      <c r="Q17" s="619"/>
      <c r="R17" s="659" t="s">
        <v>374</v>
      </c>
      <c r="S17" s="597"/>
      <c r="T17" s="597"/>
      <c r="U17" s="597"/>
      <c r="V17" s="598"/>
      <c r="W17" s="595"/>
      <c r="X17" s="596"/>
      <c r="Y17" s="597" t="s">
        <v>15</v>
      </c>
      <c r="Z17" s="597"/>
      <c r="AA17" s="597"/>
      <c r="AB17" s="598"/>
      <c r="AC17" s="688"/>
      <c r="AD17" s="689"/>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659" t="s">
        <v>1</v>
      </c>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8"/>
      <c r="AE19" s="86"/>
      <c r="AF19" s="86"/>
    </row>
    <row r="20" spans="1:32" ht="31.5" customHeight="1" thickBot="1">
      <c r="A20" s="85"/>
      <c r="B20" s="62"/>
      <c r="C20" s="685" t="s">
        <v>376</v>
      </c>
      <c r="D20" s="686"/>
      <c r="E20" s="686"/>
      <c r="F20" s="686"/>
      <c r="G20" s="686"/>
      <c r="H20" s="686"/>
      <c r="I20" s="686"/>
      <c r="J20" s="686"/>
      <c r="K20" s="686"/>
      <c r="L20" s="686"/>
      <c r="M20" s="686"/>
      <c r="N20" s="686"/>
      <c r="O20" s="686"/>
      <c r="P20" s="687"/>
      <c r="Q20" s="682" t="s">
        <v>377</v>
      </c>
      <c r="R20" s="683"/>
      <c r="S20" s="683"/>
      <c r="T20" s="683"/>
      <c r="U20" s="683"/>
      <c r="V20" s="683"/>
      <c r="W20" s="683"/>
      <c r="X20" s="683"/>
      <c r="Y20" s="683"/>
      <c r="Z20" s="683"/>
      <c r="AA20" s="683"/>
      <c r="AB20" s="683"/>
      <c r="AC20" s="683"/>
      <c r="AD20" s="684"/>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382</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382</v>
      </c>
      <c r="AE21" s="4"/>
      <c r="AF21" s="4"/>
    </row>
    <row r="22" spans="1:32" ht="31.5" customHeight="1">
      <c r="A22" s="540" t="s">
        <v>378</v>
      </c>
      <c r="B22" s="545"/>
      <c r="C22" s="197"/>
      <c r="D22" s="195"/>
      <c r="E22" s="195"/>
      <c r="F22" s="195"/>
      <c r="G22" s="195"/>
      <c r="H22" s="195"/>
      <c r="I22" s="195"/>
      <c r="J22" s="195"/>
      <c r="K22" s="195"/>
      <c r="L22" s="195"/>
      <c r="M22" s="195"/>
      <c r="N22" s="195"/>
      <c r="O22" s="195">
        <f>SUM(C22:N22)</f>
        <v>0</v>
      </c>
      <c r="P22" s="198"/>
      <c r="Q22" s="197"/>
      <c r="R22" s="195"/>
      <c r="S22" s="195"/>
      <c r="T22" s="195"/>
      <c r="U22" s="195"/>
      <c r="V22" s="195"/>
      <c r="W22" s="195"/>
      <c r="X22" s="195"/>
      <c r="Y22" s="195"/>
      <c r="Z22" s="195"/>
      <c r="AA22" s="195"/>
      <c r="AB22" s="195"/>
      <c r="AC22" s="195">
        <f>SUM(Q22:AB22)</f>
        <v>0</v>
      </c>
      <c r="AD22" s="202"/>
      <c r="AE22" s="4"/>
      <c r="AF22" s="4"/>
    </row>
    <row r="23" spans="1:32" ht="31.5" customHeight="1">
      <c r="A23" s="541" t="s">
        <v>379</v>
      </c>
      <c r="B23" s="548"/>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541" t="s">
        <v>380</v>
      </c>
      <c r="B24" s="548"/>
      <c r="C24" s="192"/>
      <c r="D24" s="191"/>
      <c r="E24" s="191"/>
      <c r="F24" s="191"/>
      <c r="G24" s="191"/>
      <c r="H24" s="191"/>
      <c r="I24" s="191"/>
      <c r="J24" s="191"/>
      <c r="K24" s="191"/>
      <c r="L24" s="191"/>
      <c r="M24" s="191"/>
      <c r="N24" s="191"/>
      <c r="O24" s="191">
        <f>SUM(C24:N24)</f>
        <v>0</v>
      </c>
      <c r="P24" s="196"/>
      <c r="Q24" s="192"/>
      <c r="R24" s="191"/>
      <c r="S24" s="191"/>
      <c r="T24" s="191"/>
      <c r="U24" s="191"/>
      <c r="V24" s="191"/>
      <c r="W24" s="191"/>
      <c r="X24" s="191"/>
      <c r="Y24" s="191"/>
      <c r="Z24" s="191"/>
      <c r="AA24" s="191"/>
      <c r="AB24" s="191"/>
      <c r="AC24" s="191">
        <f>SUM(Q24:AB24)</f>
        <v>0</v>
      </c>
      <c r="AD24" s="200"/>
      <c r="AE24" s="4"/>
      <c r="AF24" s="4"/>
    </row>
    <row r="25" spans="1:32" ht="31.5" customHeight="1" thickBot="1">
      <c r="A25" s="611" t="s">
        <v>381</v>
      </c>
      <c r="B25" s="612"/>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607" t="s">
        <v>76</v>
      </c>
      <c r="B27" s="608"/>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10"/>
    </row>
    <row r="28" spans="1:30" ht="15" customHeight="1">
      <c r="A28" s="585" t="s">
        <v>189</v>
      </c>
      <c r="B28" s="587" t="s">
        <v>6</v>
      </c>
      <c r="C28" s="588"/>
      <c r="D28" s="548" t="s">
        <v>398</v>
      </c>
      <c r="E28" s="549"/>
      <c r="F28" s="549"/>
      <c r="G28" s="549"/>
      <c r="H28" s="549"/>
      <c r="I28" s="549"/>
      <c r="J28" s="549"/>
      <c r="K28" s="549"/>
      <c r="L28" s="549"/>
      <c r="M28" s="549"/>
      <c r="N28" s="549"/>
      <c r="O28" s="589"/>
      <c r="P28" s="571" t="s">
        <v>8</v>
      </c>
      <c r="Q28" s="571" t="s">
        <v>84</v>
      </c>
      <c r="R28" s="571"/>
      <c r="S28" s="571"/>
      <c r="T28" s="571"/>
      <c r="U28" s="571"/>
      <c r="V28" s="571"/>
      <c r="W28" s="571"/>
      <c r="X28" s="571"/>
      <c r="Y28" s="571"/>
      <c r="Z28" s="571"/>
      <c r="AA28" s="571"/>
      <c r="AB28" s="571"/>
      <c r="AC28" s="571"/>
      <c r="AD28" s="580"/>
    </row>
    <row r="29" spans="1:30" ht="27" customHeight="1">
      <c r="A29" s="586"/>
      <c r="B29" s="581"/>
      <c r="C29" s="583"/>
      <c r="D29" s="173" t="s">
        <v>39</v>
      </c>
      <c r="E29" s="173" t="s">
        <v>40</v>
      </c>
      <c r="F29" s="173" t="s">
        <v>41</v>
      </c>
      <c r="G29" s="173" t="s">
        <v>42</v>
      </c>
      <c r="H29" s="173" t="s">
        <v>43</v>
      </c>
      <c r="I29" s="173" t="s">
        <v>44</v>
      </c>
      <c r="J29" s="173" t="s">
        <v>45</v>
      </c>
      <c r="K29" s="173" t="s">
        <v>46</v>
      </c>
      <c r="L29" s="173" t="s">
        <v>47</v>
      </c>
      <c r="M29" s="173" t="s">
        <v>48</v>
      </c>
      <c r="N29" s="173" t="s">
        <v>49</v>
      </c>
      <c r="O29" s="173" t="s">
        <v>50</v>
      </c>
      <c r="P29" s="589"/>
      <c r="Q29" s="571"/>
      <c r="R29" s="571"/>
      <c r="S29" s="571"/>
      <c r="T29" s="571"/>
      <c r="U29" s="571"/>
      <c r="V29" s="571"/>
      <c r="W29" s="571"/>
      <c r="X29" s="571"/>
      <c r="Y29" s="571"/>
      <c r="Z29" s="571"/>
      <c r="AA29" s="571"/>
      <c r="AB29" s="571"/>
      <c r="AC29" s="571"/>
      <c r="AD29" s="580"/>
    </row>
    <row r="30" spans="1:30" ht="42" customHeight="1" thickBot="1">
      <c r="A30" s="88"/>
      <c r="B30" s="572"/>
      <c r="C30" s="573"/>
      <c r="D30" s="92"/>
      <c r="E30" s="92"/>
      <c r="F30" s="92"/>
      <c r="G30" s="92"/>
      <c r="H30" s="92"/>
      <c r="I30" s="92"/>
      <c r="J30" s="92"/>
      <c r="K30" s="92"/>
      <c r="L30" s="92"/>
      <c r="M30" s="92"/>
      <c r="N30" s="92"/>
      <c r="O30" s="92"/>
      <c r="P30" s="89">
        <f>SUM(D30:O30)</f>
        <v>0</v>
      </c>
      <c r="Q30" s="574" t="s">
        <v>296</v>
      </c>
      <c r="R30" s="574"/>
      <c r="S30" s="574"/>
      <c r="T30" s="574"/>
      <c r="U30" s="574"/>
      <c r="V30" s="574"/>
      <c r="W30" s="574"/>
      <c r="X30" s="574"/>
      <c r="Y30" s="574"/>
      <c r="Z30" s="574"/>
      <c r="AA30" s="574"/>
      <c r="AB30" s="574"/>
      <c r="AC30" s="574"/>
      <c r="AD30" s="575"/>
    </row>
    <row r="31" spans="1:30" ht="45" customHeight="1">
      <c r="A31" s="576" t="s">
        <v>292</v>
      </c>
      <c r="B31" s="577"/>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8"/>
    </row>
    <row r="32" spans="1:41" ht="22.5" customHeight="1">
      <c r="A32" s="541" t="s">
        <v>190</v>
      </c>
      <c r="B32" s="571" t="s">
        <v>62</v>
      </c>
      <c r="C32" s="571" t="s">
        <v>6</v>
      </c>
      <c r="D32" s="571" t="s">
        <v>60</v>
      </c>
      <c r="E32" s="571"/>
      <c r="F32" s="571"/>
      <c r="G32" s="571"/>
      <c r="H32" s="571"/>
      <c r="I32" s="571"/>
      <c r="J32" s="571"/>
      <c r="K32" s="571"/>
      <c r="L32" s="571"/>
      <c r="M32" s="571"/>
      <c r="N32" s="571"/>
      <c r="O32" s="571"/>
      <c r="P32" s="571"/>
      <c r="Q32" s="571" t="s">
        <v>85</v>
      </c>
      <c r="R32" s="571"/>
      <c r="S32" s="571"/>
      <c r="T32" s="571"/>
      <c r="U32" s="571"/>
      <c r="V32" s="571"/>
      <c r="W32" s="571"/>
      <c r="X32" s="571"/>
      <c r="Y32" s="571"/>
      <c r="Z32" s="571"/>
      <c r="AA32" s="571"/>
      <c r="AB32" s="571"/>
      <c r="AC32" s="571"/>
      <c r="AD32" s="580"/>
      <c r="AG32" s="90"/>
      <c r="AH32" s="90"/>
      <c r="AI32" s="90"/>
      <c r="AJ32" s="90"/>
      <c r="AK32" s="90"/>
      <c r="AL32" s="90"/>
      <c r="AM32" s="90"/>
      <c r="AN32" s="90"/>
      <c r="AO32" s="90"/>
    </row>
    <row r="33" spans="1:41" ht="27" customHeight="1">
      <c r="A33" s="541"/>
      <c r="B33" s="571"/>
      <c r="C33" s="579"/>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571" t="s">
        <v>403</v>
      </c>
      <c r="R33" s="571"/>
      <c r="S33" s="571"/>
      <c r="T33" s="571" t="s">
        <v>406</v>
      </c>
      <c r="U33" s="571"/>
      <c r="V33" s="571"/>
      <c r="W33" s="581" t="s">
        <v>81</v>
      </c>
      <c r="X33" s="582"/>
      <c r="Y33" s="582"/>
      <c r="Z33" s="583"/>
      <c r="AA33" s="581" t="s">
        <v>82</v>
      </c>
      <c r="AB33" s="582"/>
      <c r="AC33" s="582"/>
      <c r="AD33" s="584"/>
      <c r="AG33" s="90"/>
      <c r="AH33" s="90"/>
      <c r="AI33" s="90"/>
      <c r="AJ33" s="90"/>
      <c r="AK33" s="90"/>
      <c r="AL33" s="90"/>
      <c r="AM33" s="90"/>
      <c r="AN33" s="90"/>
      <c r="AO33" s="90"/>
    </row>
    <row r="34" spans="1:41" ht="45" customHeight="1">
      <c r="A34" s="559"/>
      <c r="B34" s="561"/>
      <c r="C34" s="93" t="s">
        <v>9</v>
      </c>
      <c r="D34" s="92"/>
      <c r="E34" s="92"/>
      <c r="F34" s="92"/>
      <c r="G34" s="92"/>
      <c r="H34" s="92"/>
      <c r="I34" s="92"/>
      <c r="J34" s="92"/>
      <c r="K34" s="92"/>
      <c r="L34" s="92"/>
      <c r="M34" s="92"/>
      <c r="N34" s="92"/>
      <c r="O34" s="92"/>
      <c r="P34" s="212">
        <f>SUM(D34:O34)</f>
        <v>0</v>
      </c>
      <c r="Q34" s="563" t="s">
        <v>404</v>
      </c>
      <c r="R34" s="564"/>
      <c r="S34" s="565"/>
      <c r="T34" s="564" t="s">
        <v>405</v>
      </c>
      <c r="U34" s="564"/>
      <c r="V34" s="565"/>
      <c r="W34" s="563" t="s">
        <v>402</v>
      </c>
      <c r="X34" s="564"/>
      <c r="Y34" s="564"/>
      <c r="Z34" s="565"/>
      <c r="AA34" s="563" t="s">
        <v>407</v>
      </c>
      <c r="AB34" s="564"/>
      <c r="AC34" s="564"/>
      <c r="AD34" s="569"/>
      <c r="AG34" s="90"/>
      <c r="AH34" s="90"/>
      <c r="AI34" s="90"/>
      <c r="AJ34" s="90"/>
      <c r="AK34" s="90"/>
      <c r="AL34" s="90"/>
      <c r="AM34" s="90"/>
      <c r="AN34" s="90"/>
      <c r="AO34" s="90"/>
    </row>
    <row r="35" spans="1:41" ht="45" customHeight="1" thickBot="1">
      <c r="A35" s="560"/>
      <c r="B35" s="562"/>
      <c r="C35" s="94" t="s">
        <v>10</v>
      </c>
      <c r="D35" s="95"/>
      <c r="E35" s="95"/>
      <c r="F35" s="95"/>
      <c r="G35" s="96"/>
      <c r="H35" s="96"/>
      <c r="I35" s="96"/>
      <c r="J35" s="96"/>
      <c r="K35" s="96"/>
      <c r="L35" s="96"/>
      <c r="M35" s="96"/>
      <c r="N35" s="96"/>
      <c r="O35" s="96"/>
      <c r="P35" s="178">
        <f>SUM(D35:O35)</f>
        <v>0</v>
      </c>
      <c r="Q35" s="566"/>
      <c r="R35" s="567"/>
      <c r="S35" s="568"/>
      <c r="T35" s="567"/>
      <c r="U35" s="567"/>
      <c r="V35" s="568"/>
      <c r="W35" s="566"/>
      <c r="X35" s="567"/>
      <c r="Y35" s="567"/>
      <c r="Z35" s="568"/>
      <c r="AA35" s="566"/>
      <c r="AB35" s="567"/>
      <c r="AC35" s="567"/>
      <c r="AD35" s="570"/>
      <c r="AE35" s="50"/>
      <c r="AF35" s="97"/>
      <c r="AG35" s="90"/>
      <c r="AH35" s="90"/>
      <c r="AI35" s="90"/>
      <c r="AJ35" s="90"/>
      <c r="AK35" s="90"/>
      <c r="AL35" s="90"/>
      <c r="AM35" s="90"/>
      <c r="AN35" s="90"/>
      <c r="AO35" s="90"/>
    </row>
    <row r="36" spans="1:41" ht="25.5" customHeight="1">
      <c r="A36" s="540" t="s">
        <v>191</v>
      </c>
      <c r="B36" s="542" t="s">
        <v>61</v>
      </c>
      <c r="C36" s="544" t="s">
        <v>11</v>
      </c>
      <c r="D36" s="544"/>
      <c r="E36" s="544"/>
      <c r="F36" s="544"/>
      <c r="G36" s="544"/>
      <c r="H36" s="544"/>
      <c r="I36" s="544"/>
      <c r="J36" s="544"/>
      <c r="K36" s="544"/>
      <c r="L36" s="544"/>
      <c r="M36" s="544"/>
      <c r="N36" s="544"/>
      <c r="O36" s="544"/>
      <c r="P36" s="544"/>
      <c r="Q36" s="545" t="s">
        <v>78</v>
      </c>
      <c r="R36" s="546"/>
      <c r="S36" s="546"/>
      <c r="T36" s="546"/>
      <c r="U36" s="546"/>
      <c r="V36" s="546"/>
      <c r="W36" s="546"/>
      <c r="X36" s="546"/>
      <c r="Y36" s="546"/>
      <c r="Z36" s="546"/>
      <c r="AA36" s="546"/>
      <c r="AB36" s="546"/>
      <c r="AC36" s="546"/>
      <c r="AD36" s="547"/>
      <c r="AG36" s="90"/>
      <c r="AH36" s="90"/>
      <c r="AI36" s="90"/>
      <c r="AJ36" s="90"/>
      <c r="AK36" s="90"/>
      <c r="AL36" s="90"/>
      <c r="AM36" s="90"/>
      <c r="AN36" s="90"/>
      <c r="AO36" s="90"/>
    </row>
    <row r="37" spans="1:41" ht="25.5" customHeight="1">
      <c r="A37" s="541"/>
      <c r="B37" s="543"/>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548" t="s">
        <v>83</v>
      </c>
      <c r="R37" s="549"/>
      <c r="S37" s="549"/>
      <c r="T37" s="549"/>
      <c r="U37" s="549"/>
      <c r="V37" s="549"/>
      <c r="W37" s="549"/>
      <c r="X37" s="549"/>
      <c r="Y37" s="549"/>
      <c r="Z37" s="549"/>
      <c r="AA37" s="549"/>
      <c r="AB37" s="549"/>
      <c r="AC37" s="549"/>
      <c r="AD37" s="550"/>
      <c r="AG37" s="98"/>
      <c r="AH37" s="98"/>
      <c r="AI37" s="98"/>
      <c r="AJ37" s="98"/>
      <c r="AK37" s="98"/>
      <c r="AL37" s="98"/>
      <c r="AM37" s="98"/>
      <c r="AN37" s="98"/>
      <c r="AO37" s="98"/>
    </row>
    <row r="38" spans="1:41" ht="28.5" customHeight="1">
      <c r="A38" s="551"/>
      <c r="B38" s="552"/>
      <c r="C38" s="93" t="s">
        <v>9</v>
      </c>
      <c r="D38" s="99"/>
      <c r="E38" s="99"/>
      <c r="F38" s="99"/>
      <c r="G38" s="99"/>
      <c r="H38" s="99"/>
      <c r="I38" s="99"/>
      <c r="J38" s="99"/>
      <c r="K38" s="99"/>
      <c r="L38" s="99"/>
      <c r="M38" s="99"/>
      <c r="N38" s="99"/>
      <c r="O38" s="99"/>
      <c r="P38" s="100">
        <f aca="true" t="shared" si="0" ref="P38:P45">SUM(D38:O38)</f>
        <v>0</v>
      </c>
      <c r="Q38" s="553" t="s">
        <v>408</v>
      </c>
      <c r="R38" s="554"/>
      <c r="S38" s="554"/>
      <c r="T38" s="554"/>
      <c r="U38" s="554"/>
      <c r="V38" s="554"/>
      <c r="W38" s="554"/>
      <c r="X38" s="554"/>
      <c r="Y38" s="554"/>
      <c r="Z38" s="554"/>
      <c r="AA38" s="554"/>
      <c r="AB38" s="554"/>
      <c r="AC38" s="554"/>
      <c r="AD38" s="555"/>
      <c r="AE38" s="101"/>
      <c r="AG38" s="102"/>
      <c r="AH38" s="102"/>
      <c r="AI38" s="102"/>
      <c r="AJ38" s="102"/>
      <c r="AK38" s="102"/>
      <c r="AL38" s="102"/>
      <c r="AM38" s="102"/>
      <c r="AN38" s="102"/>
      <c r="AO38" s="102"/>
    </row>
    <row r="39" spans="1:31" ht="28.5" customHeight="1">
      <c r="A39" s="533"/>
      <c r="B39" s="534"/>
      <c r="C39" s="103" t="s">
        <v>10</v>
      </c>
      <c r="D39" s="104"/>
      <c r="E39" s="104"/>
      <c r="F39" s="104"/>
      <c r="G39" s="104"/>
      <c r="H39" s="104"/>
      <c r="I39" s="104"/>
      <c r="J39" s="104"/>
      <c r="K39" s="104"/>
      <c r="L39" s="104"/>
      <c r="M39" s="104"/>
      <c r="N39" s="104"/>
      <c r="O39" s="104"/>
      <c r="P39" s="105">
        <f t="shared" si="0"/>
        <v>0</v>
      </c>
      <c r="Q39" s="556"/>
      <c r="R39" s="557"/>
      <c r="S39" s="557"/>
      <c r="T39" s="557"/>
      <c r="U39" s="557"/>
      <c r="V39" s="557"/>
      <c r="W39" s="557"/>
      <c r="X39" s="557"/>
      <c r="Y39" s="557"/>
      <c r="Z39" s="557"/>
      <c r="AA39" s="557"/>
      <c r="AB39" s="557"/>
      <c r="AC39" s="557"/>
      <c r="AD39" s="558"/>
      <c r="AE39" s="101"/>
    </row>
    <row r="40" spans="1:31" ht="28.5" customHeight="1">
      <c r="A40" s="533"/>
      <c r="B40" s="525"/>
      <c r="C40" s="106" t="s">
        <v>9</v>
      </c>
      <c r="D40" s="107"/>
      <c r="E40" s="107"/>
      <c r="F40" s="107"/>
      <c r="G40" s="107"/>
      <c r="H40" s="107"/>
      <c r="I40" s="107"/>
      <c r="J40" s="107"/>
      <c r="K40" s="107"/>
      <c r="L40" s="107"/>
      <c r="M40" s="107"/>
      <c r="N40" s="107"/>
      <c r="O40" s="107"/>
      <c r="P40" s="105">
        <f t="shared" si="0"/>
        <v>0</v>
      </c>
      <c r="Q40" s="527"/>
      <c r="R40" s="528"/>
      <c r="S40" s="528"/>
      <c r="T40" s="528"/>
      <c r="U40" s="528"/>
      <c r="V40" s="528"/>
      <c r="W40" s="528"/>
      <c r="X40" s="528"/>
      <c r="Y40" s="528"/>
      <c r="Z40" s="528"/>
      <c r="AA40" s="528"/>
      <c r="AB40" s="528"/>
      <c r="AC40" s="528"/>
      <c r="AD40" s="529"/>
      <c r="AE40" s="101"/>
    </row>
    <row r="41" spans="1:31" ht="28.5" customHeight="1">
      <c r="A41" s="533"/>
      <c r="B41" s="534"/>
      <c r="C41" s="103" t="s">
        <v>10</v>
      </c>
      <c r="D41" s="104"/>
      <c r="E41" s="104"/>
      <c r="F41" s="104"/>
      <c r="G41" s="104"/>
      <c r="H41" s="104"/>
      <c r="I41" s="104"/>
      <c r="J41" s="104"/>
      <c r="K41" s="104"/>
      <c r="L41" s="108"/>
      <c r="M41" s="108"/>
      <c r="N41" s="108"/>
      <c r="O41" s="108"/>
      <c r="P41" s="105">
        <f t="shared" si="0"/>
        <v>0</v>
      </c>
      <c r="Q41" s="535"/>
      <c r="R41" s="536"/>
      <c r="S41" s="536"/>
      <c r="T41" s="536"/>
      <c r="U41" s="536"/>
      <c r="V41" s="536"/>
      <c r="W41" s="536"/>
      <c r="X41" s="536"/>
      <c r="Y41" s="536"/>
      <c r="Z41" s="536"/>
      <c r="AA41" s="536"/>
      <c r="AB41" s="536"/>
      <c r="AC41" s="536"/>
      <c r="AD41" s="537"/>
      <c r="AE41" s="101"/>
    </row>
    <row r="42" spans="1:31" ht="28.5" customHeight="1">
      <c r="A42" s="538"/>
      <c r="B42" s="525"/>
      <c r="C42" s="106" t="s">
        <v>9</v>
      </c>
      <c r="D42" s="107"/>
      <c r="E42" s="107"/>
      <c r="F42" s="107"/>
      <c r="G42" s="107"/>
      <c r="H42" s="107"/>
      <c r="I42" s="107"/>
      <c r="J42" s="107"/>
      <c r="K42" s="107"/>
      <c r="L42" s="107"/>
      <c r="M42" s="107"/>
      <c r="N42" s="107"/>
      <c r="O42" s="107"/>
      <c r="P42" s="105">
        <f t="shared" si="0"/>
        <v>0</v>
      </c>
      <c r="Q42" s="527"/>
      <c r="R42" s="528"/>
      <c r="S42" s="528"/>
      <c r="T42" s="528"/>
      <c r="U42" s="528"/>
      <c r="V42" s="528"/>
      <c r="W42" s="528"/>
      <c r="X42" s="528"/>
      <c r="Y42" s="528"/>
      <c r="Z42" s="528"/>
      <c r="AA42" s="528"/>
      <c r="AB42" s="528"/>
      <c r="AC42" s="528"/>
      <c r="AD42" s="529"/>
      <c r="AE42" s="101"/>
    </row>
    <row r="43" spans="1:31" ht="28.5" customHeight="1">
      <c r="A43" s="539"/>
      <c r="B43" s="534"/>
      <c r="C43" s="103" t="s">
        <v>10</v>
      </c>
      <c r="D43" s="104"/>
      <c r="E43" s="104"/>
      <c r="F43" s="104"/>
      <c r="G43" s="109"/>
      <c r="H43" s="104"/>
      <c r="I43" s="104"/>
      <c r="J43" s="104"/>
      <c r="K43" s="104"/>
      <c r="L43" s="108"/>
      <c r="M43" s="108"/>
      <c r="N43" s="108"/>
      <c r="O43" s="108"/>
      <c r="P43" s="105">
        <f t="shared" si="0"/>
        <v>0</v>
      </c>
      <c r="Q43" s="535"/>
      <c r="R43" s="536"/>
      <c r="S43" s="536"/>
      <c r="T43" s="536"/>
      <c r="U43" s="536"/>
      <c r="V43" s="536"/>
      <c r="W43" s="536"/>
      <c r="X43" s="536"/>
      <c r="Y43" s="536"/>
      <c r="Z43" s="536"/>
      <c r="AA43" s="536"/>
      <c r="AB43" s="536"/>
      <c r="AC43" s="536"/>
      <c r="AD43" s="537"/>
      <c r="AE43" s="101"/>
    </row>
    <row r="44" spans="1:31" ht="28.5" customHeight="1">
      <c r="A44" s="523"/>
      <c r="B44" s="525"/>
      <c r="C44" s="106" t="s">
        <v>9</v>
      </c>
      <c r="D44" s="107"/>
      <c r="E44" s="107"/>
      <c r="F44" s="107"/>
      <c r="G44" s="107"/>
      <c r="H44" s="107"/>
      <c r="I44" s="107"/>
      <c r="J44" s="107"/>
      <c r="K44" s="107"/>
      <c r="L44" s="107"/>
      <c r="M44" s="107"/>
      <c r="N44" s="107"/>
      <c r="O44" s="107"/>
      <c r="P44" s="105">
        <f t="shared" si="0"/>
        <v>0</v>
      </c>
      <c r="Q44" s="527"/>
      <c r="R44" s="528"/>
      <c r="S44" s="528"/>
      <c r="T44" s="528"/>
      <c r="U44" s="528"/>
      <c r="V44" s="528"/>
      <c r="W44" s="528"/>
      <c r="X44" s="528"/>
      <c r="Y44" s="528"/>
      <c r="Z44" s="528"/>
      <c r="AA44" s="528"/>
      <c r="AB44" s="528"/>
      <c r="AC44" s="528"/>
      <c r="AD44" s="529"/>
      <c r="AE44" s="101"/>
    </row>
    <row r="45" spans="1:31" ht="28.5" customHeight="1" thickBot="1">
      <c r="A45" s="524"/>
      <c r="B45" s="526"/>
      <c r="C45" s="94" t="s">
        <v>10</v>
      </c>
      <c r="D45" s="110"/>
      <c r="E45" s="110"/>
      <c r="F45" s="110"/>
      <c r="G45" s="110"/>
      <c r="H45" s="110"/>
      <c r="I45" s="110"/>
      <c r="J45" s="110"/>
      <c r="K45" s="110"/>
      <c r="L45" s="111"/>
      <c r="M45" s="111"/>
      <c r="N45" s="111"/>
      <c r="O45" s="111"/>
      <c r="P45" s="112">
        <f t="shared" si="0"/>
        <v>0</v>
      </c>
      <c r="Q45" s="530"/>
      <c r="R45" s="531"/>
      <c r="S45" s="531"/>
      <c r="T45" s="531"/>
      <c r="U45" s="531"/>
      <c r="V45" s="531"/>
      <c r="W45" s="531"/>
      <c r="X45" s="531"/>
      <c r="Y45" s="531"/>
      <c r="Z45" s="531"/>
      <c r="AA45" s="531"/>
      <c r="AB45" s="531"/>
      <c r="AC45" s="531"/>
      <c r="AD45" s="532"/>
      <c r="AE45" s="101"/>
    </row>
    <row r="46" ht="15">
      <c r="A46" s="52" t="s">
        <v>294</v>
      </c>
    </row>
  </sheetData>
  <sheetProtection/>
  <mergeCells count="82">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O49"/>
  <sheetViews>
    <sheetView showGridLines="0" view="pageBreakPreview" zoomScale="60" zoomScaleNormal="70" workbookViewId="0" topLeftCell="P15">
      <selection activeCell="X26" sqref="X26"/>
    </sheetView>
  </sheetViews>
  <sheetFormatPr defaultColWidth="10.8515625" defaultRowHeight="15"/>
  <cols>
    <col min="1" max="1" width="39.8515625" style="246" customWidth="1"/>
    <col min="2" max="2" width="15.421875" style="246" customWidth="1"/>
    <col min="3" max="14" width="20.7109375" style="246" customWidth="1"/>
    <col min="15" max="15" width="16.710937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45"/>
      <c r="B1" s="848" t="s">
        <v>16</v>
      </c>
      <c r="C1" s="849"/>
      <c r="D1" s="849"/>
      <c r="E1" s="849"/>
      <c r="F1" s="849"/>
      <c r="G1" s="849"/>
      <c r="H1" s="849"/>
      <c r="I1" s="849"/>
      <c r="J1" s="849"/>
      <c r="K1" s="849"/>
      <c r="L1" s="849"/>
      <c r="M1" s="849"/>
      <c r="N1" s="849"/>
      <c r="O1" s="849"/>
      <c r="P1" s="849"/>
      <c r="Q1" s="849"/>
      <c r="R1" s="849"/>
      <c r="S1" s="849"/>
      <c r="T1" s="849"/>
      <c r="U1" s="849"/>
      <c r="V1" s="849"/>
      <c r="W1" s="849"/>
      <c r="X1" s="849"/>
      <c r="Y1" s="849"/>
      <c r="Z1" s="849"/>
      <c r="AA1" s="850"/>
      <c r="AB1" s="851" t="s">
        <v>423</v>
      </c>
      <c r="AC1" s="852"/>
      <c r="AD1" s="853"/>
    </row>
    <row r="2" spans="1:30" ht="30.75" customHeight="1" thickBot="1">
      <c r="A2" s="846"/>
      <c r="B2" s="848" t="s">
        <v>17</v>
      </c>
      <c r="C2" s="849"/>
      <c r="D2" s="849"/>
      <c r="E2" s="849"/>
      <c r="F2" s="849"/>
      <c r="G2" s="849"/>
      <c r="H2" s="849"/>
      <c r="I2" s="849"/>
      <c r="J2" s="849"/>
      <c r="K2" s="849"/>
      <c r="L2" s="849"/>
      <c r="M2" s="849"/>
      <c r="N2" s="849"/>
      <c r="O2" s="849"/>
      <c r="P2" s="849"/>
      <c r="Q2" s="849"/>
      <c r="R2" s="849"/>
      <c r="S2" s="849"/>
      <c r="T2" s="849"/>
      <c r="U2" s="849"/>
      <c r="V2" s="849"/>
      <c r="W2" s="849"/>
      <c r="X2" s="849"/>
      <c r="Y2" s="849"/>
      <c r="Z2" s="849"/>
      <c r="AA2" s="850"/>
      <c r="AB2" s="854" t="s">
        <v>418</v>
      </c>
      <c r="AC2" s="855"/>
      <c r="AD2" s="856"/>
    </row>
    <row r="3" spans="1:30" ht="24" customHeight="1">
      <c r="A3" s="846"/>
      <c r="B3" s="857" t="s">
        <v>295</v>
      </c>
      <c r="C3" s="858"/>
      <c r="D3" s="858"/>
      <c r="E3" s="858"/>
      <c r="F3" s="858"/>
      <c r="G3" s="858"/>
      <c r="H3" s="858"/>
      <c r="I3" s="858"/>
      <c r="J3" s="858"/>
      <c r="K3" s="858"/>
      <c r="L3" s="858"/>
      <c r="M3" s="858"/>
      <c r="N3" s="858"/>
      <c r="O3" s="858"/>
      <c r="P3" s="858"/>
      <c r="Q3" s="858"/>
      <c r="R3" s="858"/>
      <c r="S3" s="858"/>
      <c r="T3" s="858"/>
      <c r="U3" s="858"/>
      <c r="V3" s="858"/>
      <c r="W3" s="858"/>
      <c r="X3" s="858"/>
      <c r="Y3" s="858"/>
      <c r="Z3" s="858"/>
      <c r="AA3" s="859"/>
      <c r="AB3" s="854" t="s">
        <v>424</v>
      </c>
      <c r="AC3" s="855"/>
      <c r="AD3" s="856"/>
    </row>
    <row r="4" spans="1:30" ht="21.75" customHeight="1" thickBot="1">
      <c r="A4" s="847"/>
      <c r="B4" s="860"/>
      <c r="C4" s="861"/>
      <c r="D4" s="861"/>
      <c r="E4" s="861"/>
      <c r="F4" s="861"/>
      <c r="G4" s="861"/>
      <c r="H4" s="861"/>
      <c r="I4" s="861"/>
      <c r="J4" s="861"/>
      <c r="K4" s="861"/>
      <c r="L4" s="861"/>
      <c r="M4" s="861"/>
      <c r="N4" s="861"/>
      <c r="O4" s="861"/>
      <c r="P4" s="861"/>
      <c r="Q4" s="861"/>
      <c r="R4" s="861"/>
      <c r="S4" s="861"/>
      <c r="T4" s="861"/>
      <c r="U4" s="861"/>
      <c r="V4" s="861"/>
      <c r="W4" s="861"/>
      <c r="X4" s="861"/>
      <c r="Y4" s="861"/>
      <c r="Z4" s="861"/>
      <c r="AA4" s="862"/>
      <c r="AB4" s="626" t="s">
        <v>777</v>
      </c>
      <c r="AC4" s="627"/>
      <c r="AD4" s="628"/>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29" t="s">
        <v>293</v>
      </c>
      <c r="B7" s="630"/>
      <c r="C7" s="882" t="s">
        <v>45</v>
      </c>
      <c r="D7" s="629" t="s">
        <v>71</v>
      </c>
      <c r="E7" s="635"/>
      <c r="F7" s="635"/>
      <c r="G7" s="635"/>
      <c r="H7" s="630"/>
      <c r="I7" s="837">
        <v>45146</v>
      </c>
      <c r="J7" s="838"/>
      <c r="K7" s="629" t="s">
        <v>67</v>
      </c>
      <c r="L7" s="630"/>
      <c r="M7" s="843" t="s">
        <v>70</v>
      </c>
      <c r="N7" s="844"/>
      <c r="O7" s="863"/>
      <c r="P7" s="864"/>
      <c r="Q7" s="252"/>
      <c r="R7" s="252"/>
      <c r="S7" s="252"/>
      <c r="T7" s="252"/>
      <c r="U7" s="252"/>
      <c r="V7" s="252"/>
      <c r="W7" s="252"/>
      <c r="X7" s="252"/>
      <c r="Y7" s="252"/>
      <c r="Z7" s="253"/>
      <c r="AA7" s="252"/>
      <c r="AB7" s="252"/>
      <c r="AC7" s="258"/>
      <c r="AD7" s="259"/>
    </row>
    <row r="8" spans="1:30" ht="15" customHeight="1">
      <c r="A8" s="631"/>
      <c r="B8" s="632"/>
      <c r="C8" s="883"/>
      <c r="D8" s="631"/>
      <c r="E8" s="885"/>
      <c r="F8" s="885"/>
      <c r="G8" s="885"/>
      <c r="H8" s="632"/>
      <c r="I8" s="839"/>
      <c r="J8" s="840"/>
      <c r="K8" s="631"/>
      <c r="L8" s="632"/>
      <c r="M8" s="865" t="s">
        <v>68</v>
      </c>
      <c r="N8" s="866"/>
      <c r="O8" s="867"/>
      <c r="P8" s="868"/>
      <c r="Q8" s="252"/>
      <c r="R8" s="252"/>
      <c r="S8" s="252"/>
      <c r="T8" s="252"/>
      <c r="U8" s="252"/>
      <c r="V8" s="252"/>
      <c r="W8" s="252"/>
      <c r="X8" s="252"/>
      <c r="Y8" s="252"/>
      <c r="Z8" s="253"/>
      <c r="AA8" s="252"/>
      <c r="AB8" s="252"/>
      <c r="AC8" s="258"/>
      <c r="AD8" s="259"/>
    </row>
    <row r="9" spans="1:30" ht="15.75" customHeight="1" thickBot="1">
      <c r="A9" s="633"/>
      <c r="B9" s="634"/>
      <c r="C9" s="884"/>
      <c r="D9" s="633"/>
      <c r="E9" s="637"/>
      <c r="F9" s="637"/>
      <c r="G9" s="637"/>
      <c r="H9" s="634"/>
      <c r="I9" s="841"/>
      <c r="J9" s="842"/>
      <c r="K9" s="633"/>
      <c r="L9" s="634"/>
      <c r="M9" s="869" t="s">
        <v>69</v>
      </c>
      <c r="N9" s="870"/>
      <c r="O9" s="871" t="s">
        <v>425</v>
      </c>
      <c r="P9" s="872"/>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29" t="s">
        <v>0</v>
      </c>
      <c r="B11" s="630"/>
      <c r="C11" s="660" t="s">
        <v>497</v>
      </c>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2"/>
    </row>
    <row r="12" spans="1:30" ht="15" customHeight="1">
      <c r="A12" s="631"/>
      <c r="B12" s="632"/>
      <c r="C12" s="663"/>
      <c r="D12" s="990"/>
      <c r="E12" s="990"/>
      <c r="F12" s="990"/>
      <c r="G12" s="990"/>
      <c r="H12" s="990"/>
      <c r="I12" s="990"/>
      <c r="J12" s="990"/>
      <c r="K12" s="990"/>
      <c r="L12" s="990"/>
      <c r="M12" s="990"/>
      <c r="N12" s="990"/>
      <c r="O12" s="990"/>
      <c r="P12" s="990"/>
      <c r="Q12" s="990"/>
      <c r="R12" s="990"/>
      <c r="S12" s="990"/>
      <c r="T12" s="990"/>
      <c r="U12" s="990"/>
      <c r="V12" s="990"/>
      <c r="W12" s="990"/>
      <c r="X12" s="990"/>
      <c r="Y12" s="990"/>
      <c r="Z12" s="990"/>
      <c r="AA12" s="990"/>
      <c r="AB12" s="990"/>
      <c r="AC12" s="990"/>
      <c r="AD12" s="665"/>
    </row>
    <row r="13" spans="1:30" ht="15" customHeight="1" thickBot="1">
      <c r="A13" s="633"/>
      <c r="B13" s="634"/>
      <c r="C13" s="666"/>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8"/>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99" t="s">
        <v>77</v>
      </c>
      <c r="B15" s="600"/>
      <c r="C15" s="886" t="s">
        <v>426</v>
      </c>
      <c r="D15" s="887"/>
      <c r="E15" s="887"/>
      <c r="F15" s="887"/>
      <c r="G15" s="887"/>
      <c r="H15" s="887"/>
      <c r="I15" s="887"/>
      <c r="J15" s="887"/>
      <c r="K15" s="888"/>
      <c r="L15" s="593" t="s">
        <v>73</v>
      </c>
      <c r="M15" s="669"/>
      <c r="N15" s="669"/>
      <c r="O15" s="669"/>
      <c r="P15" s="669"/>
      <c r="Q15" s="594"/>
      <c r="R15" s="889" t="s">
        <v>622</v>
      </c>
      <c r="S15" s="890"/>
      <c r="T15" s="890"/>
      <c r="U15" s="890"/>
      <c r="V15" s="890"/>
      <c r="W15" s="890"/>
      <c r="X15" s="891"/>
      <c r="Y15" s="593" t="s">
        <v>72</v>
      </c>
      <c r="Z15" s="594"/>
      <c r="AA15" s="886" t="s">
        <v>623</v>
      </c>
      <c r="AB15" s="887"/>
      <c r="AC15" s="887"/>
      <c r="AD15" s="888"/>
    </row>
    <row r="16" spans="1:30" ht="9" customHeight="1" thickBot="1">
      <c r="A16" s="257"/>
      <c r="B16" s="252"/>
      <c r="C16" s="892"/>
      <c r="D16" s="892"/>
      <c r="E16" s="892"/>
      <c r="F16" s="892"/>
      <c r="G16" s="892"/>
      <c r="H16" s="892"/>
      <c r="I16" s="892"/>
      <c r="J16" s="892"/>
      <c r="K16" s="892"/>
      <c r="L16" s="892"/>
      <c r="M16" s="892"/>
      <c r="N16" s="892"/>
      <c r="O16" s="892"/>
      <c r="P16" s="892"/>
      <c r="Q16" s="892"/>
      <c r="R16" s="892"/>
      <c r="S16" s="892"/>
      <c r="T16" s="892"/>
      <c r="U16" s="892"/>
      <c r="V16" s="892"/>
      <c r="W16" s="892"/>
      <c r="X16" s="892"/>
      <c r="Y16" s="892"/>
      <c r="Z16" s="892"/>
      <c r="AA16" s="892"/>
      <c r="AB16" s="892"/>
      <c r="AC16" s="271"/>
      <c r="AD16" s="272"/>
    </row>
    <row r="17" spans="1:30" s="273" customFormat="1" ht="37.5" customHeight="1" thickBot="1">
      <c r="A17" s="599" t="s">
        <v>79</v>
      </c>
      <c r="B17" s="600"/>
      <c r="C17" s="679" t="s">
        <v>579</v>
      </c>
      <c r="D17" s="680"/>
      <c r="E17" s="680"/>
      <c r="F17" s="680"/>
      <c r="G17" s="680"/>
      <c r="H17" s="680"/>
      <c r="I17" s="680"/>
      <c r="J17" s="680"/>
      <c r="K17" s="680"/>
      <c r="L17" s="680"/>
      <c r="M17" s="680"/>
      <c r="N17" s="680"/>
      <c r="O17" s="680"/>
      <c r="P17" s="680"/>
      <c r="Q17" s="681"/>
      <c r="R17" s="593" t="s">
        <v>374</v>
      </c>
      <c r="S17" s="669"/>
      <c r="T17" s="669"/>
      <c r="U17" s="669"/>
      <c r="V17" s="594"/>
      <c r="W17" s="595"/>
      <c r="X17" s="596"/>
      <c r="Y17" s="669" t="s">
        <v>15</v>
      </c>
      <c r="Z17" s="669"/>
      <c r="AA17" s="669"/>
      <c r="AB17" s="594"/>
      <c r="AC17" s="896">
        <f>+VIGENCIA!D7</f>
        <v>0.5779259291341293</v>
      </c>
      <c r="AD17" s="897"/>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3" t="s">
        <v>1</v>
      </c>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594"/>
      <c r="AE19" s="275"/>
      <c r="AF19" s="275"/>
    </row>
    <row r="20" spans="1:32" ht="31.5" customHeight="1" thickBot="1">
      <c r="A20" s="276"/>
      <c r="B20" s="258"/>
      <c r="C20" s="697" t="s">
        <v>376</v>
      </c>
      <c r="D20" s="745"/>
      <c r="E20" s="745"/>
      <c r="F20" s="745"/>
      <c r="G20" s="745"/>
      <c r="H20" s="745"/>
      <c r="I20" s="745"/>
      <c r="J20" s="745"/>
      <c r="K20" s="745"/>
      <c r="L20" s="745"/>
      <c r="M20" s="745"/>
      <c r="N20" s="745"/>
      <c r="O20" s="745"/>
      <c r="P20" s="698"/>
      <c r="Q20" s="695" t="s">
        <v>377</v>
      </c>
      <c r="R20" s="898"/>
      <c r="S20" s="898"/>
      <c r="T20" s="898"/>
      <c r="U20" s="898"/>
      <c r="V20" s="898"/>
      <c r="W20" s="898"/>
      <c r="X20" s="898"/>
      <c r="Y20" s="898"/>
      <c r="Z20" s="898"/>
      <c r="AA20" s="898"/>
      <c r="AB20" s="898"/>
      <c r="AC20" s="898"/>
      <c r="AD20" s="696"/>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99" t="s">
        <v>378</v>
      </c>
      <c r="B22" s="900"/>
      <c r="C22" s="197">
        <f>+RESERVA!C14</f>
        <v>148248728</v>
      </c>
      <c r="D22" s="195"/>
      <c r="E22" s="195"/>
      <c r="F22" s="195"/>
      <c r="G22" s="195"/>
      <c r="H22" s="195"/>
      <c r="I22" s="195"/>
      <c r="J22" s="195"/>
      <c r="K22" s="195"/>
      <c r="L22" s="195"/>
      <c r="M22" s="195"/>
      <c r="N22" s="195"/>
      <c r="O22" s="195"/>
      <c r="P22" s="198"/>
      <c r="Q22" s="197">
        <v>6661541216</v>
      </c>
      <c r="R22" s="195">
        <v>0</v>
      </c>
      <c r="S22" s="195">
        <v>30000000</v>
      </c>
      <c r="T22" s="195">
        <v>7000000</v>
      </c>
      <c r="U22" s="195">
        <v>0</v>
      </c>
      <c r="V22" s="195">
        <v>0</v>
      </c>
      <c r="W22" s="195">
        <v>0</v>
      </c>
      <c r="X22" s="195">
        <v>0</v>
      </c>
      <c r="Y22" s="195">
        <v>0</v>
      </c>
      <c r="Z22" s="195">
        <v>0</v>
      </c>
      <c r="AA22" s="195">
        <v>0</v>
      </c>
      <c r="AB22" s="195">
        <v>0</v>
      </c>
      <c r="AC22" s="195">
        <f>SUM(Q22:AB22)</f>
        <v>6698541216</v>
      </c>
      <c r="AD22" s="202"/>
      <c r="AE22" s="4"/>
      <c r="AF22" s="4"/>
    </row>
    <row r="23" spans="1:32" ht="31.5" customHeight="1">
      <c r="A23" s="901" t="s">
        <v>379</v>
      </c>
      <c r="B23" s="902"/>
      <c r="C23" s="192"/>
      <c r="D23" s="191"/>
      <c r="E23" s="191"/>
      <c r="F23" s="191"/>
      <c r="G23" s="191"/>
      <c r="H23" s="191"/>
      <c r="I23" s="191"/>
      <c r="J23" s="191"/>
      <c r="K23" s="191"/>
      <c r="L23" s="191"/>
      <c r="M23" s="191"/>
      <c r="N23" s="191"/>
      <c r="O23" s="191"/>
      <c r="P23" s="211"/>
      <c r="Q23" s="192">
        <f>+VIGENCIA!D16</f>
        <v>6153982761</v>
      </c>
      <c r="R23" s="191">
        <f>+VIGENCIA!F16</f>
        <v>187249867</v>
      </c>
      <c r="S23" s="191">
        <f>+VIGENCIA!H16</f>
        <v>12391320</v>
      </c>
      <c r="T23" s="191">
        <f>+VIGENCIA!J16</f>
        <v>76446900</v>
      </c>
      <c r="U23" s="191">
        <f>+VIGENCIA!L16</f>
        <v>-19105647</v>
      </c>
      <c r="V23" s="191">
        <f>+VIGENCIA!N16</f>
        <v>68314000</v>
      </c>
      <c r="W23" s="191">
        <f>+VIGENCIA!P16</f>
        <v>-5394667</v>
      </c>
      <c r="X23" s="191">
        <f>+VIGENCIA!R16</f>
        <v>51453333</v>
      </c>
      <c r="Y23" s="191"/>
      <c r="Z23" s="191"/>
      <c r="AA23" s="191"/>
      <c r="AB23" s="191"/>
      <c r="AC23" s="191">
        <f>SUM(Q23:AB23)</f>
        <v>6525337867</v>
      </c>
      <c r="AD23" s="448">
        <f>+AC23/AC22</f>
        <v>0.9741431240900198</v>
      </c>
      <c r="AE23" s="4"/>
      <c r="AF23" s="4"/>
    </row>
    <row r="24" spans="1:32" ht="31.5" customHeight="1">
      <c r="A24" s="901" t="s">
        <v>380</v>
      </c>
      <c r="B24" s="902"/>
      <c r="C24" s="192">
        <f>13360000-12360000</f>
        <v>1000000</v>
      </c>
      <c r="D24" s="191">
        <v>1136000</v>
      </c>
      <c r="E24" s="191">
        <v>3553334</v>
      </c>
      <c r="F24" s="191">
        <v>57122894</v>
      </c>
      <c r="G24" s="191">
        <f>1000000-RESERVA!L14</f>
        <v>346666</v>
      </c>
      <c r="H24" s="191">
        <f>1000000-RESERVA!N14</f>
        <v>-22400000</v>
      </c>
      <c r="I24" s="191">
        <f>516500+70560000-RESERVA!P14</f>
        <v>71040500</v>
      </c>
      <c r="J24" s="191">
        <f>+RESERVA!R14</f>
        <v>0</v>
      </c>
      <c r="K24" s="191"/>
      <c r="L24" s="191"/>
      <c r="M24" s="191"/>
      <c r="N24" s="191"/>
      <c r="O24" s="191">
        <f>SUM(C24:N24)</f>
        <v>111799394</v>
      </c>
      <c r="P24" s="196"/>
      <c r="Q24" s="192"/>
      <c r="R24" s="191">
        <v>446693886</v>
      </c>
      <c r="S24" s="191">
        <v>565233651</v>
      </c>
      <c r="T24" s="191">
        <v>569983651</v>
      </c>
      <c r="U24" s="191">
        <v>568233651</v>
      </c>
      <c r="V24" s="191">
        <v>569983651</v>
      </c>
      <c r="W24" s="191">
        <v>568233651</v>
      </c>
      <c r="X24" s="191">
        <v>569983651</v>
      </c>
      <c r="Y24" s="191">
        <v>568233651</v>
      </c>
      <c r="Z24" s="191">
        <v>569983651</v>
      </c>
      <c r="AA24" s="191">
        <v>568233651</v>
      </c>
      <c r="AB24" s="191">
        <v>1133744471</v>
      </c>
      <c r="AC24" s="191">
        <f>SUM(Q24:AB24)</f>
        <v>6698541216</v>
      </c>
      <c r="AD24" s="448"/>
      <c r="AE24" s="4"/>
      <c r="AF24" s="4"/>
    </row>
    <row r="25" spans="1:32" ht="31.5" customHeight="1" thickBot="1">
      <c r="A25" s="903" t="s">
        <v>381</v>
      </c>
      <c r="B25" s="904"/>
      <c r="C25" s="193">
        <f>+RESERVA!E14</f>
        <v>613145</v>
      </c>
      <c r="D25" s="194">
        <f>+RESERVA!G14</f>
        <v>450994</v>
      </c>
      <c r="E25" s="194">
        <f>+RESERVA!I14</f>
        <v>634080</v>
      </c>
      <c r="F25" s="194">
        <f>+RESERVA!K14</f>
        <v>515228</v>
      </c>
      <c r="G25" s="194">
        <f>+RESERVA!M14</f>
        <v>1618238</v>
      </c>
      <c r="H25" s="194">
        <f>+RESERVA!O14</f>
        <v>2875004</v>
      </c>
      <c r="I25" s="194">
        <f>+RESERVA!Q14</f>
        <v>805846</v>
      </c>
      <c r="J25" s="194">
        <f>+RESERVA!S14</f>
        <v>631532</v>
      </c>
      <c r="K25" s="194"/>
      <c r="L25" s="194"/>
      <c r="M25" s="194"/>
      <c r="N25" s="194"/>
      <c r="O25" s="194">
        <f>SUM(C25:N25)</f>
        <v>8144067</v>
      </c>
      <c r="P25" s="447">
        <f>+O25/O24</f>
        <v>0.07284535907233987</v>
      </c>
      <c r="Q25" s="193">
        <f>+VIGENCIA!E16</f>
        <v>7763070</v>
      </c>
      <c r="R25" s="194">
        <f>+VIGENCIA!G16</f>
        <v>354001805</v>
      </c>
      <c r="S25" s="194">
        <f>+VIGENCIA!I16</f>
        <v>525548557</v>
      </c>
      <c r="T25" s="194">
        <f>+VIGENCIA!K16</f>
        <v>547224383</v>
      </c>
      <c r="U25" s="194">
        <f>+VIGENCIA!M16</f>
        <v>557928399</v>
      </c>
      <c r="V25" s="194">
        <f>+VIGENCIA!O16</f>
        <v>536595066</v>
      </c>
      <c r="W25" s="194">
        <f>+VIGENCIA!Q16</f>
        <v>559772399</v>
      </c>
      <c r="X25" s="194">
        <f>+VIGENCIA!S16</f>
        <v>568905066</v>
      </c>
      <c r="Y25" s="194"/>
      <c r="Z25" s="194"/>
      <c r="AA25" s="194"/>
      <c r="AB25" s="194"/>
      <c r="AC25" s="194">
        <f>SUM(Q25:AB25)</f>
        <v>3657738745</v>
      </c>
      <c r="AD25" s="449">
        <f>+AC25/AC24</f>
        <v>0.5460500468763556</v>
      </c>
      <c r="AE25" s="4"/>
      <c r="AF25" s="4"/>
    </row>
    <row r="26" spans="1:30" ht="31.5" customHeight="1" thickBot="1">
      <c r="A26" s="257"/>
      <c r="B26" s="252"/>
      <c r="C26" s="280"/>
      <c r="D26" s="280"/>
      <c r="E26" s="405"/>
      <c r="F26" s="280"/>
      <c r="G26" s="280"/>
      <c r="H26" s="280"/>
      <c r="I26" s="280"/>
      <c r="J26" s="280"/>
      <c r="K26" s="280"/>
      <c r="L26" s="280"/>
      <c r="M26" s="280"/>
      <c r="N26" s="406"/>
      <c r="O26" s="405"/>
      <c r="P26" s="280"/>
      <c r="Q26" s="280"/>
      <c r="R26" s="280"/>
      <c r="S26" s="280"/>
      <c r="T26" s="280"/>
      <c r="U26" s="280"/>
      <c r="V26" s="280"/>
      <c r="W26" s="280"/>
      <c r="X26" s="280"/>
      <c r="Y26" s="280"/>
      <c r="Z26" s="280"/>
      <c r="AA26" s="280"/>
      <c r="AB26" s="280"/>
      <c r="AC26" s="258"/>
      <c r="AD26" s="267"/>
    </row>
    <row r="27" spans="1:30" ht="33.75" customHeight="1">
      <c r="A27" s="905" t="s">
        <v>76</v>
      </c>
      <c r="B27" s="906"/>
      <c r="C27" s="907"/>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8"/>
    </row>
    <row r="28" spans="1:30" ht="15" customHeight="1">
      <c r="A28" s="909" t="s">
        <v>189</v>
      </c>
      <c r="B28" s="911" t="s">
        <v>6</v>
      </c>
      <c r="C28" s="912"/>
      <c r="D28" s="902" t="s">
        <v>398</v>
      </c>
      <c r="E28" s="915"/>
      <c r="F28" s="915"/>
      <c r="G28" s="915"/>
      <c r="H28" s="915"/>
      <c r="I28" s="915"/>
      <c r="J28" s="915"/>
      <c r="K28" s="915"/>
      <c r="L28" s="915"/>
      <c r="M28" s="915"/>
      <c r="N28" s="915"/>
      <c r="O28" s="916"/>
      <c r="P28" s="917" t="s">
        <v>8</v>
      </c>
      <c r="Q28" s="917" t="s">
        <v>84</v>
      </c>
      <c r="R28" s="917"/>
      <c r="S28" s="917"/>
      <c r="T28" s="917"/>
      <c r="U28" s="917"/>
      <c r="V28" s="917"/>
      <c r="W28" s="917"/>
      <c r="X28" s="917"/>
      <c r="Y28" s="917"/>
      <c r="Z28" s="917"/>
      <c r="AA28" s="917"/>
      <c r="AB28" s="917"/>
      <c r="AC28" s="917"/>
      <c r="AD28" s="918"/>
    </row>
    <row r="29" spans="1:30" ht="27" customHeight="1">
      <c r="A29" s="910"/>
      <c r="B29" s="913"/>
      <c r="C29" s="914"/>
      <c r="D29" s="281" t="s">
        <v>39</v>
      </c>
      <c r="E29" s="281" t="s">
        <v>40</v>
      </c>
      <c r="F29" s="281" t="s">
        <v>41</v>
      </c>
      <c r="G29" s="281" t="s">
        <v>42</v>
      </c>
      <c r="H29" s="281" t="s">
        <v>43</v>
      </c>
      <c r="I29" s="281" t="s">
        <v>44</v>
      </c>
      <c r="J29" s="281" t="s">
        <v>45</v>
      </c>
      <c r="K29" s="281" t="s">
        <v>46</v>
      </c>
      <c r="L29" s="281" t="s">
        <v>47</v>
      </c>
      <c r="M29" s="281" t="s">
        <v>48</v>
      </c>
      <c r="N29" s="281" t="s">
        <v>49</v>
      </c>
      <c r="O29" s="281" t="s">
        <v>50</v>
      </c>
      <c r="P29" s="916"/>
      <c r="Q29" s="917"/>
      <c r="R29" s="917"/>
      <c r="S29" s="917"/>
      <c r="T29" s="917"/>
      <c r="U29" s="917"/>
      <c r="V29" s="917"/>
      <c r="W29" s="917"/>
      <c r="X29" s="917"/>
      <c r="Y29" s="917"/>
      <c r="Z29" s="917"/>
      <c r="AA29" s="917"/>
      <c r="AB29" s="917"/>
      <c r="AC29" s="917"/>
      <c r="AD29" s="918"/>
    </row>
    <row r="30" spans="1:30" ht="70.5" customHeight="1" thickBot="1">
      <c r="A30" s="394" t="str">
        <f>C17</f>
        <v>Ejecutar el 100%  las actividades programadas para una correcta gestión administrativa y organizacional</v>
      </c>
      <c r="B30" s="988" t="s">
        <v>450</v>
      </c>
      <c r="C30" s="989"/>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921"/>
      <c r="R30" s="921"/>
      <c r="S30" s="921"/>
      <c r="T30" s="921"/>
      <c r="U30" s="921"/>
      <c r="V30" s="921"/>
      <c r="W30" s="921"/>
      <c r="X30" s="921"/>
      <c r="Y30" s="921"/>
      <c r="Z30" s="921"/>
      <c r="AA30" s="921"/>
      <c r="AB30" s="921"/>
      <c r="AC30" s="921"/>
      <c r="AD30" s="922"/>
    </row>
    <row r="31" spans="1:30" ht="45" customHeight="1">
      <c r="A31" s="857" t="s">
        <v>292</v>
      </c>
      <c r="B31" s="858"/>
      <c r="C31" s="858"/>
      <c r="D31" s="858"/>
      <c r="E31" s="858"/>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9"/>
    </row>
    <row r="32" spans="1:41" ht="22.5" customHeight="1">
      <c r="A32" s="901" t="s">
        <v>190</v>
      </c>
      <c r="B32" s="917" t="s">
        <v>62</v>
      </c>
      <c r="C32" s="917" t="s">
        <v>6</v>
      </c>
      <c r="D32" s="917" t="s">
        <v>60</v>
      </c>
      <c r="E32" s="917"/>
      <c r="F32" s="917"/>
      <c r="G32" s="917"/>
      <c r="H32" s="917"/>
      <c r="I32" s="917"/>
      <c r="J32" s="917"/>
      <c r="K32" s="917"/>
      <c r="L32" s="917"/>
      <c r="M32" s="917"/>
      <c r="N32" s="917"/>
      <c r="O32" s="917"/>
      <c r="P32" s="917"/>
      <c r="Q32" s="917" t="s">
        <v>85</v>
      </c>
      <c r="R32" s="917"/>
      <c r="S32" s="917"/>
      <c r="T32" s="917"/>
      <c r="U32" s="917"/>
      <c r="V32" s="917"/>
      <c r="W32" s="917"/>
      <c r="X32" s="917"/>
      <c r="Y32" s="917"/>
      <c r="Z32" s="917"/>
      <c r="AA32" s="917"/>
      <c r="AB32" s="917"/>
      <c r="AC32" s="917"/>
      <c r="AD32" s="918"/>
      <c r="AG32" s="90"/>
      <c r="AH32" s="90"/>
      <c r="AI32" s="90"/>
      <c r="AJ32" s="90"/>
      <c r="AK32" s="90"/>
      <c r="AL32" s="90"/>
      <c r="AM32" s="90"/>
      <c r="AN32" s="90"/>
      <c r="AO32" s="90"/>
    </row>
    <row r="33" spans="1:41" ht="27" customHeight="1">
      <c r="A33" s="901"/>
      <c r="B33" s="917"/>
      <c r="C33" s="923"/>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17" t="s">
        <v>403</v>
      </c>
      <c r="R33" s="917"/>
      <c r="S33" s="917"/>
      <c r="T33" s="917" t="s">
        <v>406</v>
      </c>
      <c r="U33" s="917"/>
      <c r="V33" s="917"/>
      <c r="W33" s="913" t="s">
        <v>81</v>
      </c>
      <c r="X33" s="924"/>
      <c r="Y33" s="924"/>
      <c r="Z33" s="914"/>
      <c r="AA33" s="913" t="s">
        <v>82</v>
      </c>
      <c r="AB33" s="924"/>
      <c r="AC33" s="924"/>
      <c r="AD33" s="925"/>
      <c r="AG33" s="90"/>
      <c r="AH33" s="90"/>
      <c r="AI33" s="90"/>
      <c r="AJ33" s="90"/>
      <c r="AK33" s="90"/>
      <c r="AL33" s="90"/>
      <c r="AM33" s="90"/>
      <c r="AN33" s="90"/>
      <c r="AO33" s="90"/>
    </row>
    <row r="34" spans="1:41" ht="182.25" customHeight="1">
      <c r="A34" s="984" t="str">
        <f>A30</f>
        <v>Ejecutar el 100%  las actividades programadas para una correcta gestión administrativa y organizacional</v>
      </c>
      <c r="B34" s="986">
        <f>+AC17</f>
        <v>0.5779259291341293</v>
      </c>
      <c r="C34" s="284" t="s">
        <v>9</v>
      </c>
      <c r="D34" s="395">
        <f>((D38*($B$38/$B$34))+(D40*($B$40/$B$34))+(D42*($B$42/$B$34))+(D44*($B$44/$B$34))+(D46*($B$46/$B$34))+(D48*($B$48/$B$34))*$P$34)</f>
        <v>0.0788888888888889</v>
      </c>
      <c r="E34" s="395">
        <f aca="true" t="shared" si="0" ref="E34:O34">((E38*($B$38/$B$34))+(E40*($B$40/$B$34))+(E42*($B$42/$B$34))+(E44*($B$44/$B$34))+(E46*($B$46/$B$34))+(E48*($B$48/$B$34))*$P$34)</f>
        <v>0.11388888888888891</v>
      </c>
      <c r="F34" s="395">
        <f t="shared" si="0"/>
        <v>0.09222222222222223</v>
      </c>
      <c r="G34" s="395">
        <f t="shared" si="0"/>
        <v>0.07722222222222223</v>
      </c>
      <c r="H34" s="395">
        <f t="shared" si="0"/>
        <v>0.0788888888888889</v>
      </c>
      <c r="I34" s="395">
        <f t="shared" si="0"/>
        <v>0.08222222222222222</v>
      </c>
      <c r="J34" s="395">
        <f t="shared" si="0"/>
        <v>0.0838888888888889</v>
      </c>
      <c r="K34" s="395">
        <f t="shared" si="0"/>
        <v>0.0788888888888889</v>
      </c>
      <c r="L34" s="395">
        <f t="shared" si="0"/>
        <v>0.0788888888888889</v>
      </c>
      <c r="M34" s="395">
        <f t="shared" si="0"/>
        <v>0.07388888888888889</v>
      </c>
      <c r="N34" s="395">
        <f t="shared" si="0"/>
        <v>0.0738888888888889</v>
      </c>
      <c r="O34" s="395">
        <f t="shared" si="0"/>
        <v>0.08722222222222223</v>
      </c>
      <c r="P34" s="177">
        <v>1</v>
      </c>
      <c r="Q34" s="930" t="s">
        <v>972</v>
      </c>
      <c r="R34" s="931"/>
      <c r="S34" s="932"/>
      <c r="T34" s="930" t="s">
        <v>973</v>
      </c>
      <c r="U34" s="931"/>
      <c r="V34" s="932"/>
      <c r="W34" s="1163" t="s">
        <v>852</v>
      </c>
      <c r="X34" s="1164"/>
      <c r="Y34" s="1164"/>
      <c r="Z34" s="1165"/>
      <c r="AA34" s="1163" t="s">
        <v>974</v>
      </c>
      <c r="AB34" s="1164"/>
      <c r="AC34" s="1164"/>
      <c r="AD34" s="1165"/>
      <c r="AG34" s="90"/>
      <c r="AH34" s="90"/>
      <c r="AI34" s="90"/>
      <c r="AJ34" s="90"/>
      <c r="AK34" s="90"/>
      <c r="AL34" s="90"/>
      <c r="AM34" s="90"/>
      <c r="AN34" s="90"/>
      <c r="AO34" s="90"/>
    </row>
    <row r="35" spans="1:41" ht="182.25" customHeight="1" thickBot="1">
      <c r="A35" s="985"/>
      <c r="B35" s="987"/>
      <c r="C35" s="285" t="s">
        <v>10</v>
      </c>
      <c r="D35" s="413">
        <f>((D39*($B$38/$B$34))+(D41*($B$40/$B$34))+(D43*($B$42/$B$34))+(D45*($B$44/$B$34))+(D47*($B$46/$B$34))+(D49*($B$48/$B$34))*$P$34)</f>
        <v>0.07888333333333336</v>
      </c>
      <c r="E35" s="413">
        <f aca="true" t="shared" si="1" ref="E35:K35">((E39*($B$38/$B$34))+(E41*($B$40/$B$34))+(E43*($B$42/$B$34))+(E45*($B$44/$B$34))+(E47*($B$46/$B$34))+(E49*($B$48/$B$34))*$P$34)</f>
        <v>0.11388333333333335</v>
      </c>
      <c r="F35" s="413">
        <f t="shared" si="1"/>
        <v>0.09221666666666667</v>
      </c>
      <c r="G35" s="413">
        <f t="shared" si="1"/>
        <v>0.07721666666666667</v>
      </c>
      <c r="H35" s="413">
        <f t="shared" si="1"/>
        <v>0.0788888888888889</v>
      </c>
      <c r="I35" s="476">
        <f t="shared" si="1"/>
        <v>0.08221666666666667</v>
      </c>
      <c r="J35" s="476">
        <f t="shared" si="1"/>
        <v>0.08388333333333334</v>
      </c>
      <c r="K35" s="476">
        <f t="shared" si="1"/>
        <v>0.08055000000000001</v>
      </c>
      <c r="L35" s="96"/>
      <c r="M35" s="96"/>
      <c r="N35" s="96"/>
      <c r="O35" s="96"/>
      <c r="P35" s="178">
        <f>SUM(D35:O35)</f>
        <v>0.6877388888888889</v>
      </c>
      <c r="Q35" s="933"/>
      <c r="R35" s="934"/>
      <c r="S35" s="935"/>
      <c r="T35" s="933"/>
      <c r="U35" s="934"/>
      <c r="V35" s="935"/>
      <c r="W35" s="1166"/>
      <c r="X35" s="1167"/>
      <c r="Y35" s="1167"/>
      <c r="Z35" s="1168"/>
      <c r="AA35" s="1166"/>
      <c r="AB35" s="1167"/>
      <c r="AC35" s="1167"/>
      <c r="AD35" s="1168"/>
      <c r="AE35" s="50"/>
      <c r="AG35" s="90"/>
      <c r="AH35" s="90"/>
      <c r="AI35" s="90"/>
      <c r="AJ35" s="90"/>
      <c r="AK35" s="90"/>
      <c r="AL35" s="90"/>
      <c r="AM35" s="90"/>
      <c r="AN35" s="90"/>
      <c r="AO35" s="90"/>
    </row>
    <row r="36" spans="1:41" ht="25.5" customHeight="1">
      <c r="A36" s="899" t="s">
        <v>191</v>
      </c>
      <c r="B36" s="946" t="s">
        <v>61</v>
      </c>
      <c r="C36" s="982" t="s">
        <v>11</v>
      </c>
      <c r="D36" s="982"/>
      <c r="E36" s="982"/>
      <c r="F36" s="982"/>
      <c r="G36" s="982"/>
      <c r="H36" s="982"/>
      <c r="I36" s="982"/>
      <c r="J36" s="982"/>
      <c r="K36" s="982"/>
      <c r="L36" s="982"/>
      <c r="M36" s="982"/>
      <c r="N36" s="982"/>
      <c r="O36" s="982"/>
      <c r="P36" s="982"/>
      <c r="Q36" s="900" t="s">
        <v>78</v>
      </c>
      <c r="R36" s="948"/>
      <c r="S36" s="948"/>
      <c r="T36" s="948"/>
      <c r="U36" s="948"/>
      <c r="V36" s="948"/>
      <c r="W36" s="948"/>
      <c r="X36" s="948"/>
      <c r="Y36" s="948"/>
      <c r="Z36" s="948"/>
      <c r="AA36" s="948"/>
      <c r="AB36" s="948"/>
      <c r="AC36" s="948"/>
      <c r="AD36" s="950"/>
      <c r="AG36" s="90"/>
      <c r="AH36" s="90"/>
      <c r="AI36" s="90"/>
      <c r="AJ36" s="90"/>
      <c r="AK36" s="90"/>
      <c r="AL36" s="90"/>
      <c r="AM36" s="90"/>
      <c r="AN36" s="90"/>
      <c r="AO36" s="90"/>
    </row>
    <row r="37" spans="1:41" ht="25.5" customHeight="1">
      <c r="A37" s="901"/>
      <c r="B37" s="947"/>
      <c r="C37" s="425" t="s">
        <v>12</v>
      </c>
      <c r="D37" s="425" t="s">
        <v>36</v>
      </c>
      <c r="E37" s="425" t="s">
        <v>37</v>
      </c>
      <c r="F37" s="425" t="s">
        <v>38</v>
      </c>
      <c r="G37" s="425" t="s">
        <v>51</v>
      </c>
      <c r="H37" s="425" t="s">
        <v>52</v>
      </c>
      <c r="I37" s="425" t="s">
        <v>53</v>
      </c>
      <c r="J37" s="425" t="s">
        <v>54</v>
      </c>
      <c r="K37" s="425" t="s">
        <v>55</v>
      </c>
      <c r="L37" s="425" t="s">
        <v>56</v>
      </c>
      <c r="M37" s="425" t="s">
        <v>57</v>
      </c>
      <c r="N37" s="425" t="s">
        <v>58</v>
      </c>
      <c r="O37" s="425" t="s">
        <v>59</v>
      </c>
      <c r="P37" s="425" t="s">
        <v>63</v>
      </c>
      <c r="Q37" s="902" t="s">
        <v>83</v>
      </c>
      <c r="R37" s="915"/>
      <c r="S37" s="915"/>
      <c r="T37" s="915"/>
      <c r="U37" s="915"/>
      <c r="V37" s="915"/>
      <c r="W37" s="915"/>
      <c r="X37" s="915"/>
      <c r="Y37" s="915"/>
      <c r="Z37" s="915"/>
      <c r="AA37" s="915"/>
      <c r="AB37" s="915"/>
      <c r="AC37" s="915"/>
      <c r="AD37" s="951"/>
      <c r="AG37" s="98"/>
      <c r="AH37" s="98"/>
      <c r="AI37" s="98"/>
      <c r="AJ37" s="98"/>
      <c r="AK37" s="98"/>
      <c r="AL37" s="98"/>
      <c r="AM37" s="98"/>
      <c r="AN37" s="98"/>
      <c r="AO37" s="98"/>
    </row>
    <row r="38" spans="1:41" ht="114" customHeight="1">
      <c r="A38" s="981" t="s">
        <v>580</v>
      </c>
      <c r="B38" s="983">
        <f>+$B$34/6</f>
        <v>0.09632098818902156</v>
      </c>
      <c r="C38" s="284" t="s">
        <v>9</v>
      </c>
      <c r="D38" s="99">
        <v>0.1</v>
      </c>
      <c r="E38" s="99">
        <v>0.1</v>
      </c>
      <c r="F38" s="99">
        <v>0.08</v>
      </c>
      <c r="G38" s="99">
        <v>0.08</v>
      </c>
      <c r="H38" s="99">
        <v>0.08</v>
      </c>
      <c r="I38" s="99">
        <v>0.08</v>
      </c>
      <c r="J38" s="99">
        <v>0.08</v>
      </c>
      <c r="K38" s="99">
        <v>0.08</v>
      </c>
      <c r="L38" s="99">
        <v>0.08</v>
      </c>
      <c r="M38" s="99">
        <v>0.08</v>
      </c>
      <c r="N38" s="99">
        <v>0.08</v>
      </c>
      <c r="O38" s="99">
        <v>0.08</v>
      </c>
      <c r="P38" s="286">
        <f>SUM(D38:O38)</f>
        <v>0.9999999999999998</v>
      </c>
      <c r="Q38" s="957" t="s">
        <v>967</v>
      </c>
      <c r="R38" s="958"/>
      <c r="S38" s="958"/>
      <c r="T38" s="958"/>
      <c r="U38" s="958"/>
      <c r="V38" s="958"/>
      <c r="W38" s="958"/>
      <c r="X38" s="958"/>
      <c r="Y38" s="958"/>
      <c r="Z38" s="958"/>
      <c r="AA38" s="958"/>
      <c r="AB38" s="958"/>
      <c r="AC38" s="958"/>
      <c r="AD38" s="959"/>
      <c r="AE38" s="287"/>
      <c r="AG38" s="102"/>
      <c r="AH38" s="102"/>
      <c r="AI38" s="102"/>
      <c r="AJ38" s="102"/>
      <c r="AK38" s="102"/>
      <c r="AL38" s="102"/>
      <c r="AM38" s="102"/>
      <c r="AN38" s="102"/>
      <c r="AO38" s="102"/>
    </row>
    <row r="39" spans="1:31" ht="114" customHeight="1">
      <c r="A39" s="976"/>
      <c r="B39" s="977"/>
      <c r="C39" s="288" t="s">
        <v>10</v>
      </c>
      <c r="D39" s="104">
        <v>0.1</v>
      </c>
      <c r="E39" s="104">
        <v>0.1</v>
      </c>
      <c r="F39" s="104">
        <v>0.08</v>
      </c>
      <c r="G39" s="104">
        <v>0.08</v>
      </c>
      <c r="H39" s="104">
        <v>0.08</v>
      </c>
      <c r="I39" s="104">
        <v>0.08</v>
      </c>
      <c r="J39" s="104">
        <v>0.08</v>
      </c>
      <c r="K39" s="104">
        <v>0.08</v>
      </c>
      <c r="L39" s="104"/>
      <c r="M39" s="104"/>
      <c r="N39" s="104"/>
      <c r="O39" s="104"/>
      <c r="P39" s="289">
        <f aca="true" t="shared" si="2" ref="P39:P45">SUM(D39:O39)</f>
        <v>0.6799999999999999</v>
      </c>
      <c r="Q39" s="978"/>
      <c r="R39" s="979"/>
      <c r="S39" s="979"/>
      <c r="T39" s="979"/>
      <c r="U39" s="979"/>
      <c r="V39" s="979"/>
      <c r="W39" s="979"/>
      <c r="X39" s="979"/>
      <c r="Y39" s="979"/>
      <c r="Z39" s="979"/>
      <c r="AA39" s="979"/>
      <c r="AB39" s="979"/>
      <c r="AC39" s="979"/>
      <c r="AD39" s="980"/>
      <c r="AE39" s="287"/>
    </row>
    <row r="40" spans="1:31" ht="93.75" customHeight="1">
      <c r="A40" s="975" t="s">
        <v>581</v>
      </c>
      <c r="B40" s="967">
        <f>+$B$34/6</f>
        <v>0.09632098818902156</v>
      </c>
      <c r="C40" s="290" t="s">
        <v>9</v>
      </c>
      <c r="D40" s="99">
        <v>0.2</v>
      </c>
      <c r="E40" s="99">
        <v>0.3</v>
      </c>
      <c r="F40" s="99">
        <v>0.15</v>
      </c>
      <c r="G40" s="99">
        <v>0.03</v>
      </c>
      <c r="H40" s="99">
        <v>0.03</v>
      </c>
      <c r="I40" s="99">
        <v>0.03</v>
      </c>
      <c r="J40" s="99">
        <v>0.04</v>
      </c>
      <c r="K40" s="99">
        <v>0.03</v>
      </c>
      <c r="L40" s="99">
        <v>0.04</v>
      </c>
      <c r="M40" s="99">
        <v>0.02</v>
      </c>
      <c r="N40" s="99">
        <v>0.05</v>
      </c>
      <c r="O40" s="99">
        <v>0.08</v>
      </c>
      <c r="P40" s="289">
        <f>SUM(D40:O40)</f>
        <v>1.0000000000000002</v>
      </c>
      <c r="Q40" s="957" t="s">
        <v>968</v>
      </c>
      <c r="R40" s="958"/>
      <c r="S40" s="958"/>
      <c r="T40" s="958"/>
      <c r="U40" s="958"/>
      <c r="V40" s="958"/>
      <c r="W40" s="958"/>
      <c r="X40" s="958"/>
      <c r="Y40" s="958"/>
      <c r="Z40" s="958"/>
      <c r="AA40" s="958"/>
      <c r="AB40" s="958"/>
      <c r="AC40" s="958"/>
      <c r="AD40" s="959"/>
      <c r="AE40" s="287"/>
    </row>
    <row r="41" spans="1:31" ht="93.75" customHeight="1">
      <c r="A41" s="976"/>
      <c r="B41" s="977"/>
      <c r="C41" s="288" t="s">
        <v>10</v>
      </c>
      <c r="D41" s="104">
        <v>0.2</v>
      </c>
      <c r="E41" s="104">
        <v>0.3</v>
      </c>
      <c r="F41" s="104">
        <v>0.15</v>
      </c>
      <c r="G41" s="104">
        <v>0.03</v>
      </c>
      <c r="H41" s="104">
        <v>0.03</v>
      </c>
      <c r="I41" s="104">
        <v>0.03</v>
      </c>
      <c r="J41" s="104">
        <v>0.04</v>
      </c>
      <c r="K41" s="104">
        <v>0.04</v>
      </c>
      <c r="L41" s="104"/>
      <c r="M41" s="104"/>
      <c r="N41" s="104"/>
      <c r="O41" s="104"/>
      <c r="P41" s="289">
        <f t="shared" si="2"/>
        <v>0.8200000000000002</v>
      </c>
      <c r="Q41" s="978"/>
      <c r="R41" s="979"/>
      <c r="S41" s="979"/>
      <c r="T41" s="979"/>
      <c r="U41" s="979"/>
      <c r="V41" s="979"/>
      <c r="W41" s="979"/>
      <c r="X41" s="979"/>
      <c r="Y41" s="979"/>
      <c r="Z41" s="979"/>
      <c r="AA41" s="979"/>
      <c r="AB41" s="979"/>
      <c r="AC41" s="979"/>
      <c r="AD41" s="980"/>
      <c r="AE41" s="287"/>
    </row>
    <row r="42" spans="1:31" ht="124.5" customHeight="1">
      <c r="A42" s="981" t="s">
        <v>582</v>
      </c>
      <c r="B42" s="967">
        <f>+$B$34/6</f>
        <v>0.09632098818902156</v>
      </c>
      <c r="C42" s="290" t="s">
        <v>9</v>
      </c>
      <c r="D42" s="99">
        <v>0.05</v>
      </c>
      <c r="E42" s="99">
        <v>0.05</v>
      </c>
      <c r="F42" s="99">
        <v>0.07</v>
      </c>
      <c r="G42" s="99">
        <v>0.09</v>
      </c>
      <c r="H42" s="99">
        <v>0.1</v>
      </c>
      <c r="I42" s="99">
        <v>0.12</v>
      </c>
      <c r="J42" s="99">
        <v>0.12</v>
      </c>
      <c r="K42" s="99">
        <v>0.1</v>
      </c>
      <c r="L42" s="99">
        <v>0.09</v>
      </c>
      <c r="M42" s="99">
        <v>0.09</v>
      </c>
      <c r="N42" s="99">
        <v>0.07</v>
      </c>
      <c r="O42" s="99">
        <v>0.05</v>
      </c>
      <c r="P42" s="289">
        <f>SUM(D42:O42)</f>
        <v>1</v>
      </c>
      <c r="Q42" s="957" t="s">
        <v>969</v>
      </c>
      <c r="R42" s="958"/>
      <c r="S42" s="958"/>
      <c r="T42" s="958"/>
      <c r="U42" s="958"/>
      <c r="V42" s="958"/>
      <c r="W42" s="958"/>
      <c r="X42" s="958"/>
      <c r="Y42" s="958"/>
      <c r="Z42" s="958"/>
      <c r="AA42" s="958"/>
      <c r="AB42" s="958"/>
      <c r="AC42" s="958"/>
      <c r="AD42" s="959"/>
      <c r="AE42" s="287"/>
    </row>
    <row r="43" spans="1:31" ht="124.5" customHeight="1">
      <c r="A43" s="976"/>
      <c r="B43" s="977"/>
      <c r="C43" s="288" t="s">
        <v>10</v>
      </c>
      <c r="D43" s="104">
        <v>0.05</v>
      </c>
      <c r="E43" s="104">
        <v>0.05</v>
      </c>
      <c r="F43" s="104">
        <v>0.07</v>
      </c>
      <c r="G43" s="104">
        <v>0.09</v>
      </c>
      <c r="H43" s="104">
        <v>0.1</v>
      </c>
      <c r="I43" s="104">
        <v>0.12</v>
      </c>
      <c r="J43" s="104">
        <v>0.12</v>
      </c>
      <c r="K43" s="104">
        <v>0.1</v>
      </c>
      <c r="L43" s="104"/>
      <c r="M43" s="104"/>
      <c r="N43" s="104"/>
      <c r="O43" s="104"/>
      <c r="P43" s="289">
        <f t="shared" si="2"/>
        <v>0.7</v>
      </c>
      <c r="Q43" s="978"/>
      <c r="R43" s="979"/>
      <c r="S43" s="979"/>
      <c r="T43" s="979"/>
      <c r="U43" s="979"/>
      <c r="V43" s="979"/>
      <c r="W43" s="979"/>
      <c r="X43" s="979"/>
      <c r="Y43" s="979"/>
      <c r="Z43" s="979"/>
      <c r="AA43" s="979"/>
      <c r="AB43" s="979"/>
      <c r="AC43" s="979"/>
      <c r="AD43" s="980"/>
      <c r="AE43" s="287"/>
    </row>
    <row r="44" spans="1:31" ht="93.75" customHeight="1">
      <c r="A44" s="975" t="s">
        <v>792</v>
      </c>
      <c r="B44" s="967">
        <f>+$B$34/6</f>
        <v>0.09632098818902156</v>
      </c>
      <c r="C44" s="290" t="s">
        <v>9</v>
      </c>
      <c r="D44" s="329">
        <v>0.02</v>
      </c>
      <c r="E44" s="329">
        <v>0.07</v>
      </c>
      <c r="F44" s="329">
        <v>0.08</v>
      </c>
      <c r="G44" s="329">
        <v>0.09</v>
      </c>
      <c r="H44" s="329">
        <v>0.09</v>
      </c>
      <c r="I44" s="329">
        <v>0.09</v>
      </c>
      <c r="J44" s="329">
        <v>0.09</v>
      </c>
      <c r="K44" s="329">
        <v>0.09</v>
      </c>
      <c r="L44" s="329">
        <v>0.09</v>
      </c>
      <c r="M44" s="329">
        <v>0.08</v>
      </c>
      <c r="N44" s="329">
        <v>0.07</v>
      </c>
      <c r="O44" s="329">
        <v>0.14</v>
      </c>
      <c r="P44" s="333">
        <f>SUM(D44:O44)</f>
        <v>0.9999999999999999</v>
      </c>
      <c r="Q44" s="957" t="s">
        <v>970</v>
      </c>
      <c r="R44" s="958"/>
      <c r="S44" s="958"/>
      <c r="T44" s="958"/>
      <c r="U44" s="958"/>
      <c r="V44" s="958"/>
      <c r="W44" s="958"/>
      <c r="X44" s="958"/>
      <c r="Y44" s="958"/>
      <c r="Z44" s="958"/>
      <c r="AA44" s="958"/>
      <c r="AB44" s="958"/>
      <c r="AC44" s="958"/>
      <c r="AD44" s="959"/>
      <c r="AE44" s="287"/>
    </row>
    <row r="45" spans="1:31" ht="93.75" customHeight="1">
      <c r="A45" s="976"/>
      <c r="B45" s="977"/>
      <c r="C45" s="288" t="s">
        <v>10</v>
      </c>
      <c r="D45" s="104">
        <v>0.02</v>
      </c>
      <c r="E45" s="104">
        <v>0.07</v>
      </c>
      <c r="F45" s="104">
        <v>0.08</v>
      </c>
      <c r="G45" s="104">
        <v>0.09</v>
      </c>
      <c r="H45" s="104">
        <v>0.09</v>
      </c>
      <c r="I45" s="104">
        <v>0.09</v>
      </c>
      <c r="J45" s="104">
        <v>0.09</v>
      </c>
      <c r="K45" s="104">
        <v>0.09</v>
      </c>
      <c r="L45" s="104"/>
      <c r="M45" s="104"/>
      <c r="N45" s="104"/>
      <c r="O45" s="104"/>
      <c r="P45" s="333">
        <f t="shared" si="2"/>
        <v>0.6199999999999999</v>
      </c>
      <c r="Q45" s="978"/>
      <c r="R45" s="979"/>
      <c r="S45" s="979"/>
      <c r="T45" s="979"/>
      <c r="U45" s="979"/>
      <c r="V45" s="979"/>
      <c r="W45" s="979"/>
      <c r="X45" s="979"/>
      <c r="Y45" s="979"/>
      <c r="Z45" s="979"/>
      <c r="AA45" s="979"/>
      <c r="AB45" s="979"/>
      <c r="AC45" s="979"/>
      <c r="AD45" s="980"/>
      <c r="AE45" s="287"/>
    </row>
    <row r="46" spans="1:31" ht="93.75" customHeight="1">
      <c r="A46" s="975" t="s">
        <v>793</v>
      </c>
      <c r="B46" s="967">
        <f>+$B$34/6</f>
        <v>0.09632098818902156</v>
      </c>
      <c r="C46" s="290" t="s">
        <v>9</v>
      </c>
      <c r="D46" s="407">
        <v>0.08333333333333334</v>
      </c>
      <c r="E46" s="407">
        <v>0.08333333333333334</v>
      </c>
      <c r="F46" s="407">
        <v>0.08333333333333334</v>
      </c>
      <c r="G46" s="407">
        <v>0.08333333333333334</v>
      </c>
      <c r="H46" s="407">
        <v>0.08333333333333334</v>
      </c>
      <c r="I46" s="407">
        <v>0.08333333333333334</v>
      </c>
      <c r="J46" s="407">
        <v>0.08333333333333334</v>
      </c>
      <c r="K46" s="407">
        <v>0.08333333333333334</v>
      </c>
      <c r="L46" s="407">
        <v>0.08333333333333334</v>
      </c>
      <c r="M46" s="407">
        <v>0.08333333333333334</v>
      </c>
      <c r="N46" s="407">
        <v>0.08333333333333334</v>
      </c>
      <c r="O46" s="407">
        <v>0.08333333333333334</v>
      </c>
      <c r="P46" s="333">
        <f>SUM(D46:O46)</f>
        <v>1.0000000000000002</v>
      </c>
      <c r="Q46" s="957" t="s">
        <v>971</v>
      </c>
      <c r="R46" s="958"/>
      <c r="S46" s="958"/>
      <c r="T46" s="958"/>
      <c r="U46" s="958"/>
      <c r="V46" s="958"/>
      <c r="W46" s="958"/>
      <c r="X46" s="958"/>
      <c r="Y46" s="958"/>
      <c r="Z46" s="958"/>
      <c r="AA46" s="958"/>
      <c r="AB46" s="958"/>
      <c r="AC46" s="958"/>
      <c r="AD46" s="959"/>
      <c r="AE46" s="287"/>
    </row>
    <row r="47" spans="1:31" ht="93.75" customHeight="1">
      <c r="A47" s="976"/>
      <c r="B47" s="977"/>
      <c r="C47" s="288" t="s">
        <v>10</v>
      </c>
      <c r="D47" s="410">
        <v>0.0833</v>
      </c>
      <c r="E47" s="410">
        <v>0.0833</v>
      </c>
      <c r="F47" s="410">
        <v>0.0833</v>
      </c>
      <c r="G47" s="410">
        <v>0.0833</v>
      </c>
      <c r="H47" s="410">
        <v>0.08333333333333334</v>
      </c>
      <c r="I47" s="473">
        <v>0.0833</v>
      </c>
      <c r="J47" s="473">
        <v>0.0833</v>
      </c>
      <c r="K47" s="473">
        <v>0.0833</v>
      </c>
      <c r="L47" s="104"/>
      <c r="M47" s="104"/>
      <c r="N47" s="104"/>
      <c r="O47" s="104"/>
      <c r="P47" s="333">
        <f>SUM(D47:O47)</f>
        <v>0.6664333333333333</v>
      </c>
      <c r="Q47" s="978"/>
      <c r="R47" s="979"/>
      <c r="S47" s="979"/>
      <c r="T47" s="979"/>
      <c r="U47" s="979"/>
      <c r="V47" s="979"/>
      <c r="W47" s="979"/>
      <c r="X47" s="979"/>
      <c r="Y47" s="979"/>
      <c r="Z47" s="979"/>
      <c r="AA47" s="979"/>
      <c r="AB47" s="979"/>
      <c r="AC47" s="979"/>
      <c r="AD47" s="980"/>
      <c r="AE47" s="287"/>
    </row>
    <row r="48" spans="1:41" ht="93.75" customHeight="1">
      <c r="A48" s="965" t="s">
        <v>628</v>
      </c>
      <c r="B48" s="967">
        <f>+$B$34/6</f>
        <v>0.09632098818902156</v>
      </c>
      <c r="C48" s="290" t="s">
        <v>9</v>
      </c>
      <c r="D48" s="329">
        <v>0.02</v>
      </c>
      <c r="E48" s="329">
        <v>0.08</v>
      </c>
      <c r="F48" s="329">
        <v>0.09</v>
      </c>
      <c r="G48" s="329">
        <v>0.09</v>
      </c>
      <c r="H48" s="329">
        <v>0.09</v>
      </c>
      <c r="I48" s="329">
        <v>0.09</v>
      </c>
      <c r="J48" s="329">
        <v>0.09</v>
      </c>
      <c r="K48" s="329">
        <v>0.09</v>
      </c>
      <c r="L48" s="329">
        <v>0.09</v>
      </c>
      <c r="M48" s="329">
        <v>0.09</v>
      </c>
      <c r="N48" s="329">
        <v>0.09</v>
      </c>
      <c r="O48" s="329">
        <v>0.09</v>
      </c>
      <c r="P48" s="333">
        <f>SUM(D48:O48)</f>
        <v>0.9999999999999998</v>
      </c>
      <c r="Q48" s="969" t="s">
        <v>975</v>
      </c>
      <c r="R48" s="970"/>
      <c r="S48" s="970"/>
      <c r="T48" s="970"/>
      <c r="U48" s="970"/>
      <c r="V48" s="970"/>
      <c r="W48" s="970"/>
      <c r="X48" s="970"/>
      <c r="Y48" s="970"/>
      <c r="Z48" s="970"/>
      <c r="AA48" s="970"/>
      <c r="AB48" s="970"/>
      <c r="AC48" s="970"/>
      <c r="AD48" s="971"/>
      <c r="AE48" s="287"/>
      <c r="AG48" s="102"/>
      <c r="AH48" s="102"/>
      <c r="AI48" s="102"/>
      <c r="AJ48" s="102"/>
      <c r="AK48" s="102"/>
      <c r="AL48" s="102"/>
      <c r="AM48" s="102"/>
      <c r="AN48" s="102"/>
      <c r="AO48" s="102"/>
    </row>
    <row r="49" spans="1:31" ht="93.75" customHeight="1" thickBot="1">
      <c r="A49" s="966"/>
      <c r="B49" s="968"/>
      <c r="C49" s="285" t="s">
        <v>10</v>
      </c>
      <c r="D49" s="110">
        <v>0.02</v>
      </c>
      <c r="E49" s="110">
        <v>0.08</v>
      </c>
      <c r="F49" s="110">
        <v>0.09</v>
      </c>
      <c r="G49" s="110">
        <v>0.09</v>
      </c>
      <c r="H49" s="110">
        <v>0.09</v>
      </c>
      <c r="I49" s="110">
        <v>0.09</v>
      </c>
      <c r="J49" s="110">
        <v>0.09</v>
      </c>
      <c r="K49" s="110">
        <v>0.09</v>
      </c>
      <c r="L49" s="110"/>
      <c r="M49" s="110"/>
      <c r="N49" s="110"/>
      <c r="O49" s="110"/>
      <c r="P49" s="426">
        <f>SUM(D49:O49)</f>
        <v>0.6399999999999999</v>
      </c>
      <c r="Q49" s="972"/>
      <c r="R49" s="973"/>
      <c r="S49" s="973"/>
      <c r="T49" s="973"/>
      <c r="U49" s="973"/>
      <c r="V49" s="973"/>
      <c r="W49" s="973"/>
      <c r="X49" s="973"/>
      <c r="Y49" s="973"/>
      <c r="Z49" s="973"/>
      <c r="AA49" s="973"/>
      <c r="AB49" s="973"/>
      <c r="AC49" s="973"/>
      <c r="AD49" s="974"/>
      <c r="AE49" s="287"/>
    </row>
  </sheetData>
  <sheetProtection/>
  <mergeCells count="88">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 ref="A48:A49"/>
    <mergeCell ref="B48:B49"/>
    <mergeCell ref="Q48:AD49"/>
    <mergeCell ref="A44:A45"/>
    <mergeCell ref="B44:B45"/>
    <mergeCell ref="Q44:AD45"/>
    <mergeCell ref="A46:A47"/>
    <mergeCell ref="B46:B47"/>
    <mergeCell ref="Q46:AD47"/>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7 Q34 AA34 W34 T34 Q48">
      <formula1>2000</formula1>
    </dataValidation>
  </dataValidations>
  <printOptions/>
  <pageMargins left="0.25" right="0.25" top="0.75" bottom="0.75" header="0.3" footer="0.3"/>
  <pageSetup fitToHeight="1" fitToWidth="1" horizontalDpi="600" verticalDpi="600" orientation="landscape" scale="20" r:id="rId4"/>
  <drawing r:id="rId3"/>
  <legacyDrawing r:id="rId2"/>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AO43"/>
  <sheetViews>
    <sheetView showGridLines="0" view="pageBreakPreview" zoomScale="60" zoomScaleNormal="70" workbookViewId="0" topLeftCell="N10">
      <selection activeCell="X26" sqref="X26"/>
    </sheetView>
  </sheetViews>
  <sheetFormatPr defaultColWidth="10.8515625" defaultRowHeight="15"/>
  <cols>
    <col min="1" max="1" width="38.421875" style="246" customWidth="1"/>
    <col min="2" max="2" width="15.42187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c r="A1" s="1008"/>
      <c r="B1" s="1011" t="s">
        <v>16</v>
      </c>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3"/>
      <c r="AB1" s="851" t="s">
        <v>18</v>
      </c>
      <c r="AC1" s="852"/>
      <c r="AD1" s="853"/>
    </row>
    <row r="2" spans="1:30" ht="30.75" customHeight="1">
      <c r="A2" s="1009"/>
      <c r="B2" s="1022" t="s">
        <v>17</v>
      </c>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c r="AA2" s="1024"/>
      <c r="AB2" s="854" t="s">
        <v>418</v>
      </c>
      <c r="AC2" s="855"/>
      <c r="AD2" s="856"/>
    </row>
    <row r="3" spans="1:30" ht="24" customHeight="1">
      <c r="A3" s="1009"/>
      <c r="B3" s="876" t="s">
        <v>295</v>
      </c>
      <c r="C3" s="877"/>
      <c r="D3" s="877"/>
      <c r="E3" s="877"/>
      <c r="F3" s="877"/>
      <c r="G3" s="877"/>
      <c r="H3" s="877"/>
      <c r="I3" s="877"/>
      <c r="J3" s="877"/>
      <c r="K3" s="877"/>
      <c r="L3" s="877"/>
      <c r="M3" s="877"/>
      <c r="N3" s="877"/>
      <c r="O3" s="877"/>
      <c r="P3" s="877"/>
      <c r="Q3" s="877"/>
      <c r="R3" s="877"/>
      <c r="S3" s="877"/>
      <c r="T3" s="877"/>
      <c r="U3" s="877"/>
      <c r="V3" s="877"/>
      <c r="W3" s="877"/>
      <c r="X3" s="877"/>
      <c r="Y3" s="877"/>
      <c r="Z3" s="877"/>
      <c r="AA3" s="878"/>
      <c r="AB3" s="854" t="s">
        <v>478</v>
      </c>
      <c r="AC3" s="855"/>
      <c r="AD3" s="856"/>
    </row>
    <row r="4" spans="1:30" ht="21.75" customHeight="1" thickBot="1">
      <c r="A4" s="1010"/>
      <c r="B4" s="879"/>
      <c r="C4" s="880"/>
      <c r="D4" s="880"/>
      <c r="E4" s="880"/>
      <c r="F4" s="880"/>
      <c r="G4" s="880"/>
      <c r="H4" s="880"/>
      <c r="I4" s="880"/>
      <c r="J4" s="880"/>
      <c r="K4" s="880"/>
      <c r="L4" s="880"/>
      <c r="M4" s="880"/>
      <c r="N4" s="880"/>
      <c r="O4" s="880"/>
      <c r="P4" s="880"/>
      <c r="Q4" s="880"/>
      <c r="R4" s="880"/>
      <c r="S4" s="880"/>
      <c r="T4" s="880"/>
      <c r="U4" s="880"/>
      <c r="V4" s="880"/>
      <c r="W4" s="880"/>
      <c r="X4" s="880"/>
      <c r="Y4" s="880"/>
      <c r="Z4" s="880"/>
      <c r="AA4" s="881"/>
      <c r="AB4" s="626" t="s">
        <v>778</v>
      </c>
      <c r="AC4" s="627"/>
      <c r="AD4" s="628"/>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29" t="s">
        <v>293</v>
      </c>
      <c r="B7" s="630"/>
      <c r="C7" s="882" t="s">
        <v>45</v>
      </c>
      <c r="D7" s="629" t="s">
        <v>71</v>
      </c>
      <c r="E7" s="635"/>
      <c r="F7" s="635"/>
      <c r="G7" s="635"/>
      <c r="H7" s="630"/>
      <c r="I7" s="837">
        <v>45146</v>
      </c>
      <c r="J7" s="838"/>
      <c r="K7" s="629" t="s">
        <v>67</v>
      </c>
      <c r="L7" s="630"/>
      <c r="M7" s="843" t="s">
        <v>70</v>
      </c>
      <c r="N7" s="844"/>
      <c r="O7" s="863"/>
      <c r="P7" s="864"/>
      <c r="Q7" s="252"/>
      <c r="R7" s="252"/>
      <c r="S7" s="252"/>
      <c r="T7" s="252"/>
      <c r="U7" s="252"/>
      <c r="V7" s="252"/>
      <c r="W7" s="252"/>
      <c r="X7" s="252"/>
      <c r="Y7" s="252"/>
      <c r="Z7" s="253"/>
      <c r="AA7" s="252"/>
      <c r="AB7" s="252"/>
      <c r="AC7" s="258"/>
      <c r="AD7" s="259"/>
    </row>
    <row r="8" spans="1:30" ht="15" customHeight="1">
      <c r="A8" s="631"/>
      <c r="B8" s="632"/>
      <c r="C8" s="883"/>
      <c r="D8" s="631"/>
      <c r="E8" s="885"/>
      <c r="F8" s="885"/>
      <c r="G8" s="885"/>
      <c r="H8" s="632"/>
      <c r="I8" s="839"/>
      <c r="J8" s="840"/>
      <c r="K8" s="631"/>
      <c r="L8" s="632"/>
      <c r="M8" s="865" t="s">
        <v>68</v>
      </c>
      <c r="N8" s="866"/>
      <c r="O8" s="867"/>
      <c r="P8" s="868"/>
      <c r="Q8" s="252"/>
      <c r="R8" s="252"/>
      <c r="S8" s="252"/>
      <c r="T8" s="252"/>
      <c r="U8" s="252"/>
      <c r="V8" s="252"/>
      <c r="W8" s="252"/>
      <c r="X8" s="252"/>
      <c r="Y8" s="252"/>
      <c r="Z8" s="253"/>
      <c r="AA8" s="252"/>
      <c r="AB8" s="252"/>
      <c r="AC8" s="258"/>
      <c r="AD8" s="259"/>
    </row>
    <row r="9" spans="1:30" ht="15.75" customHeight="1" thickBot="1">
      <c r="A9" s="633"/>
      <c r="B9" s="634"/>
      <c r="C9" s="884"/>
      <c r="D9" s="633"/>
      <c r="E9" s="637"/>
      <c r="F9" s="637"/>
      <c r="G9" s="637"/>
      <c r="H9" s="634"/>
      <c r="I9" s="841"/>
      <c r="J9" s="842"/>
      <c r="K9" s="633"/>
      <c r="L9" s="634"/>
      <c r="M9" s="869" t="s">
        <v>69</v>
      </c>
      <c r="N9" s="870"/>
      <c r="O9" s="871" t="s">
        <v>425</v>
      </c>
      <c r="P9" s="872"/>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29" t="s">
        <v>0</v>
      </c>
      <c r="B11" s="630"/>
      <c r="C11" s="873" t="s">
        <v>497</v>
      </c>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5"/>
    </row>
    <row r="12" spans="1:30" ht="15" customHeight="1">
      <c r="A12" s="631"/>
      <c r="B12" s="632"/>
      <c r="C12" s="876"/>
      <c r="D12" s="877"/>
      <c r="E12" s="877"/>
      <c r="F12" s="877"/>
      <c r="G12" s="877"/>
      <c r="H12" s="877"/>
      <c r="I12" s="877"/>
      <c r="J12" s="877"/>
      <c r="K12" s="877"/>
      <c r="L12" s="877"/>
      <c r="M12" s="877"/>
      <c r="N12" s="877"/>
      <c r="O12" s="877"/>
      <c r="P12" s="877"/>
      <c r="Q12" s="877"/>
      <c r="R12" s="877"/>
      <c r="S12" s="877"/>
      <c r="T12" s="877"/>
      <c r="U12" s="877"/>
      <c r="V12" s="877"/>
      <c r="W12" s="877"/>
      <c r="X12" s="877"/>
      <c r="Y12" s="877"/>
      <c r="Z12" s="877"/>
      <c r="AA12" s="877"/>
      <c r="AB12" s="877"/>
      <c r="AC12" s="877"/>
      <c r="AD12" s="878"/>
    </row>
    <row r="13" spans="1:30" ht="15" customHeight="1" thickBot="1">
      <c r="A13" s="633"/>
      <c r="B13" s="634"/>
      <c r="C13" s="879"/>
      <c r="D13" s="880"/>
      <c r="E13" s="880"/>
      <c r="F13" s="880"/>
      <c r="G13" s="880"/>
      <c r="H13" s="880"/>
      <c r="I13" s="880"/>
      <c r="J13" s="880"/>
      <c r="K13" s="880"/>
      <c r="L13" s="880"/>
      <c r="M13" s="880"/>
      <c r="N13" s="880"/>
      <c r="O13" s="880"/>
      <c r="P13" s="880"/>
      <c r="Q13" s="880"/>
      <c r="R13" s="880"/>
      <c r="S13" s="880"/>
      <c r="T13" s="880"/>
      <c r="U13" s="880"/>
      <c r="V13" s="880"/>
      <c r="W13" s="880"/>
      <c r="X13" s="880"/>
      <c r="Y13" s="880"/>
      <c r="Z13" s="880"/>
      <c r="AA13" s="880"/>
      <c r="AB13" s="880"/>
      <c r="AC13" s="880"/>
      <c r="AD13" s="881"/>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99" t="s">
        <v>77</v>
      </c>
      <c r="B15" s="600"/>
      <c r="C15" s="886" t="s">
        <v>426</v>
      </c>
      <c r="D15" s="887"/>
      <c r="E15" s="887"/>
      <c r="F15" s="887"/>
      <c r="G15" s="887"/>
      <c r="H15" s="887"/>
      <c r="I15" s="887"/>
      <c r="J15" s="887"/>
      <c r="K15" s="888"/>
      <c r="L15" s="593" t="s">
        <v>73</v>
      </c>
      <c r="M15" s="669"/>
      <c r="N15" s="669"/>
      <c r="O15" s="669"/>
      <c r="P15" s="669"/>
      <c r="Q15" s="594"/>
      <c r="R15" s="889" t="s">
        <v>622</v>
      </c>
      <c r="S15" s="890"/>
      <c r="T15" s="890"/>
      <c r="U15" s="890"/>
      <c r="V15" s="890"/>
      <c r="W15" s="890"/>
      <c r="X15" s="891"/>
      <c r="Y15" s="593" t="s">
        <v>72</v>
      </c>
      <c r="Z15" s="594"/>
      <c r="AA15" s="886" t="s">
        <v>623</v>
      </c>
      <c r="AB15" s="887"/>
      <c r="AC15" s="887"/>
      <c r="AD15" s="888"/>
    </row>
    <row r="16" spans="1:30" ht="9" customHeight="1" thickBot="1">
      <c r="A16" s="257"/>
      <c r="B16" s="252"/>
      <c r="C16" s="892"/>
      <c r="D16" s="892"/>
      <c r="E16" s="892"/>
      <c r="F16" s="892"/>
      <c r="G16" s="892"/>
      <c r="H16" s="892"/>
      <c r="I16" s="892"/>
      <c r="J16" s="892"/>
      <c r="K16" s="892"/>
      <c r="L16" s="892"/>
      <c r="M16" s="892"/>
      <c r="N16" s="892"/>
      <c r="O16" s="892"/>
      <c r="P16" s="892"/>
      <c r="Q16" s="892"/>
      <c r="R16" s="892"/>
      <c r="S16" s="892"/>
      <c r="T16" s="892"/>
      <c r="U16" s="892"/>
      <c r="V16" s="892"/>
      <c r="W16" s="892"/>
      <c r="X16" s="892"/>
      <c r="Y16" s="892"/>
      <c r="Z16" s="892"/>
      <c r="AA16" s="892"/>
      <c r="AB16" s="892"/>
      <c r="AC16" s="271"/>
      <c r="AD16" s="272"/>
    </row>
    <row r="17" spans="1:30" s="273" customFormat="1" ht="37.5" customHeight="1" thickBot="1">
      <c r="A17" s="599" t="s">
        <v>79</v>
      </c>
      <c r="B17" s="600"/>
      <c r="C17" s="886" t="s">
        <v>498</v>
      </c>
      <c r="D17" s="887"/>
      <c r="E17" s="887"/>
      <c r="F17" s="887"/>
      <c r="G17" s="887"/>
      <c r="H17" s="887"/>
      <c r="I17" s="887"/>
      <c r="J17" s="887"/>
      <c r="K17" s="887"/>
      <c r="L17" s="887"/>
      <c r="M17" s="887"/>
      <c r="N17" s="887"/>
      <c r="O17" s="887"/>
      <c r="P17" s="887"/>
      <c r="Q17" s="888"/>
      <c r="R17" s="593" t="s">
        <v>374</v>
      </c>
      <c r="S17" s="669"/>
      <c r="T17" s="669"/>
      <c r="U17" s="669"/>
      <c r="V17" s="594"/>
      <c r="W17" s="595"/>
      <c r="X17" s="596"/>
      <c r="Y17" s="669" t="s">
        <v>15</v>
      </c>
      <c r="Z17" s="669"/>
      <c r="AA17" s="669"/>
      <c r="AB17" s="594"/>
      <c r="AC17" s="896">
        <f>+VIGENCIA!D8</f>
        <v>0.1314687069939176</v>
      </c>
      <c r="AD17" s="897"/>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3" t="s">
        <v>1</v>
      </c>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594"/>
      <c r="AE19" s="275"/>
      <c r="AF19" s="275"/>
    </row>
    <row r="20" spans="1:32" ht="31.5" customHeight="1" thickBot="1">
      <c r="A20" s="276"/>
      <c r="B20" s="258"/>
      <c r="C20" s="697" t="s">
        <v>376</v>
      </c>
      <c r="D20" s="745"/>
      <c r="E20" s="745"/>
      <c r="F20" s="745"/>
      <c r="G20" s="745"/>
      <c r="H20" s="745"/>
      <c r="I20" s="745"/>
      <c r="J20" s="745"/>
      <c r="K20" s="745"/>
      <c r="L20" s="745"/>
      <c r="M20" s="745"/>
      <c r="N20" s="745"/>
      <c r="O20" s="745"/>
      <c r="P20" s="698"/>
      <c r="Q20" s="695" t="s">
        <v>377</v>
      </c>
      <c r="R20" s="898"/>
      <c r="S20" s="898"/>
      <c r="T20" s="898"/>
      <c r="U20" s="898"/>
      <c r="V20" s="898"/>
      <c r="W20" s="898"/>
      <c r="X20" s="898"/>
      <c r="Y20" s="898"/>
      <c r="Z20" s="898"/>
      <c r="AA20" s="898"/>
      <c r="AB20" s="898"/>
      <c r="AC20" s="898"/>
      <c r="AD20" s="696"/>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99" t="s">
        <v>378</v>
      </c>
      <c r="B22" s="900"/>
      <c r="C22" s="197">
        <f>+RESERVA!C15</f>
        <v>49583934</v>
      </c>
      <c r="D22" s="195"/>
      <c r="E22" s="191"/>
      <c r="F22" s="191"/>
      <c r="G22" s="195"/>
      <c r="H22" s="195"/>
      <c r="I22" s="195"/>
      <c r="J22" s="195"/>
      <c r="K22" s="195"/>
      <c r="L22" s="195"/>
      <c r="M22" s="195"/>
      <c r="N22" s="195"/>
      <c r="O22" s="195"/>
      <c r="P22" s="198"/>
      <c r="Q22" s="197">
        <v>1523808689</v>
      </c>
      <c r="R22" s="195">
        <v>0</v>
      </c>
      <c r="S22" s="195">
        <v>0</v>
      </c>
      <c r="T22" s="195">
        <v>0</v>
      </c>
      <c r="U22" s="195">
        <v>0</v>
      </c>
      <c r="V22" s="195">
        <v>0</v>
      </c>
      <c r="W22" s="195">
        <v>0</v>
      </c>
      <c r="X22" s="195">
        <v>0</v>
      </c>
      <c r="Y22" s="195">
        <v>0</v>
      </c>
      <c r="Z22" s="195">
        <v>0</v>
      </c>
      <c r="AA22" s="195">
        <v>0</v>
      </c>
      <c r="AB22" s="195">
        <v>0</v>
      </c>
      <c r="AC22" s="195">
        <f>SUM(Q22:AB22)</f>
        <v>1523808689</v>
      </c>
      <c r="AD22" s="202"/>
      <c r="AE22" s="4"/>
      <c r="AF22" s="4"/>
    </row>
    <row r="23" spans="1:32" ht="31.5" customHeight="1">
      <c r="A23" s="901" t="s">
        <v>379</v>
      </c>
      <c r="B23" s="902"/>
      <c r="C23" s="192"/>
      <c r="D23" s="191"/>
      <c r="E23" s="191"/>
      <c r="F23" s="191"/>
      <c r="G23" s="191"/>
      <c r="H23" s="191"/>
      <c r="I23" s="191"/>
      <c r="J23" s="191"/>
      <c r="K23" s="191"/>
      <c r="L23" s="191"/>
      <c r="M23" s="191"/>
      <c r="N23" s="191"/>
      <c r="O23" s="191"/>
      <c r="P23" s="211"/>
      <c r="Q23" s="192">
        <f>+VIGENCIA!D17</f>
        <v>1112475156</v>
      </c>
      <c r="R23" s="191">
        <f>+VIGENCIA!F17</f>
        <v>308525999</v>
      </c>
      <c r="S23" s="191">
        <f>+VIGENCIA!H17</f>
        <v>79079044</v>
      </c>
      <c r="T23" s="191">
        <f>+VIGENCIA!J17</f>
        <v>-34477766</v>
      </c>
      <c r="U23" s="191">
        <f>+VIGENCIA!L17</f>
        <v>-20290999</v>
      </c>
      <c r="V23" s="191">
        <f>+VIGENCIA!N17</f>
        <v>26780000</v>
      </c>
      <c r="W23" s="191">
        <f>+VIGENCIA!P17</f>
        <v>0</v>
      </c>
      <c r="X23" s="191">
        <f>+VIGENCIA!R17</f>
        <v>0</v>
      </c>
      <c r="Y23" s="191"/>
      <c r="Z23" s="191"/>
      <c r="AA23" s="191"/>
      <c r="AB23" s="191"/>
      <c r="AC23" s="191">
        <f>SUM(Q23:AB23)</f>
        <v>1472091434</v>
      </c>
      <c r="AD23" s="448">
        <f>_xlfn.IFERROR(AC23/(SUMIF(Q23:AB23,"&gt;0",Q22:AB22))," ")</f>
        <v>0.966060532812725</v>
      </c>
      <c r="AE23" s="4"/>
      <c r="AF23" s="4"/>
    </row>
    <row r="24" spans="1:32" ht="31.5" customHeight="1">
      <c r="A24" s="901" t="s">
        <v>380</v>
      </c>
      <c r="B24" s="902"/>
      <c r="C24" s="192">
        <f>33674667-25434667</f>
        <v>8240000</v>
      </c>
      <c r="D24" s="191">
        <v>-12943667</v>
      </c>
      <c r="E24" s="191">
        <v>2965600</v>
      </c>
      <c r="F24" s="191">
        <v>12943667</v>
      </c>
      <c r="G24" s="191">
        <f>+RESERVA!L15</f>
        <v>0</v>
      </c>
      <c r="H24" s="191">
        <f>+RESERVA!N15</f>
        <v>0</v>
      </c>
      <c r="I24" s="191">
        <f>+RESERVA!P15</f>
        <v>0</v>
      </c>
      <c r="J24" s="191">
        <f>+RESERVA!R15</f>
        <v>0</v>
      </c>
      <c r="K24" s="191"/>
      <c r="L24" s="191"/>
      <c r="M24" s="191"/>
      <c r="N24" s="191"/>
      <c r="O24" s="191">
        <f>SUM(C24:N24)</f>
        <v>11205600</v>
      </c>
      <c r="P24" s="196"/>
      <c r="Q24" s="192"/>
      <c r="R24" s="191">
        <v>99026385</v>
      </c>
      <c r="S24" s="191">
        <v>129525664</v>
      </c>
      <c r="T24" s="191">
        <v>129525664</v>
      </c>
      <c r="U24" s="191">
        <v>129525664</v>
      </c>
      <c r="V24" s="191">
        <v>129525664</v>
      </c>
      <c r="W24" s="191">
        <v>129525664</v>
      </c>
      <c r="X24" s="191">
        <v>129525664</v>
      </c>
      <c r="Y24" s="191">
        <v>129525664</v>
      </c>
      <c r="Z24" s="191">
        <v>129525664</v>
      </c>
      <c r="AA24" s="191">
        <v>129525664</v>
      </c>
      <c r="AB24" s="191">
        <v>259051328</v>
      </c>
      <c r="AC24" s="191">
        <f>SUM(Q24:AB24)</f>
        <v>1523808689</v>
      </c>
      <c r="AD24" s="448"/>
      <c r="AE24" s="4"/>
      <c r="AF24" s="4"/>
    </row>
    <row r="25" spans="1:32" ht="31.5" customHeight="1" thickBot="1">
      <c r="A25" s="903" t="s">
        <v>381</v>
      </c>
      <c r="B25" s="904"/>
      <c r="C25" s="193">
        <f>+RESERVA!E15</f>
        <v>8240000</v>
      </c>
      <c r="D25" s="194">
        <f>+RESERVA!G15</f>
        <v>0</v>
      </c>
      <c r="E25" s="194">
        <f>+RESERVA!I15</f>
        <v>0</v>
      </c>
      <c r="F25" s="194"/>
      <c r="G25" s="194">
        <f>+RESERVA!M15</f>
        <v>0</v>
      </c>
      <c r="H25" s="194">
        <f>+RESERVA!O15</f>
        <v>0</v>
      </c>
      <c r="I25" s="194">
        <f>+RESERVA!Q15</f>
        <v>0</v>
      </c>
      <c r="J25" s="194">
        <f>+RESERVA!S15</f>
        <v>0</v>
      </c>
      <c r="K25" s="194"/>
      <c r="L25" s="194"/>
      <c r="M25" s="194"/>
      <c r="N25" s="194"/>
      <c r="O25" s="194">
        <f>SUM(C25:N25)</f>
        <v>8240000</v>
      </c>
      <c r="P25" s="447">
        <f>+O25/O24</f>
        <v>0.7353466124080816</v>
      </c>
      <c r="Q25" s="193">
        <f>+VIGENCIA!E17</f>
        <v>0</v>
      </c>
      <c r="R25" s="194">
        <f>+VIGENCIA!G17</f>
        <v>45917998</v>
      </c>
      <c r="S25" s="194">
        <f>+VIGENCIA!I17</f>
        <v>110000397</v>
      </c>
      <c r="T25" s="194">
        <f>+VIGENCIA!K17</f>
        <v>124259997</v>
      </c>
      <c r="U25" s="194">
        <f>+VIGENCIA!M17</f>
        <v>130302664</v>
      </c>
      <c r="V25" s="194">
        <f>+VIGENCIA!O17</f>
        <v>130302664</v>
      </c>
      <c r="W25" s="194">
        <f>+VIGENCIA!Q17</f>
        <v>136997664</v>
      </c>
      <c r="X25" s="194">
        <f>+VIGENCIA!S17</f>
        <v>136997664</v>
      </c>
      <c r="Y25" s="194"/>
      <c r="Z25" s="194"/>
      <c r="AA25" s="194"/>
      <c r="AB25" s="194"/>
      <c r="AC25" s="194">
        <f>SUM(Q25:AB25)</f>
        <v>814779048</v>
      </c>
      <c r="AD25" s="449">
        <f>_xlfn.IFERROR(AC25/(SUMIF(Q25:AB25,"&gt;0",Q24:AB24))," ")</f>
        <v>0.9299215969993959</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05" t="s">
        <v>76</v>
      </c>
      <c r="B27" s="906"/>
      <c r="C27" s="907"/>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8"/>
    </row>
    <row r="28" spans="1:30" ht="15" customHeight="1">
      <c r="A28" s="909" t="s">
        <v>189</v>
      </c>
      <c r="B28" s="911" t="s">
        <v>6</v>
      </c>
      <c r="C28" s="912"/>
      <c r="D28" s="902" t="s">
        <v>398</v>
      </c>
      <c r="E28" s="915"/>
      <c r="F28" s="915"/>
      <c r="G28" s="915"/>
      <c r="H28" s="915"/>
      <c r="I28" s="915"/>
      <c r="J28" s="915"/>
      <c r="K28" s="915"/>
      <c r="L28" s="915"/>
      <c r="M28" s="915"/>
      <c r="N28" s="915"/>
      <c r="O28" s="916"/>
      <c r="P28" s="917" t="s">
        <v>8</v>
      </c>
      <c r="Q28" s="917" t="s">
        <v>84</v>
      </c>
      <c r="R28" s="917"/>
      <c r="S28" s="917"/>
      <c r="T28" s="917"/>
      <c r="U28" s="917"/>
      <c r="V28" s="917"/>
      <c r="W28" s="917"/>
      <c r="X28" s="917"/>
      <c r="Y28" s="917"/>
      <c r="Z28" s="917"/>
      <c r="AA28" s="917"/>
      <c r="AB28" s="917"/>
      <c r="AC28" s="917"/>
      <c r="AD28" s="918"/>
    </row>
    <row r="29" spans="1:30" ht="27" customHeight="1">
      <c r="A29" s="910"/>
      <c r="B29" s="913"/>
      <c r="C29" s="914"/>
      <c r="D29" s="281" t="s">
        <v>39</v>
      </c>
      <c r="E29" s="281" t="s">
        <v>40</v>
      </c>
      <c r="F29" s="281" t="s">
        <v>41</v>
      </c>
      <c r="G29" s="281" t="s">
        <v>42</v>
      </c>
      <c r="H29" s="281" t="s">
        <v>43</v>
      </c>
      <c r="I29" s="281" t="s">
        <v>44</v>
      </c>
      <c r="J29" s="281" t="s">
        <v>45</v>
      </c>
      <c r="K29" s="281" t="s">
        <v>46</v>
      </c>
      <c r="L29" s="281" t="s">
        <v>47</v>
      </c>
      <c r="M29" s="281" t="s">
        <v>48</v>
      </c>
      <c r="N29" s="281" t="s">
        <v>49</v>
      </c>
      <c r="O29" s="281" t="s">
        <v>50</v>
      </c>
      <c r="P29" s="916"/>
      <c r="Q29" s="917"/>
      <c r="R29" s="917"/>
      <c r="S29" s="917"/>
      <c r="T29" s="917"/>
      <c r="U29" s="917"/>
      <c r="V29" s="917"/>
      <c r="W29" s="917"/>
      <c r="X29" s="917"/>
      <c r="Y29" s="917"/>
      <c r="Z29" s="917"/>
      <c r="AA29" s="917"/>
      <c r="AB29" s="917"/>
      <c r="AC29" s="917"/>
      <c r="AD29" s="918"/>
    </row>
    <row r="30" spans="1:30" ht="57" customHeight="1" thickBot="1">
      <c r="A30" s="282" t="str">
        <f>C17</f>
        <v>Soportar al 100% la implementación de las políticas del Modelo Integrado de Planeación y Gestión</v>
      </c>
      <c r="B30" s="988" t="s">
        <v>450</v>
      </c>
      <c r="C30" s="989"/>
      <c r="D30" s="390" t="s">
        <v>450</v>
      </c>
      <c r="E30" s="390" t="s">
        <v>450</v>
      </c>
      <c r="F30" s="390" t="s">
        <v>450</v>
      </c>
      <c r="G30" s="390" t="s">
        <v>450</v>
      </c>
      <c r="H30" s="390" t="s">
        <v>450</v>
      </c>
      <c r="I30" s="390" t="s">
        <v>450</v>
      </c>
      <c r="J30" s="390" t="s">
        <v>450</v>
      </c>
      <c r="K30" s="390" t="s">
        <v>450</v>
      </c>
      <c r="L30" s="390" t="s">
        <v>450</v>
      </c>
      <c r="M30" s="390" t="s">
        <v>450</v>
      </c>
      <c r="N30" s="390" t="s">
        <v>450</v>
      </c>
      <c r="O30" s="390" t="s">
        <v>450</v>
      </c>
      <c r="P30" s="391">
        <f>SUM(D30:O30)</f>
        <v>0</v>
      </c>
      <c r="Q30" s="921"/>
      <c r="R30" s="921"/>
      <c r="S30" s="921"/>
      <c r="T30" s="921"/>
      <c r="U30" s="921"/>
      <c r="V30" s="921"/>
      <c r="W30" s="921"/>
      <c r="X30" s="921"/>
      <c r="Y30" s="921"/>
      <c r="Z30" s="921"/>
      <c r="AA30" s="921"/>
      <c r="AB30" s="921"/>
      <c r="AC30" s="921"/>
      <c r="AD30" s="922"/>
    </row>
    <row r="31" spans="1:30" ht="45" customHeight="1">
      <c r="A31" s="857" t="s">
        <v>292</v>
      </c>
      <c r="B31" s="858"/>
      <c r="C31" s="858"/>
      <c r="D31" s="858"/>
      <c r="E31" s="858"/>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9"/>
    </row>
    <row r="32" spans="1:41" ht="22.5" customHeight="1">
      <c r="A32" s="901" t="s">
        <v>190</v>
      </c>
      <c r="B32" s="917" t="s">
        <v>62</v>
      </c>
      <c r="C32" s="917" t="s">
        <v>6</v>
      </c>
      <c r="D32" s="917" t="s">
        <v>60</v>
      </c>
      <c r="E32" s="917"/>
      <c r="F32" s="917"/>
      <c r="G32" s="917"/>
      <c r="H32" s="917"/>
      <c r="I32" s="917"/>
      <c r="J32" s="917"/>
      <c r="K32" s="917"/>
      <c r="L32" s="917"/>
      <c r="M32" s="917"/>
      <c r="N32" s="917"/>
      <c r="O32" s="917"/>
      <c r="P32" s="917"/>
      <c r="Q32" s="917" t="s">
        <v>85</v>
      </c>
      <c r="R32" s="917"/>
      <c r="S32" s="917"/>
      <c r="T32" s="917"/>
      <c r="U32" s="917"/>
      <c r="V32" s="917"/>
      <c r="W32" s="917"/>
      <c r="X32" s="917"/>
      <c r="Y32" s="917"/>
      <c r="Z32" s="917"/>
      <c r="AA32" s="917"/>
      <c r="AB32" s="917"/>
      <c r="AC32" s="917"/>
      <c r="AD32" s="918"/>
      <c r="AG32" s="90"/>
      <c r="AH32" s="90"/>
      <c r="AI32" s="90"/>
      <c r="AJ32" s="90"/>
      <c r="AK32" s="90"/>
      <c r="AL32" s="90"/>
      <c r="AM32" s="90"/>
      <c r="AN32" s="90"/>
      <c r="AO32" s="90"/>
    </row>
    <row r="33" spans="1:41" ht="27" customHeight="1">
      <c r="A33" s="901"/>
      <c r="B33" s="917"/>
      <c r="C33" s="923"/>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17" t="s">
        <v>403</v>
      </c>
      <c r="R33" s="917"/>
      <c r="S33" s="917"/>
      <c r="T33" s="917" t="s">
        <v>406</v>
      </c>
      <c r="U33" s="917"/>
      <c r="V33" s="917"/>
      <c r="W33" s="913" t="s">
        <v>81</v>
      </c>
      <c r="X33" s="924"/>
      <c r="Y33" s="924"/>
      <c r="Z33" s="914"/>
      <c r="AA33" s="913" t="s">
        <v>82</v>
      </c>
      <c r="AB33" s="924"/>
      <c r="AC33" s="924"/>
      <c r="AD33" s="925"/>
      <c r="AG33" s="90"/>
      <c r="AH33" s="90"/>
      <c r="AI33" s="90"/>
      <c r="AJ33" s="90"/>
      <c r="AK33" s="90"/>
      <c r="AL33" s="90"/>
      <c r="AM33" s="90"/>
      <c r="AN33" s="90"/>
      <c r="AO33" s="90"/>
    </row>
    <row r="34" spans="1:41" ht="107.25" customHeight="1">
      <c r="A34" s="926" t="s">
        <v>499</v>
      </c>
      <c r="B34" s="1004">
        <f>+AC17</f>
        <v>0.1314687069939176</v>
      </c>
      <c r="C34" s="284" t="s">
        <v>9</v>
      </c>
      <c r="D34" s="177">
        <f>((D38*($B$38/$B$34))+(D40*($B$40/$B$34))+(D42*($B$42/$B$34)))*$P$34</f>
        <v>0.05476588432814744</v>
      </c>
      <c r="E34" s="177">
        <f aca="true" t="shared" si="0" ref="E34:O34">((E38*($B$38/$B$34))+(E40*($B$40/$B$34))+(E42*($B$42/$B$34)))*$P$34</f>
        <v>0.10420730767994722</v>
      </c>
      <c r="F34" s="177">
        <f t="shared" si="0"/>
        <v>0.08443073833922732</v>
      </c>
      <c r="G34" s="177">
        <f t="shared" si="0"/>
        <v>0.08138818920988579</v>
      </c>
      <c r="H34" s="177">
        <f t="shared" si="0"/>
        <v>0.08595201290389808</v>
      </c>
      <c r="I34" s="177">
        <f t="shared" si="0"/>
        <v>0.06313289443383664</v>
      </c>
      <c r="J34" s="177">
        <f t="shared" si="0"/>
        <v>0.09507966029192265</v>
      </c>
      <c r="K34" s="177">
        <f>((K38*($B$38/$B$34))+(K40*($B$40/$B$34))+(K42*($B$42/$B$34)))*$P$34</f>
        <v>0.08671265018623346</v>
      </c>
      <c r="L34" s="177">
        <f t="shared" si="0"/>
        <v>0.07454245366886736</v>
      </c>
      <c r="M34" s="177">
        <f t="shared" si="0"/>
        <v>0.09203711116258112</v>
      </c>
      <c r="N34" s="177">
        <f t="shared" si="0"/>
        <v>0.07910627736287965</v>
      </c>
      <c r="O34" s="177">
        <f t="shared" si="0"/>
        <v>0.08747328746856883</v>
      </c>
      <c r="P34" s="177">
        <v>1</v>
      </c>
      <c r="Q34" s="1163" t="s">
        <v>976</v>
      </c>
      <c r="R34" s="1164"/>
      <c r="S34" s="1165"/>
      <c r="T34" s="1163" t="s">
        <v>977</v>
      </c>
      <c r="U34" s="1164"/>
      <c r="V34" s="1165"/>
      <c r="W34" s="936" t="s">
        <v>853</v>
      </c>
      <c r="X34" s="937"/>
      <c r="Y34" s="937"/>
      <c r="Z34" s="938"/>
      <c r="AA34" s="936" t="s">
        <v>854</v>
      </c>
      <c r="AB34" s="937"/>
      <c r="AC34" s="937"/>
      <c r="AD34" s="1006"/>
      <c r="AG34" s="90"/>
      <c r="AH34" s="90"/>
      <c r="AI34" s="90"/>
      <c r="AJ34" s="90"/>
      <c r="AK34" s="90"/>
      <c r="AL34" s="90"/>
      <c r="AM34" s="90"/>
      <c r="AN34" s="90"/>
      <c r="AO34" s="90"/>
    </row>
    <row r="35" spans="1:41" ht="107.25" customHeight="1" thickBot="1">
      <c r="A35" s="927"/>
      <c r="B35" s="1005"/>
      <c r="C35" s="285" t="s">
        <v>10</v>
      </c>
      <c r="D35" s="413">
        <f>((D39*($B$38/$B$34))+(D41*($B$40/$B$34))+(D43*($B$42/$B$34)))*$P$34</f>
        <v>0.06161161986916587</v>
      </c>
      <c r="E35" s="413">
        <f aca="true" t="shared" si="1" ref="E35:K35">((E39*($B$38/$B$34))+(E41*($B$40/$B$34))+(E43*($B$42/$B$34)))*$P$34</f>
        <v>0.09736157213892879</v>
      </c>
      <c r="F35" s="413">
        <f t="shared" si="1"/>
        <v>0.07986691464521503</v>
      </c>
      <c r="G35" s="413">
        <f t="shared" si="1"/>
        <v>0.07758500279820887</v>
      </c>
      <c r="H35" s="413">
        <f t="shared" si="1"/>
        <v>0.08595201290389808</v>
      </c>
      <c r="I35" s="476">
        <f t="shared" si="1"/>
        <v>0.07226054182186122</v>
      </c>
      <c r="J35" s="476">
        <f t="shared" si="1"/>
        <v>0.08823392475090422</v>
      </c>
      <c r="K35" s="476">
        <f t="shared" si="1"/>
        <v>0.08671265018623346</v>
      </c>
      <c r="L35" s="96"/>
      <c r="M35" s="96"/>
      <c r="N35" s="96"/>
      <c r="O35" s="96"/>
      <c r="P35" s="178">
        <f>SUM(D35:O35)</f>
        <v>0.6495842391144155</v>
      </c>
      <c r="Q35" s="1166"/>
      <c r="R35" s="1167"/>
      <c r="S35" s="1168"/>
      <c r="T35" s="1166"/>
      <c r="U35" s="1167"/>
      <c r="V35" s="1168"/>
      <c r="W35" s="939"/>
      <c r="X35" s="940"/>
      <c r="Y35" s="940"/>
      <c r="Z35" s="941"/>
      <c r="AA35" s="939"/>
      <c r="AB35" s="940"/>
      <c r="AC35" s="940"/>
      <c r="AD35" s="1007"/>
      <c r="AE35" s="50"/>
      <c r="AG35" s="90"/>
      <c r="AH35" s="90"/>
      <c r="AI35" s="90"/>
      <c r="AJ35" s="90"/>
      <c r="AK35" s="90"/>
      <c r="AL35" s="90"/>
      <c r="AM35" s="90"/>
      <c r="AN35" s="90"/>
      <c r="AO35" s="90"/>
    </row>
    <row r="36" spans="1:41" ht="25.5" customHeight="1">
      <c r="A36" s="899" t="s">
        <v>191</v>
      </c>
      <c r="B36" s="946" t="s">
        <v>61</v>
      </c>
      <c r="C36" s="982" t="s">
        <v>11</v>
      </c>
      <c r="D36" s="982"/>
      <c r="E36" s="982"/>
      <c r="F36" s="982"/>
      <c r="G36" s="982"/>
      <c r="H36" s="982"/>
      <c r="I36" s="982"/>
      <c r="J36" s="982"/>
      <c r="K36" s="982"/>
      <c r="L36" s="982"/>
      <c r="M36" s="982"/>
      <c r="N36" s="982"/>
      <c r="O36" s="982"/>
      <c r="P36" s="982"/>
      <c r="Q36" s="900" t="s">
        <v>78</v>
      </c>
      <c r="R36" s="948"/>
      <c r="S36" s="948"/>
      <c r="T36" s="948"/>
      <c r="U36" s="948"/>
      <c r="V36" s="948"/>
      <c r="W36" s="948"/>
      <c r="X36" s="948"/>
      <c r="Y36" s="948"/>
      <c r="Z36" s="948"/>
      <c r="AA36" s="948"/>
      <c r="AB36" s="948"/>
      <c r="AC36" s="948"/>
      <c r="AD36" s="950"/>
      <c r="AG36" s="90"/>
      <c r="AH36" s="90"/>
      <c r="AI36" s="90"/>
      <c r="AJ36" s="90"/>
      <c r="AK36" s="90"/>
      <c r="AL36" s="90"/>
      <c r="AM36" s="90"/>
      <c r="AN36" s="90"/>
      <c r="AO36" s="90"/>
    </row>
    <row r="37" spans="1:41" ht="51" customHeight="1">
      <c r="A37" s="901"/>
      <c r="B37" s="947"/>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902" t="s">
        <v>83</v>
      </c>
      <c r="R37" s="915"/>
      <c r="S37" s="915"/>
      <c r="T37" s="915"/>
      <c r="U37" s="915"/>
      <c r="V37" s="915"/>
      <c r="W37" s="915"/>
      <c r="X37" s="915"/>
      <c r="Y37" s="915"/>
      <c r="Z37" s="915"/>
      <c r="AA37" s="915"/>
      <c r="AB37" s="915"/>
      <c r="AC37" s="915"/>
      <c r="AD37" s="951"/>
      <c r="AG37" s="98"/>
      <c r="AH37" s="98"/>
      <c r="AI37" s="98"/>
      <c r="AJ37" s="98"/>
      <c r="AK37" s="98"/>
      <c r="AL37" s="98"/>
      <c r="AM37" s="98"/>
      <c r="AN37" s="98"/>
      <c r="AO37" s="98"/>
    </row>
    <row r="38" spans="1:41" ht="112.5" customHeight="1">
      <c r="A38" s="1000" t="s">
        <v>499</v>
      </c>
      <c r="B38" s="1002">
        <v>0.05</v>
      </c>
      <c r="C38" s="284" t="s">
        <v>9</v>
      </c>
      <c r="D38" s="331">
        <v>0.03</v>
      </c>
      <c r="E38" s="331">
        <v>0.08</v>
      </c>
      <c r="F38" s="331">
        <v>0.1</v>
      </c>
      <c r="G38" s="331">
        <v>0.1</v>
      </c>
      <c r="H38" s="331">
        <v>0.08</v>
      </c>
      <c r="I38" s="331">
        <v>0.08</v>
      </c>
      <c r="J38" s="331">
        <v>0.1</v>
      </c>
      <c r="K38" s="331">
        <v>0.1</v>
      </c>
      <c r="L38" s="331">
        <v>0.08</v>
      </c>
      <c r="M38" s="331">
        <v>0.08</v>
      </c>
      <c r="N38" s="331">
        <v>0.08</v>
      </c>
      <c r="O38" s="331">
        <v>0.09</v>
      </c>
      <c r="P38" s="286">
        <f aca="true" t="shared" si="2" ref="P38:P43">SUM(D38:O38)</f>
        <v>0.9999999999999999</v>
      </c>
      <c r="Q38" s="1152" t="s">
        <v>978</v>
      </c>
      <c r="R38" s="958"/>
      <c r="S38" s="958"/>
      <c r="T38" s="958"/>
      <c r="U38" s="958"/>
      <c r="V38" s="958"/>
      <c r="W38" s="958"/>
      <c r="X38" s="958"/>
      <c r="Y38" s="958"/>
      <c r="Z38" s="958"/>
      <c r="AA38" s="958"/>
      <c r="AB38" s="958"/>
      <c r="AC38" s="958"/>
      <c r="AD38" s="959"/>
      <c r="AE38" s="287"/>
      <c r="AG38" s="102"/>
      <c r="AH38" s="102"/>
      <c r="AI38" s="102"/>
      <c r="AJ38" s="102"/>
      <c r="AK38" s="102"/>
      <c r="AL38" s="102"/>
      <c r="AM38" s="102"/>
      <c r="AN38" s="102"/>
      <c r="AO38" s="102"/>
    </row>
    <row r="39" spans="1:31" ht="112.5" customHeight="1">
      <c r="A39" s="1001"/>
      <c r="B39" s="1003"/>
      <c r="C39" s="288" t="s">
        <v>10</v>
      </c>
      <c r="D39" s="104">
        <v>0.03</v>
      </c>
      <c r="E39" s="104">
        <v>0.08</v>
      </c>
      <c r="F39" s="104">
        <v>0.1</v>
      </c>
      <c r="G39" s="104">
        <v>0.09</v>
      </c>
      <c r="H39" s="104">
        <v>0.08</v>
      </c>
      <c r="I39" s="104">
        <v>0.08</v>
      </c>
      <c r="J39" s="104">
        <v>0.1</v>
      </c>
      <c r="K39" s="104">
        <v>0.1</v>
      </c>
      <c r="L39" s="104"/>
      <c r="M39" s="104"/>
      <c r="N39" s="104"/>
      <c r="O39" s="104"/>
      <c r="P39" s="289">
        <f t="shared" si="2"/>
        <v>0.66</v>
      </c>
      <c r="Q39" s="960"/>
      <c r="R39" s="961"/>
      <c r="S39" s="961"/>
      <c r="T39" s="961"/>
      <c r="U39" s="961"/>
      <c r="V39" s="961"/>
      <c r="W39" s="961"/>
      <c r="X39" s="961"/>
      <c r="Y39" s="961"/>
      <c r="Z39" s="961"/>
      <c r="AA39" s="961"/>
      <c r="AB39" s="961"/>
      <c r="AC39" s="961"/>
      <c r="AD39" s="962"/>
      <c r="AE39" s="287"/>
    </row>
    <row r="40" spans="1:31" ht="69" customHeight="1">
      <c r="A40" s="1014" t="s">
        <v>629</v>
      </c>
      <c r="B40" s="1015">
        <v>0.03</v>
      </c>
      <c r="C40" s="290" t="s">
        <v>9</v>
      </c>
      <c r="D40" s="332">
        <v>0.04</v>
      </c>
      <c r="E40" s="332">
        <v>0.19</v>
      </c>
      <c r="F40" s="332">
        <v>0.07</v>
      </c>
      <c r="G40" s="332">
        <v>0.04</v>
      </c>
      <c r="H40" s="332">
        <v>0.11</v>
      </c>
      <c r="I40" s="494">
        <v>0.01</v>
      </c>
      <c r="J40" s="494">
        <v>0.1</v>
      </c>
      <c r="K40" s="494">
        <v>0.08</v>
      </c>
      <c r="L40" s="494">
        <v>0.06</v>
      </c>
      <c r="M40" s="494">
        <v>0.12</v>
      </c>
      <c r="N40" s="494">
        <v>0.08</v>
      </c>
      <c r="O40" s="494">
        <v>0.1</v>
      </c>
      <c r="P40" s="289">
        <f t="shared" si="2"/>
        <v>0.9999999999999999</v>
      </c>
      <c r="Q40" s="1016" t="s">
        <v>980</v>
      </c>
      <c r="R40" s="1017"/>
      <c r="S40" s="1017"/>
      <c r="T40" s="1017"/>
      <c r="U40" s="1017"/>
      <c r="V40" s="1017"/>
      <c r="W40" s="1017"/>
      <c r="X40" s="1017"/>
      <c r="Y40" s="1017"/>
      <c r="Z40" s="1017"/>
      <c r="AA40" s="1017"/>
      <c r="AB40" s="1017"/>
      <c r="AC40" s="1017"/>
      <c r="AD40" s="1018"/>
      <c r="AE40" s="287"/>
    </row>
    <row r="41" spans="1:31" ht="69" customHeight="1">
      <c r="A41" s="1000"/>
      <c r="B41" s="1003"/>
      <c r="C41" s="288" t="s">
        <v>10</v>
      </c>
      <c r="D41" s="104">
        <v>0.07</v>
      </c>
      <c r="E41" s="104">
        <v>0.16</v>
      </c>
      <c r="F41" s="104">
        <v>0.05</v>
      </c>
      <c r="G41" s="104">
        <v>0.04</v>
      </c>
      <c r="H41" s="104">
        <v>0.11</v>
      </c>
      <c r="I41" s="104">
        <v>0.05</v>
      </c>
      <c r="J41" s="104">
        <v>0.07</v>
      </c>
      <c r="K41" s="104">
        <v>0.08</v>
      </c>
      <c r="L41" s="108"/>
      <c r="M41" s="108"/>
      <c r="N41" s="108"/>
      <c r="O41" s="108"/>
      <c r="P41" s="289">
        <f t="shared" si="2"/>
        <v>0.63</v>
      </c>
      <c r="Q41" s="1019"/>
      <c r="R41" s="1020"/>
      <c r="S41" s="1020"/>
      <c r="T41" s="1020"/>
      <c r="U41" s="1020"/>
      <c r="V41" s="1020"/>
      <c r="W41" s="1020"/>
      <c r="X41" s="1020"/>
      <c r="Y41" s="1020"/>
      <c r="Z41" s="1020"/>
      <c r="AA41" s="1020"/>
      <c r="AB41" s="1020"/>
      <c r="AC41" s="1020"/>
      <c r="AD41" s="1021"/>
      <c r="AE41" s="287"/>
    </row>
    <row r="42" spans="1:31" ht="107.25" customHeight="1" thickBot="1">
      <c r="A42" s="991" t="s">
        <v>630</v>
      </c>
      <c r="B42" s="993">
        <v>0.05</v>
      </c>
      <c r="C42" s="290" t="s">
        <v>9</v>
      </c>
      <c r="D42" s="107">
        <v>0.09</v>
      </c>
      <c r="E42" s="107">
        <v>0.08</v>
      </c>
      <c r="F42" s="107">
        <v>0.08</v>
      </c>
      <c r="G42" s="107">
        <v>0.09</v>
      </c>
      <c r="H42" s="107">
        <v>0.08</v>
      </c>
      <c r="I42" s="107">
        <v>0.08</v>
      </c>
      <c r="J42" s="107">
        <v>0.09</v>
      </c>
      <c r="K42" s="107">
        <v>0.08</v>
      </c>
      <c r="L42" s="107">
        <v>0.08</v>
      </c>
      <c r="M42" s="107">
        <v>0.09</v>
      </c>
      <c r="N42" s="107">
        <v>0.08</v>
      </c>
      <c r="O42" s="107">
        <v>0.08</v>
      </c>
      <c r="P42" s="333">
        <f t="shared" si="2"/>
        <v>0.9999999999999998</v>
      </c>
      <c r="Q42" s="994" t="s">
        <v>979</v>
      </c>
      <c r="R42" s="995"/>
      <c r="S42" s="995"/>
      <c r="T42" s="995"/>
      <c r="U42" s="995"/>
      <c r="V42" s="995"/>
      <c r="W42" s="995"/>
      <c r="X42" s="995"/>
      <c r="Y42" s="995"/>
      <c r="Z42" s="995"/>
      <c r="AA42" s="995"/>
      <c r="AB42" s="995"/>
      <c r="AC42" s="995"/>
      <c r="AD42" s="996"/>
      <c r="AE42" s="287"/>
    </row>
    <row r="43" spans="1:31" ht="107.25" customHeight="1" thickBot="1">
      <c r="A43" s="992"/>
      <c r="B43" s="964"/>
      <c r="C43" s="334" t="s">
        <v>10</v>
      </c>
      <c r="D43" s="335">
        <v>0.09</v>
      </c>
      <c r="E43" s="335">
        <v>0.08</v>
      </c>
      <c r="F43" s="335">
        <v>0.08</v>
      </c>
      <c r="G43" s="335">
        <v>0.09</v>
      </c>
      <c r="H43" s="335">
        <v>0.08</v>
      </c>
      <c r="I43" s="335">
        <v>0.08</v>
      </c>
      <c r="J43" s="335">
        <v>0.09</v>
      </c>
      <c r="K43" s="335">
        <v>0.08</v>
      </c>
      <c r="L43" s="336"/>
      <c r="M43" s="336"/>
      <c r="N43" s="336"/>
      <c r="O43" s="336"/>
      <c r="P43" s="337">
        <f t="shared" si="2"/>
        <v>0.6699999999999999</v>
      </c>
      <c r="Q43" s="997"/>
      <c r="R43" s="998"/>
      <c r="S43" s="998"/>
      <c r="T43" s="998"/>
      <c r="U43" s="998"/>
      <c r="V43" s="998"/>
      <c r="W43" s="998"/>
      <c r="X43" s="998"/>
      <c r="Y43" s="998"/>
      <c r="Z43" s="998"/>
      <c r="AA43" s="998"/>
      <c r="AB43" s="998"/>
      <c r="AC43" s="998"/>
      <c r="AD43" s="999"/>
      <c r="AE43" s="287"/>
    </row>
  </sheetData>
  <sheetProtection/>
  <mergeCells count="79">
    <mergeCell ref="A1:A4"/>
    <mergeCell ref="B1:AA1"/>
    <mergeCell ref="AB1:AD1"/>
    <mergeCell ref="A40:A41"/>
    <mergeCell ref="B40:B41"/>
    <mergeCell ref="Q40:AD41"/>
    <mergeCell ref="I7:J9"/>
    <mergeCell ref="K7:L9"/>
    <mergeCell ref="M7:N7"/>
    <mergeCell ref="B2:AA2"/>
    <mergeCell ref="AB2:AD2"/>
    <mergeCell ref="B3:AA4"/>
    <mergeCell ref="AB3:AD3"/>
    <mergeCell ref="O7:P7"/>
    <mergeCell ref="M8:N8"/>
    <mergeCell ref="O8:P8"/>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Q38:AD39"/>
    <mergeCell ref="W33:Z33"/>
    <mergeCell ref="AA33:AD33"/>
    <mergeCell ref="A34:A35"/>
    <mergeCell ref="B34:B35"/>
    <mergeCell ref="Q34:S35"/>
    <mergeCell ref="T34:V35"/>
    <mergeCell ref="W34:Z35"/>
    <mergeCell ref="AA34:AD35"/>
    <mergeCell ref="A42:A43"/>
    <mergeCell ref="B42:B43"/>
    <mergeCell ref="Q42:AD43"/>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43">
      <formula1>2000</formula1>
    </dataValidation>
  </dataValidations>
  <printOptions/>
  <pageMargins left="0.25" right="0.25" top="0.75" bottom="0.75" header="0.3" footer="0.3"/>
  <pageSetup fitToHeight="0" fitToWidth="1" horizontalDpi="600" verticalDpi="600" orientation="landscape" scale="22" r:id="rId4"/>
  <drawing r:id="rId3"/>
  <legacyDrawing r:id="rId2"/>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AO50"/>
  <sheetViews>
    <sheetView showGridLines="0" view="pageBreakPreview" zoomScale="60" zoomScaleNormal="85" workbookViewId="0" topLeftCell="R16">
      <selection activeCell="X26" sqref="X26"/>
    </sheetView>
  </sheetViews>
  <sheetFormatPr defaultColWidth="9.140625" defaultRowHeight="15"/>
  <cols>
    <col min="1" max="1" width="40.00390625" style="246" customWidth="1"/>
    <col min="2" max="2" width="15.421875" style="246" customWidth="1"/>
    <col min="3" max="14" width="20.7109375" style="246" customWidth="1"/>
    <col min="15" max="15" width="16.140625" style="246" customWidth="1"/>
    <col min="16" max="16" width="18.140625" style="246" customWidth="1"/>
    <col min="17" max="21" width="31.8515625" style="246" customWidth="1"/>
    <col min="22" max="22" width="36.57421875" style="246" customWidth="1"/>
    <col min="23" max="23" width="26.00390625" style="246" customWidth="1"/>
    <col min="24"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338" customWidth="1"/>
    <col min="33" max="33" width="18.421875" style="338"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9.140625" style="246" customWidth="1"/>
  </cols>
  <sheetData>
    <row r="1" spans="1:30" ht="32.25" customHeight="1">
      <c r="A1" s="1008"/>
      <c r="B1" s="1011" t="s">
        <v>16</v>
      </c>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3"/>
      <c r="AB1" s="1025" t="s">
        <v>18</v>
      </c>
      <c r="AC1" s="1026"/>
      <c r="AD1" s="1027"/>
    </row>
    <row r="2" spans="1:30" ht="30.75" customHeight="1">
      <c r="A2" s="1009"/>
      <c r="B2" s="1022" t="s">
        <v>17</v>
      </c>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c r="AA2" s="1024"/>
      <c r="AB2" s="1028" t="s">
        <v>631</v>
      </c>
      <c r="AC2" s="1029"/>
      <c r="AD2" s="1030"/>
    </row>
    <row r="3" spans="1:30" ht="24" customHeight="1">
      <c r="A3" s="1009"/>
      <c r="B3" s="876" t="s">
        <v>295</v>
      </c>
      <c r="C3" s="877"/>
      <c r="D3" s="877"/>
      <c r="E3" s="877"/>
      <c r="F3" s="877"/>
      <c r="G3" s="877"/>
      <c r="H3" s="877"/>
      <c r="I3" s="877"/>
      <c r="J3" s="877"/>
      <c r="K3" s="877"/>
      <c r="L3" s="877"/>
      <c r="M3" s="877"/>
      <c r="N3" s="877"/>
      <c r="O3" s="877"/>
      <c r="P3" s="877"/>
      <c r="Q3" s="877"/>
      <c r="R3" s="877"/>
      <c r="S3" s="877"/>
      <c r="T3" s="877"/>
      <c r="U3" s="877"/>
      <c r="V3" s="877"/>
      <c r="W3" s="877"/>
      <c r="X3" s="877"/>
      <c r="Y3" s="877"/>
      <c r="Z3" s="877"/>
      <c r="AA3" s="878"/>
      <c r="AB3" s="1028" t="s">
        <v>632</v>
      </c>
      <c r="AC3" s="1029"/>
      <c r="AD3" s="1030"/>
    </row>
    <row r="4" spans="1:30" ht="21.75" customHeight="1" thickBot="1">
      <c r="A4" s="1010"/>
      <c r="B4" s="879"/>
      <c r="C4" s="880"/>
      <c r="D4" s="880"/>
      <c r="E4" s="880"/>
      <c r="F4" s="880"/>
      <c r="G4" s="880"/>
      <c r="H4" s="880"/>
      <c r="I4" s="880"/>
      <c r="J4" s="880"/>
      <c r="K4" s="880"/>
      <c r="L4" s="880"/>
      <c r="M4" s="880"/>
      <c r="N4" s="880"/>
      <c r="O4" s="880"/>
      <c r="P4" s="880"/>
      <c r="Q4" s="880"/>
      <c r="R4" s="880"/>
      <c r="S4" s="880"/>
      <c r="T4" s="880"/>
      <c r="U4" s="880"/>
      <c r="V4" s="880"/>
      <c r="W4" s="880"/>
      <c r="X4" s="880"/>
      <c r="Y4" s="880"/>
      <c r="Z4" s="880"/>
      <c r="AA4" s="881"/>
      <c r="AB4" s="740" t="s">
        <v>779</v>
      </c>
      <c r="AC4" s="741"/>
      <c r="AD4" s="742"/>
    </row>
    <row r="5" spans="1:30" ht="9" customHeight="1" thickBot="1">
      <c r="A5" s="249"/>
      <c r="B5" s="250"/>
      <c r="C5" s="251"/>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29" t="s">
        <v>293</v>
      </c>
      <c r="B7" s="630"/>
      <c r="C7" s="882" t="s">
        <v>45</v>
      </c>
      <c r="D7" s="629" t="s">
        <v>71</v>
      </c>
      <c r="E7" s="635"/>
      <c r="F7" s="635"/>
      <c r="G7" s="635"/>
      <c r="H7" s="630"/>
      <c r="I7" s="837">
        <v>45146</v>
      </c>
      <c r="J7" s="838"/>
      <c r="K7" s="629" t="s">
        <v>67</v>
      </c>
      <c r="L7" s="630"/>
      <c r="M7" s="843" t="s">
        <v>70</v>
      </c>
      <c r="N7" s="844"/>
      <c r="O7" s="863"/>
      <c r="P7" s="864"/>
      <c r="Q7" s="252"/>
      <c r="R7" s="252"/>
      <c r="S7" s="252"/>
      <c r="T7" s="252"/>
      <c r="U7" s="252"/>
      <c r="V7" s="252"/>
      <c r="W7" s="252"/>
      <c r="X7" s="252"/>
      <c r="Y7" s="252"/>
      <c r="Z7" s="253"/>
      <c r="AA7" s="252"/>
      <c r="AB7" s="252"/>
      <c r="AC7" s="258"/>
      <c r="AD7" s="259"/>
    </row>
    <row r="8" spans="1:30" ht="15" customHeight="1">
      <c r="A8" s="631"/>
      <c r="B8" s="632"/>
      <c r="C8" s="883"/>
      <c r="D8" s="631"/>
      <c r="E8" s="885"/>
      <c r="F8" s="885"/>
      <c r="G8" s="885"/>
      <c r="H8" s="632"/>
      <c r="I8" s="839"/>
      <c r="J8" s="840"/>
      <c r="K8" s="631"/>
      <c r="L8" s="632"/>
      <c r="M8" s="865" t="s">
        <v>68</v>
      </c>
      <c r="N8" s="866"/>
      <c r="O8" s="867"/>
      <c r="P8" s="868"/>
      <c r="Q8" s="252"/>
      <c r="R8" s="252"/>
      <c r="S8" s="252"/>
      <c r="T8" s="252"/>
      <c r="U8" s="252"/>
      <c r="V8" s="252"/>
      <c r="W8" s="252"/>
      <c r="X8" s="252"/>
      <c r="Y8" s="252"/>
      <c r="Z8" s="253"/>
      <c r="AA8" s="252"/>
      <c r="AB8" s="252"/>
      <c r="AC8" s="258"/>
      <c r="AD8" s="259"/>
    </row>
    <row r="9" spans="1:30" ht="15.75" customHeight="1" thickBot="1">
      <c r="A9" s="633"/>
      <c r="B9" s="634"/>
      <c r="C9" s="884"/>
      <c r="D9" s="633"/>
      <c r="E9" s="637"/>
      <c r="F9" s="637"/>
      <c r="G9" s="637"/>
      <c r="H9" s="634"/>
      <c r="I9" s="841"/>
      <c r="J9" s="842"/>
      <c r="K9" s="633"/>
      <c r="L9" s="634"/>
      <c r="M9" s="869" t="s">
        <v>69</v>
      </c>
      <c r="N9" s="870"/>
      <c r="O9" s="871" t="s">
        <v>425</v>
      </c>
      <c r="P9" s="872"/>
      <c r="Q9" s="252"/>
      <c r="R9" s="252"/>
      <c r="S9" s="252"/>
      <c r="T9" s="252"/>
      <c r="U9" s="252"/>
      <c r="V9" s="252"/>
      <c r="W9" s="252"/>
      <c r="X9" s="252"/>
      <c r="Y9" s="252"/>
      <c r="Z9" s="253"/>
      <c r="AA9" s="252"/>
      <c r="AB9" s="252"/>
      <c r="AC9" s="258"/>
      <c r="AD9" s="259"/>
    </row>
    <row r="10" spans="1:33"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c r="AF10" s="339"/>
      <c r="AG10" s="339"/>
    </row>
    <row r="11" spans="1:30" ht="15" customHeight="1">
      <c r="A11" s="629" t="s">
        <v>0</v>
      </c>
      <c r="B11" s="630"/>
      <c r="C11" s="873" t="s">
        <v>497</v>
      </c>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5"/>
    </row>
    <row r="12" spans="1:30" ht="15" customHeight="1">
      <c r="A12" s="631"/>
      <c r="B12" s="632"/>
      <c r="C12" s="876"/>
      <c r="D12" s="877"/>
      <c r="E12" s="877"/>
      <c r="F12" s="877"/>
      <c r="G12" s="877"/>
      <c r="H12" s="877"/>
      <c r="I12" s="877"/>
      <c r="J12" s="877"/>
      <c r="K12" s="877"/>
      <c r="L12" s="877"/>
      <c r="M12" s="877"/>
      <c r="N12" s="877"/>
      <c r="O12" s="877"/>
      <c r="P12" s="877"/>
      <c r="Q12" s="877"/>
      <c r="R12" s="877"/>
      <c r="S12" s="877"/>
      <c r="T12" s="877"/>
      <c r="U12" s="877"/>
      <c r="V12" s="877"/>
      <c r="W12" s="877"/>
      <c r="X12" s="877"/>
      <c r="Y12" s="877"/>
      <c r="Z12" s="877"/>
      <c r="AA12" s="877"/>
      <c r="AB12" s="877"/>
      <c r="AC12" s="877"/>
      <c r="AD12" s="878"/>
    </row>
    <row r="13" spans="1:30" ht="15" customHeight="1" thickBot="1">
      <c r="A13" s="633"/>
      <c r="B13" s="634"/>
      <c r="C13" s="879"/>
      <c r="D13" s="880"/>
      <c r="E13" s="880"/>
      <c r="F13" s="880"/>
      <c r="G13" s="880"/>
      <c r="H13" s="880"/>
      <c r="I13" s="880"/>
      <c r="J13" s="880"/>
      <c r="K13" s="880"/>
      <c r="L13" s="880"/>
      <c r="M13" s="880"/>
      <c r="N13" s="880"/>
      <c r="O13" s="880"/>
      <c r="P13" s="880"/>
      <c r="Q13" s="880"/>
      <c r="R13" s="880"/>
      <c r="S13" s="880"/>
      <c r="T13" s="880"/>
      <c r="U13" s="880"/>
      <c r="V13" s="880"/>
      <c r="W13" s="880"/>
      <c r="X13" s="880"/>
      <c r="Y13" s="880"/>
      <c r="Z13" s="880"/>
      <c r="AA13" s="880"/>
      <c r="AB13" s="880"/>
      <c r="AC13" s="880"/>
      <c r="AD13" s="881"/>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99" t="s">
        <v>77</v>
      </c>
      <c r="B15" s="600"/>
      <c r="C15" s="886" t="s">
        <v>426</v>
      </c>
      <c r="D15" s="887"/>
      <c r="E15" s="887"/>
      <c r="F15" s="887"/>
      <c r="G15" s="887"/>
      <c r="H15" s="887"/>
      <c r="I15" s="887"/>
      <c r="J15" s="887"/>
      <c r="K15" s="888"/>
      <c r="L15" s="593" t="s">
        <v>73</v>
      </c>
      <c r="M15" s="669"/>
      <c r="N15" s="669"/>
      <c r="O15" s="669"/>
      <c r="P15" s="669"/>
      <c r="Q15" s="594"/>
      <c r="R15" s="886" t="s">
        <v>622</v>
      </c>
      <c r="S15" s="887"/>
      <c r="T15" s="887"/>
      <c r="U15" s="887"/>
      <c r="V15" s="887"/>
      <c r="W15" s="887"/>
      <c r="X15" s="888"/>
      <c r="Y15" s="593" t="s">
        <v>72</v>
      </c>
      <c r="Z15" s="594"/>
      <c r="AA15" s="886" t="s">
        <v>623</v>
      </c>
      <c r="AB15" s="887"/>
      <c r="AC15" s="887"/>
      <c r="AD15" s="888"/>
    </row>
    <row r="16" spans="1:30" ht="9" customHeight="1" thickBot="1">
      <c r="A16" s="257"/>
      <c r="B16" s="252"/>
      <c r="C16" s="892"/>
      <c r="D16" s="892"/>
      <c r="E16" s="892"/>
      <c r="F16" s="892"/>
      <c r="G16" s="892"/>
      <c r="H16" s="892"/>
      <c r="I16" s="892"/>
      <c r="J16" s="892"/>
      <c r="K16" s="892"/>
      <c r="L16" s="892"/>
      <c r="M16" s="892"/>
      <c r="N16" s="892"/>
      <c r="O16" s="892"/>
      <c r="P16" s="892"/>
      <c r="Q16" s="892"/>
      <c r="R16" s="892"/>
      <c r="S16" s="892"/>
      <c r="T16" s="892"/>
      <c r="U16" s="892"/>
      <c r="V16" s="892"/>
      <c r="W16" s="892"/>
      <c r="X16" s="892"/>
      <c r="Y16" s="892"/>
      <c r="Z16" s="892"/>
      <c r="AA16" s="892"/>
      <c r="AB16" s="892"/>
      <c r="AC16" s="271"/>
      <c r="AD16" s="272"/>
    </row>
    <row r="17" spans="1:33" s="273" customFormat="1" ht="37.5" customHeight="1" thickBot="1">
      <c r="A17" s="599" t="s">
        <v>79</v>
      </c>
      <c r="B17" s="600"/>
      <c r="C17" s="893" t="s">
        <v>633</v>
      </c>
      <c r="D17" s="894"/>
      <c r="E17" s="894"/>
      <c r="F17" s="894"/>
      <c r="G17" s="894"/>
      <c r="H17" s="894"/>
      <c r="I17" s="894"/>
      <c r="J17" s="894"/>
      <c r="K17" s="894"/>
      <c r="L17" s="894"/>
      <c r="M17" s="894"/>
      <c r="N17" s="894"/>
      <c r="O17" s="894"/>
      <c r="P17" s="894"/>
      <c r="Q17" s="895"/>
      <c r="R17" s="593" t="s">
        <v>374</v>
      </c>
      <c r="S17" s="669"/>
      <c r="T17" s="669"/>
      <c r="U17" s="669"/>
      <c r="V17" s="594"/>
      <c r="W17" s="595">
        <v>0.6</v>
      </c>
      <c r="X17" s="596"/>
      <c r="Y17" s="669" t="s">
        <v>15</v>
      </c>
      <c r="Z17" s="669"/>
      <c r="AA17" s="669"/>
      <c r="AB17" s="594"/>
      <c r="AC17" s="896">
        <f>+VIGENCIA!D9</f>
        <v>0.08090862027924733</v>
      </c>
      <c r="AD17" s="897"/>
      <c r="AF17" s="340"/>
      <c r="AG17" s="340"/>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3" t="s">
        <v>1</v>
      </c>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594"/>
      <c r="AE19" s="275"/>
      <c r="AF19" s="341"/>
    </row>
    <row r="20" spans="1:32" ht="31.5" customHeight="1" thickBot="1">
      <c r="A20" s="276"/>
      <c r="B20" s="258"/>
      <c r="C20" s="697" t="s">
        <v>376</v>
      </c>
      <c r="D20" s="745"/>
      <c r="E20" s="745"/>
      <c r="F20" s="745"/>
      <c r="G20" s="745"/>
      <c r="H20" s="745"/>
      <c r="I20" s="745"/>
      <c r="J20" s="745"/>
      <c r="K20" s="745"/>
      <c r="L20" s="745"/>
      <c r="M20" s="745"/>
      <c r="N20" s="745"/>
      <c r="O20" s="745"/>
      <c r="P20" s="698"/>
      <c r="Q20" s="695" t="s">
        <v>377</v>
      </c>
      <c r="R20" s="898"/>
      <c r="S20" s="898"/>
      <c r="T20" s="898"/>
      <c r="U20" s="898"/>
      <c r="V20" s="898"/>
      <c r="W20" s="898"/>
      <c r="X20" s="898"/>
      <c r="Y20" s="898"/>
      <c r="Z20" s="898"/>
      <c r="AA20" s="898"/>
      <c r="AB20" s="898"/>
      <c r="AC20" s="898"/>
      <c r="AD20" s="696"/>
      <c r="AE20" s="275"/>
      <c r="AF20" s="341"/>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341"/>
    </row>
    <row r="22" spans="1:33" ht="31.5" customHeight="1">
      <c r="A22" s="899" t="s">
        <v>378</v>
      </c>
      <c r="B22" s="900"/>
      <c r="C22" s="197">
        <f>+RESERVA!C8</f>
        <v>20783308</v>
      </c>
      <c r="D22" s="195"/>
      <c r="E22" s="195"/>
      <c r="F22" s="195"/>
      <c r="G22" s="195"/>
      <c r="H22" s="195"/>
      <c r="I22" s="195"/>
      <c r="J22" s="195"/>
      <c r="K22" s="195"/>
      <c r="L22" s="195"/>
      <c r="M22" s="195"/>
      <c r="N22" s="195"/>
      <c r="O22" s="195"/>
      <c r="P22" s="198"/>
      <c r="Q22" s="197">
        <v>803360566</v>
      </c>
      <c r="R22" s="195"/>
      <c r="S22" s="195">
        <v>77423500</v>
      </c>
      <c r="T22" s="195">
        <v>32000000</v>
      </c>
      <c r="U22" s="195"/>
      <c r="V22" s="195">
        <v>15000000</v>
      </c>
      <c r="W22" s="195"/>
      <c r="X22" s="195">
        <v>10000000</v>
      </c>
      <c r="Y22" s="195"/>
      <c r="Z22" s="195"/>
      <c r="AA22" s="195"/>
      <c r="AB22" s="342"/>
      <c r="AC22" s="195">
        <f>SUM(Q22:AB22)</f>
        <v>937784066</v>
      </c>
      <c r="AD22" s="202"/>
      <c r="AE22" s="4"/>
      <c r="AF22" s="339"/>
      <c r="AG22" s="343"/>
    </row>
    <row r="23" spans="1:32" ht="31.5" customHeight="1">
      <c r="A23" s="901" t="s">
        <v>379</v>
      </c>
      <c r="B23" s="902"/>
      <c r="C23" s="192"/>
      <c r="D23" s="191"/>
      <c r="E23" s="191"/>
      <c r="F23" s="191"/>
      <c r="G23" s="191"/>
      <c r="H23" s="191"/>
      <c r="I23" s="191"/>
      <c r="J23" s="191"/>
      <c r="K23" s="191"/>
      <c r="L23" s="191"/>
      <c r="M23" s="191"/>
      <c r="N23" s="191"/>
      <c r="O23" s="191"/>
      <c r="P23" s="211"/>
      <c r="Q23" s="192">
        <f>+VIGENCIA!D18</f>
        <v>582044581</v>
      </c>
      <c r="R23" s="344">
        <f>+VIGENCIA!F18</f>
        <v>67850000</v>
      </c>
      <c r="S23" s="344">
        <f>+VIGENCIA!H18</f>
        <v>65899202</v>
      </c>
      <c r="T23" s="191">
        <f>+VIGENCIA!J18</f>
        <v>-4080000</v>
      </c>
      <c r="U23" s="191">
        <f>+VIGENCIA!L18</f>
        <v>-15686667</v>
      </c>
      <c r="V23" s="344">
        <f>+VIGENCIA!N18</f>
        <v>73360000</v>
      </c>
      <c r="W23" s="191">
        <f>+VIGENCIA!P18</f>
        <v>0</v>
      </c>
      <c r="X23" s="191">
        <f>+VIGENCIA!R18</f>
        <v>0</v>
      </c>
      <c r="Y23" s="191"/>
      <c r="Z23" s="191"/>
      <c r="AA23" s="191"/>
      <c r="AB23" s="344"/>
      <c r="AC23" s="195">
        <f>SUM(Q23:AB23)</f>
        <v>769387116</v>
      </c>
      <c r="AD23" s="200">
        <f>+AC23/AC22</f>
        <v>0.8204309967450438</v>
      </c>
      <c r="AE23" s="4"/>
      <c r="AF23" s="341"/>
    </row>
    <row r="24" spans="1:32" ht="31.5" customHeight="1">
      <c r="A24" s="901" t="s">
        <v>380</v>
      </c>
      <c r="B24" s="902"/>
      <c r="C24" s="192">
        <v>10423312</v>
      </c>
      <c r="D24" s="191">
        <f>8615673-22323</f>
        <v>8593350</v>
      </c>
      <c r="E24" s="191">
        <v>1744323</v>
      </c>
      <c r="F24" s="191">
        <v>0</v>
      </c>
      <c r="G24" s="191"/>
      <c r="H24" s="191">
        <f>-RESERVA!N16</f>
        <v>-1722000</v>
      </c>
      <c r="I24" s="191">
        <f>+RESERVA!P16</f>
        <v>0</v>
      </c>
      <c r="J24" s="191">
        <f>+RESERVA!R16</f>
        <v>0</v>
      </c>
      <c r="K24" s="191"/>
      <c r="L24" s="191"/>
      <c r="M24" s="191"/>
      <c r="N24" s="191"/>
      <c r="O24" s="191">
        <f>SUM(C24:N24)</f>
        <v>19038985</v>
      </c>
      <c r="P24" s="196"/>
      <c r="Q24" s="192"/>
      <c r="R24" s="191">
        <v>52840622</v>
      </c>
      <c r="S24" s="191">
        <v>71883977</v>
      </c>
      <c r="T24" s="191">
        <v>71883977</v>
      </c>
      <c r="U24" s="191">
        <v>106883978</v>
      </c>
      <c r="V24" s="344">
        <v>71883979</v>
      </c>
      <c r="W24" s="191">
        <v>92883980</v>
      </c>
      <c r="X24" s="191">
        <v>71883981</v>
      </c>
      <c r="Y24" s="191">
        <v>71883981</v>
      </c>
      <c r="Z24" s="191">
        <v>71883981</v>
      </c>
      <c r="AA24" s="191">
        <v>71883981</v>
      </c>
      <c r="AB24" s="344">
        <v>181987629</v>
      </c>
      <c r="AC24" s="195">
        <f>SUM(Q24:AB24)</f>
        <v>937784066</v>
      </c>
      <c r="AD24" s="200"/>
      <c r="AE24" s="4"/>
      <c r="AF24" s="341"/>
    </row>
    <row r="25" spans="1:32" ht="31.5" customHeight="1" thickBot="1">
      <c r="A25" s="903" t="s">
        <v>381</v>
      </c>
      <c r="B25" s="904"/>
      <c r="C25" s="193">
        <f>+RESERVA!E16</f>
        <v>10423312</v>
      </c>
      <c r="D25" s="194">
        <f>+RESERVA!G16</f>
        <v>0</v>
      </c>
      <c r="E25" s="194">
        <f>+RESERVA!I16</f>
        <v>0</v>
      </c>
      <c r="F25" s="194">
        <v>0</v>
      </c>
      <c r="G25" s="194">
        <f>+RESERVA!M16</f>
        <v>6489000</v>
      </c>
      <c r="H25" s="194">
        <f>+RESERVA!O16</f>
        <v>0</v>
      </c>
      <c r="I25" s="194">
        <f>+RESERVA!Q16</f>
        <v>0</v>
      </c>
      <c r="J25" s="194">
        <f>+RESERVA!S16</f>
        <v>0</v>
      </c>
      <c r="K25" s="194"/>
      <c r="L25" s="194"/>
      <c r="M25" s="194"/>
      <c r="N25" s="194"/>
      <c r="O25" s="194">
        <f>SUM(C25:N25)</f>
        <v>16912312</v>
      </c>
      <c r="P25" s="447">
        <f>+O25/O24</f>
        <v>0.888299034848759</v>
      </c>
      <c r="Q25" s="193">
        <f>+VIGENCIA!E18</f>
        <v>0</v>
      </c>
      <c r="R25" s="345">
        <f>+VIGENCIA!G18</f>
        <v>24978180</v>
      </c>
      <c r="S25" s="345">
        <f>+VIGENCIA!I18</f>
        <v>60172312</v>
      </c>
      <c r="T25" s="194">
        <f>+VIGENCIA!K18</f>
        <v>65752312</v>
      </c>
      <c r="U25" s="194">
        <f>+VIGENCIA!M18</f>
        <v>70632312</v>
      </c>
      <c r="V25" s="345">
        <f>+VIGENCIA!O18</f>
        <v>67789000</v>
      </c>
      <c r="W25" s="194">
        <f>+VIGENCIA!Q18</f>
        <v>67789000</v>
      </c>
      <c r="X25" s="194">
        <f>+VIGENCIA!S18</f>
        <v>61300000</v>
      </c>
      <c r="Y25" s="194"/>
      <c r="Z25" s="194"/>
      <c r="AA25" s="194"/>
      <c r="AB25" s="345"/>
      <c r="AC25" s="194">
        <f>SUM(Q25:AB25)</f>
        <v>418413116</v>
      </c>
      <c r="AD25" s="201">
        <f>+AC25/AC24</f>
        <v>0.44617213191165483</v>
      </c>
      <c r="AE25" s="4"/>
      <c r="AF25" s="341"/>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05" t="s">
        <v>76</v>
      </c>
      <c r="B27" s="906"/>
      <c r="C27" s="907"/>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8"/>
    </row>
    <row r="28" spans="1:30" ht="15" customHeight="1">
      <c r="A28" s="909" t="s">
        <v>189</v>
      </c>
      <c r="B28" s="911" t="s">
        <v>6</v>
      </c>
      <c r="C28" s="912"/>
      <c r="D28" s="902" t="s">
        <v>398</v>
      </c>
      <c r="E28" s="915"/>
      <c r="F28" s="915"/>
      <c r="G28" s="915"/>
      <c r="H28" s="915"/>
      <c r="I28" s="915"/>
      <c r="J28" s="915"/>
      <c r="K28" s="915"/>
      <c r="L28" s="915"/>
      <c r="M28" s="915"/>
      <c r="N28" s="915"/>
      <c r="O28" s="916"/>
      <c r="P28" s="917" t="s">
        <v>8</v>
      </c>
      <c r="Q28" s="917" t="s">
        <v>84</v>
      </c>
      <c r="R28" s="917"/>
      <c r="S28" s="917"/>
      <c r="T28" s="917"/>
      <c r="U28" s="917"/>
      <c r="V28" s="917"/>
      <c r="W28" s="917"/>
      <c r="X28" s="917"/>
      <c r="Y28" s="917"/>
      <c r="Z28" s="917"/>
      <c r="AA28" s="917"/>
      <c r="AB28" s="917"/>
      <c r="AC28" s="917"/>
      <c r="AD28" s="918"/>
    </row>
    <row r="29" spans="1:30" ht="27" customHeight="1">
      <c r="A29" s="910"/>
      <c r="B29" s="913"/>
      <c r="C29" s="914"/>
      <c r="D29" s="281" t="s">
        <v>39</v>
      </c>
      <c r="E29" s="281" t="s">
        <v>40</v>
      </c>
      <c r="F29" s="281" t="s">
        <v>41</v>
      </c>
      <c r="G29" s="281" t="s">
        <v>42</v>
      </c>
      <c r="H29" s="281" t="s">
        <v>43</v>
      </c>
      <c r="I29" s="281" t="s">
        <v>44</v>
      </c>
      <c r="J29" s="281" t="s">
        <v>45</v>
      </c>
      <c r="K29" s="281" t="s">
        <v>46</v>
      </c>
      <c r="L29" s="281" t="s">
        <v>47</v>
      </c>
      <c r="M29" s="281" t="s">
        <v>48</v>
      </c>
      <c r="N29" s="281" t="s">
        <v>49</v>
      </c>
      <c r="O29" s="281" t="s">
        <v>50</v>
      </c>
      <c r="P29" s="916"/>
      <c r="Q29" s="917"/>
      <c r="R29" s="917"/>
      <c r="S29" s="917"/>
      <c r="T29" s="917"/>
      <c r="U29" s="917"/>
      <c r="V29" s="917"/>
      <c r="W29" s="917"/>
      <c r="X29" s="917"/>
      <c r="Y29" s="917"/>
      <c r="Z29" s="917"/>
      <c r="AA29" s="917"/>
      <c r="AB29" s="917"/>
      <c r="AC29" s="917"/>
      <c r="AD29" s="918"/>
    </row>
    <row r="30" spans="1:30" ht="61.5" customHeight="1" thickBot="1">
      <c r="A30" s="330" t="str">
        <f>C17</f>
        <v>Ejecutar al 90% la implementación de la Política de Gestión Documental institucional</v>
      </c>
      <c r="B30" s="919" t="s">
        <v>450</v>
      </c>
      <c r="C30" s="920"/>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21"/>
      <c r="R30" s="921"/>
      <c r="S30" s="921"/>
      <c r="T30" s="921"/>
      <c r="U30" s="921"/>
      <c r="V30" s="921"/>
      <c r="W30" s="921"/>
      <c r="X30" s="921"/>
      <c r="Y30" s="921"/>
      <c r="Z30" s="921"/>
      <c r="AA30" s="921"/>
      <c r="AB30" s="921"/>
      <c r="AC30" s="921"/>
      <c r="AD30" s="922"/>
    </row>
    <row r="31" spans="1:30" ht="45" customHeight="1">
      <c r="A31" s="857" t="s">
        <v>292</v>
      </c>
      <c r="B31" s="858"/>
      <c r="C31" s="858"/>
      <c r="D31" s="858"/>
      <c r="E31" s="858"/>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9"/>
    </row>
    <row r="32" spans="1:41" ht="22.5" customHeight="1">
      <c r="A32" s="901" t="s">
        <v>190</v>
      </c>
      <c r="B32" s="917" t="s">
        <v>62</v>
      </c>
      <c r="C32" s="917" t="s">
        <v>6</v>
      </c>
      <c r="D32" s="917" t="s">
        <v>60</v>
      </c>
      <c r="E32" s="917"/>
      <c r="F32" s="917"/>
      <c r="G32" s="917"/>
      <c r="H32" s="917"/>
      <c r="I32" s="917"/>
      <c r="J32" s="917"/>
      <c r="K32" s="917"/>
      <c r="L32" s="917"/>
      <c r="M32" s="917"/>
      <c r="N32" s="917"/>
      <c r="O32" s="917"/>
      <c r="P32" s="917"/>
      <c r="Q32" s="917" t="s">
        <v>85</v>
      </c>
      <c r="R32" s="917"/>
      <c r="S32" s="917"/>
      <c r="T32" s="917"/>
      <c r="U32" s="917"/>
      <c r="V32" s="917"/>
      <c r="W32" s="917"/>
      <c r="X32" s="917"/>
      <c r="Y32" s="917"/>
      <c r="Z32" s="917"/>
      <c r="AA32" s="917"/>
      <c r="AB32" s="917"/>
      <c r="AC32" s="917"/>
      <c r="AD32" s="918"/>
      <c r="AH32" s="90"/>
      <c r="AI32" s="90"/>
      <c r="AJ32" s="90"/>
      <c r="AK32" s="90"/>
      <c r="AL32" s="90"/>
      <c r="AM32" s="90"/>
      <c r="AN32" s="90"/>
      <c r="AO32" s="90"/>
    </row>
    <row r="33" spans="1:41" ht="35.25" customHeight="1">
      <c r="A33" s="901"/>
      <c r="B33" s="917"/>
      <c r="C33" s="923"/>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02" t="s">
        <v>80</v>
      </c>
      <c r="R33" s="915"/>
      <c r="S33" s="916"/>
      <c r="T33" s="917" t="s">
        <v>406</v>
      </c>
      <c r="U33" s="917"/>
      <c r="V33" s="917"/>
      <c r="W33" s="913" t="s">
        <v>81</v>
      </c>
      <c r="X33" s="924"/>
      <c r="Y33" s="924"/>
      <c r="Z33" s="914"/>
      <c r="AA33" s="913" t="s">
        <v>82</v>
      </c>
      <c r="AB33" s="924"/>
      <c r="AC33" s="924"/>
      <c r="AD33" s="925"/>
      <c r="AH33" s="90"/>
      <c r="AI33" s="90"/>
      <c r="AJ33" s="90"/>
      <c r="AK33" s="90"/>
      <c r="AL33" s="90"/>
      <c r="AM33" s="90"/>
      <c r="AN33" s="90"/>
      <c r="AO33" s="90"/>
    </row>
    <row r="34" spans="1:41" ht="117.75" customHeight="1">
      <c r="A34" s="926" t="str">
        <f>A30</f>
        <v>Ejecutar al 90% la implementación de la Política de Gestión Documental institucional</v>
      </c>
      <c r="B34" s="986">
        <f>+AC17</f>
        <v>0.08090862027924733</v>
      </c>
      <c r="C34" s="284" t="s">
        <v>9</v>
      </c>
      <c r="D34" s="177">
        <v>0.6</v>
      </c>
      <c r="E34" s="177">
        <f>(((E38*($B$38/$B$34))+(E40*($B$40/$B$34))+(E42*($B$42/$B$34))+(E44*($B$44/$B$34))+(E46*($B$46/$B$34))))*($P$34-$D$34)</f>
        <v>0.0125</v>
      </c>
      <c r="F34" s="177">
        <f aca="true" t="shared" si="0" ref="F34:O34">(((F38*($B$38/$B$34))+(F40*($B$40/$B$34))+(F42*($B$42/$B$34))+(F44*($B$44/$B$34))+(F46*($B$46/$B$34))))*($P$34-$D$34)</f>
        <v>0.025</v>
      </c>
      <c r="G34" s="177">
        <f t="shared" si="0"/>
        <v>0.025</v>
      </c>
      <c r="H34" s="177">
        <f t="shared" si="0"/>
        <v>0.025</v>
      </c>
      <c r="I34" s="177">
        <f t="shared" si="0"/>
        <v>0.025</v>
      </c>
      <c r="J34" s="177">
        <f t="shared" si="0"/>
        <v>0.025</v>
      </c>
      <c r="K34" s="177">
        <f t="shared" si="0"/>
        <v>0.025</v>
      </c>
      <c r="L34" s="177">
        <f>(((L38*($B$38/$B$34))+(L40*($B$40/$B$34))+(L42*($B$42/$B$34))+(L44*($B$44/$B$34))+(L46*($B$46/$B$34))))*($P$34-$D$34)</f>
        <v>0.0275</v>
      </c>
      <c r="M34" s="177">
        <f t="shared" si="0"/>
        <v>0.025</v>
      </c>
      <c r="N34" s="177">
        <f t="shared" si="0"/>
        <v>0.022500000000000003</v>
      </c>
      <c r="O34" s="177">
        <f t="shared" si="0"/>
        <v>0.0125</v>
      </c>
      <c r="P34" s="177">
        <v>0.85</v>
      </c>
      <c r="Q34" s="1169" t="s">
        <v>986</v>
      </c>
      <c r="R34" s="1170"/>
      <c r="S34" s="1171"/>
      <c r="T34" s="1172" t="s">
        <v>987</v>
      </c>
      <c r="U34" s="1038"/>
      <c r="V34" s="1043"/>
      <c r="W34" s="1031"/>
      <c r="X34" s="1032"/>
      <c r="Y34" s="1032"/>
      <c r="Z34" s="1033"/>
      <c r="AA34" s="1037"/>
      <c r="AB34" s="1038"/>
      <c r="AC34" s="1038"/>
      <c r="AD34" s="1039"/>
      <c r="AE34" s="346"/>
      <c r="AH34" s="90"/>
      <c r="AI34" s="90"/>
      <c r="AJ34" s="90"/>
      <c r="AK34" s="90"/>
      <c r="AL34" s="90"/>
      <c r="AM34" s="90"/>
      <c r="AN34" s="90"/>
      <c r="AO34" s="90"/>
    </row>
    <row r="35" spans="1:41" ht="117.75" customHeight="1" thickBot="1">
      <c r="A35" s="927"/>
      <c r="B35" s="987"/>
      <c r="C35" s="285" t="s">
        <v>10</v>
      </c>
      <c r="D35" s="347">
        <v>0.6</v>
      </c>
      <c r="E35" s="347">
        <f aca="true" t="shared" si="1" ref="E35:K35">(((E39*($B$38/$B$34))+(E41*($B$40/$B$34))+(E43*($B$42/$B$34))+(E45*($B$44/$B$34))+(E47*($B$46/$B$34))))*($P$34-$D$35)</f>
        <v>0.0125</v>
      </c>
      <c r="F35" s="347">
        <f t="shared" si="1"/>
        <v>0.0205</v>
      </c>
      <c r="G35" s="347">
        <f t="shared" si="1"/>
        <v>0.025</v>
      </c>
      <c r="H35" s="347">
        <f t="shared" si="1"/>
        <v>0.029500000000000002</v>
      </c>
      <c r="I35" s="347">
        <f t="shared" si="1"/>
        <v>0.025</v>
      </c>
      <c r="J35" s="347">
        <f t="shared" si="1"/>
        <v>0.025</v>
      </c>
      <c r="K35" s="347">
        <f t="shared" si="1"/>
        <v>0.025</v>
      </c>
      <c r="L35" s="347"/>
      <c r="M35" s="347"/>
      <c r="N35" s="347"/>
      <c r="O35" s="347"/>
      <c r="P35" s="178">
        <f>SUM(D35:O35)</f>
        <v>0.7625</v>
      </c>
      <c r="Q35" s="1173"/>
      <c r="R35" s="1174"/>
      <c r="S35" s="1175"/>
      <c r="T35" s="1044"/>
      <c r="U35" s="1041"/>
      <c r="V35" s="1045"/>
      <c r="W35" s="1034"/>
      <c r="X35" s="1035"/>
      <c r="Y35" s="1035"/>
      <c r="Z35" s="1036"/>
      <c r="AA35" s="1040"/>
      <c r="AB35" s="1041"/>
      <c r="AC35" s="1041"/>
      <c r="AD35" s="1042"/>
      <c r="AE35" s="348"/>
      <c r="AF35" s="343"/>
      <c r="AH35" s="90"/>
      <c r="AI35" s="90"/>
      <c r="AJ35" s="90"/>
      <c r="AK35" s="90"/>
      <c r="AL35" s="90"/>
      <c r="AM35" s="90"/>
      <c r="AN35" s="90"/>
      <c r="AO35" s="90"/>
    </row>
    <row r="36" spans="1:41" ht="25.5" customHeight="1">
      <c r="A36" s="899" t="s">
        <v>191</v>
      </c>
      <c r="B36" s="946" t="s">
        <v>61</v>
      </c>
      <c r="C36" s="982" t="s">
        <v>11</v>
      </c>
      <c r="D36" s="982"/>
      <c r="E36" s="982"/>
      <c r="F36" s="982"/>
      <c r="G36" s="982"/>
      <c r="H36" s="982"/>
      <c r="I36" s="982"/>
      <c r="J36" s="982"/>
      <c r="K36" s="982"/>
      <c r="L36" s="982"/>
      <c r="M36" s="982"/>
      <c r="N36" s="982"/>
      <c r="O36" s="982"/>
      <c r="P36" s="982"/>
      <c r="Q36" s="900" t="s">
        <v>78</v>
      </c>
      <c r="R36" s="948"/>
      <c r="S36" s="948"/>
      <c r="T36" s="948"/>
      <c r="U36" s="948"/>
      <c r="V36" s="948"/>
      <c r="W36" s="948"/>
      <c r="X36" s="948"/>
      <c r="Y36" s="948"/>
      <c r="Z36" s="948"/>
      <c r="AA36" s="948"/>
      <c r="AB36" s="948"/>
      <c r="AC36" s="948"/>
      <c r="AD36" s="950"/>
      <c r="AH36" s="90"/>
      <c r="AI36" s="90"/>
      <c r="AJ36" s="90"/>
      <c r="AK36" s="90"/>
      <c r="AL36" s="90"/>
      <c r="AM36" s="90"/>
      <c r="AN36" s="90"/>
      <c r="AO36" s="90"/>
    </row>
    <row r="37" spans="1:41" ht="25.5" customHeight="1">
      <c r="A37" s="901"/>
      <c r="B37" s="947"/>
      <c r="C37" s="281" t="s">
        <v>12</v>
      </c>
      <c r="D37" s="281" t="s">
        <v>36</v>
      </c>
      <c r="E37" s="281" t="s">
        <v>37</v>
      </c>
      <c r="F37" s="281" t="s">
        <v>38</v>
      </c>
      <c r="G37" s="281" t="s">
        <v>51</v>
      </c>
      <c r="H37" s="281" t="s">
        <v>52</v>
      </c>
      <c r="I37" s="281" t="s">
        <v>53</v>
      </c>
      <c r="J37" s="281" t="s">
        <v>54</v>
      </c>
      <c r="K37" s="281" t="s">
        <v>55</v>
      </c>
      <c r="L37" s="281" t="s">
        <v>56</v>
      </c>
      <c r="M37" s="281" t="s">
        <v>57</v>
      </c>
      <c r="N37" s="281" t="s">
        <v>58</v>
      </c>
      <c r="O37" s="281" t="s">
        <v>59</v>
      </c>
      <c r="P37" s="281" t="s">
        <v>63</v>
      </c>
      <c r="Q37" s="902" t="s">
        <v>83</v>
      </c>
      <c r="R37" s="915"/>
      <c r="S37" s="915"/>
      <c r="T37" s="915"/>
      <c r="U37" s="915"/>
      <c r="V37" s="915"/>
      <c r="W37" s="915"/>
      <c r="X37" s="915"/>
      <c r="Y37" s="915"/>
      <c r="Z37" s="915"/>
      <c r="AA37" s="915"/>
      <c r="AB37" s="915"/>
      <c r="AC37" s="915"/>
      <c r="AD37" s="951"/>
      <c r="AG37" s="349"/>
      <c r="AH37" s="98"/>
      <c r="AI37" s="98"/>
      <c r="AJ37" s="98"/>
      <c r="AK37" s="98"/>
      <c r="AL37" s="98"/>
      <c r="AM37" s="98"/>
      <c r="AN37" s="98"/>
      <c r="AO37" s="98"/>
    </row>
    <row r="38" spans="1:41" ht="48" customHeight="1">
      <c r="A38" s="1000" t="s">
        <v>646</v>
      </c>
      <c r="B38" s="1046">
        <f>+$B$34/5</f>
        <v>0.016181724055849465</v>
      </c>
      <c r="C38" s="284" t="s">
        <v>9</v>
      </c>
      <c r="D38" s="357">
        <v>0</v>
      </c>
      <c r="E38" s="357">
        <v>0.05</v>
      </c>
      <c r="F38" s="357">
        <v>0.1</v>
      </c>
      <c r="G38" s="357">
        <v>0.1</v>
      </c>
      <c r="H38" s="357">
        <v>0.1</v>
      </c>
      <c r="I38" s="357">
        <v>0.1</v>
      </c>
      <c r="J38" s="357">
        <v>0.1</v>
      </c>
      <c r="K38" s="357">
        <v>0.1</v>
      </c>
      <c r="L38" s="357">
        <v>0.1</v>
      </c>
      <c r="M38" s="357">
        <v>0.1</v>
      </c>
      <c r="N38" s="357">
        <v>0.1</v>
      </c>
      <c r="O38" s="357">
        <v>0.05</v>
      </c>
      <c r="P38" s="286">
        <f aca="true" t="shared" si="2" ref="P38:P47">SUM(D38:O38)</f>
        <v>0.9999999999999999</v>
      </c>
      <c r="Q38" s="1048" t="s">
        <v>981</v>
      </c>
      <c r="R38" s="1049"/>
      <c r="S38" s="1049"/>
      <c r="T38" s="1049"/>
      <c r="U38" s="1049"/>
      <c r="V38" s="1049"/>
      <c r="W38" s="1049"/>
      <c r="X38" s="1049"/>
      <c r="Y38" s="1049"/>
      <c r="Z38" s="1049"/>
      <c r="AA38" s="1049"/>
      <c r="AB38" s="1049"/>
      <c r="AC38" s="1049"/>
      <c r="AD38" s="1050"/>
      <c r="AE38" s="287"/>
      <c r="AG38" s="349"/>
      <c r="AH38" s="102"/>
      <c r="AI38" s="102"/>
      <c r="AJ38" s="102"/>
      <c r="AK38" s="102"/>
      <c r="AL38" s="102"/>
      <c r="AM38" s="102"/>
      <c r="AN38" s="102"/>
      <c r="AO38" s="102"/>
    </row>
    <row r="39" spans="1:31" ht="48" customHeight="1">
      <c r="A39" s="1001"/>
      <c r="B39" s="1047"/>
      <c r="C39" s="288" t="s">
        <v>10</v>
      </c>
      <c r="D39" s="104">
        <v>0</v>
      </c>
      <c r="E39" s="104">
        <v>0.05</v>
      </c>
      <c r="F39" s="104">
        <v>0.01</v>
      </c>
      <c r="G39" s="104">
        <v>0.1</v>
      </c>
      <c r="H39" s="104">
        <v>0.19</v>
      </c>
      <c r="I39" s="104">
        <v>0.1</v>
      </c>
      <c r="J39" s="104">
        <v>0.1</v>
      </c>
      <c r="K39" s="104">
        <v>0.1</v>
      </c>
      <c r="L39" s="104"/>
      <c r="M39" s="104"/>
      <c r="N39" s="104"/>
      <c r="O39" s="104"/>
      <c r="P39" s="289">
        <f t="shared" si="2"/>
        <v>0.6499999999999999</v>
      </c>
      <c r="Q39" s="1051"/>
      <c r="R39" s="1052"/>
      <c r="S39" s="1052"/>
      <c r="T39" s="1052"/>
      <c r="U39" s="1052"/>
      <c r="V39" s="1052"/>
      <c r="W39" s="1052"/>
      <c r="X39" s="1052"/>
      <c r="Y39" s="1052"/>
      <c r="Z39" s="1052"/>
      <c r="AA39" s="1052"/>
      <c r="AB39" s="1052"/>
      <c r="AC39" s="1052"/>
      <c r="AD39" s="1053"/>
      <c r="AE39" s="287"/>
    </row>
    <row r="40" spans="1:31" ht="48" customHeight="1">
      <c r="A40" s="1001" t="s">
        <v>634</v>
      </c>
      <c r="B40" s="1046">
        <f>+$B$34/5</f>
        <v>0.016181724055849465</v>
      </c>
      <c r="C40" s="290" t="s">
        <v>9</v>
      </c>
      <c r="D40" s="357">
        <v>0</v>
      </c>
      <c r="E40" s="357">
        <v>0.05</v>
      </c>
      <c r="F40" s="357">
        <v>0.1</v>
      </c>
      <c r="G40" s="357">
        <v>0.1</v>
      </c>
      <c r="H40" s="357">
        <v>0.1</v>
      </c>
      <c r="I40" s="357">
        <v>0.1</v>
      </c>
      <c r="J40" s="357">
        <v>0.1</v>
      </c>
      <c r="K40" s="357">
        <v>0.1</v>
      </c>
      <c r="L40" s="357">
        <v>0.15</v>
      </c>
      <c r="M40" s="357">
        <v>0.1</v>
      </c>
      <c r="N40" s="357">
        <v>0.05</v>
      </c>
      <c r="O40" s="357">
        <v>0.05</v>
      </c>
      <c r="P40" s="289">
        <f t="shared" si="2"/>
        <v>1</v>
      </c>
      <c r="Q40" s="1048" t="s">
        <v>982</v>
      </c>
      <c r="R40" s="1049"/>
      <c r="S40" s="1049"/>
      <c r="T40" s="1049"/>
      <c r="U40" s="1049"/>
      <c r="V40" s="1049"/>
      <c r="W40" s="1049"/>
      <c r="X40" s="1049"/>
      <c r="Y40" s="1049"/>
      <c r="Z40" s="1049"/>
      <c r="AA40" s="1049"/>
      <c r="AB40" s="1049"/>
      <c r="AC40" s="1049"/>
      <c r="AD40" s="1050"/>
      <c r="AE40" s="287"/>
    </row>
    <row r="41" spans="1:31" ht="48" customHeight="1">
      <c r="A41" s="1001"/>
      <c r="B41" s="1047"/>
      <c r="C41" s="288" t="s">
        <v>10</v>
      </c>
      <c r="D41" s="104">
        <v>0</v>
      </c>
      <c r="E41" s="104">
        <v>0.05</v>
      </c>
      <c r="F41" s="104">
        <v>0.1</v>
      </c>
      <c r="G41" s="104">
        <v>0.1</v>
      </c>
      <c r="H41" s="104">
        <v>0.1</v>
      </c>
      <c r="I41" s="104">
        <v>0.1</v>
      </c>
      <c r="J41" s="104">
        <v>0.1</v>
      </c>
      <c r="K41" s="104">
        <v>0.1</v>
      </c>
      <c r="L41" s="104"/>
      <c r="M41" s="108"/>
      <c r="N41" s="108"/>
      <c r="O41" s="108"/>
      <c r="P41" s="289">
        <f t="shared" si="2"/>
        <v>0.6499999999999999</v>
      </c>
      <c r="Q41" s="1051"/>
      <c r="R41" s="1052"/>
      <c r="S41" s="1052"/>
      <c r="T41" s="1052"/>
      <c r="U41" s="1052"/>
      <c r="V41" s="1052"/>
      <c r="W41" s="1052"/>
      <c r="X41" s="1052"/>
      <c r="Y41" s="1052"/>
      <c r="Z41" s="1052"/>
      <c r="AA41" s="1052"/>
      <c r="AB41" s="1052"/>
      <c r="AC41" s="1052"/>
      <c r="AD41" s="1053"/>
      <c r="AE41" s="287"/>
    </row>
    <row r="42" spans="1:31" ht="48" customHeight="1">
      <c r="A42" s="1014" t="s">
        <v>635</v>
      </c>
      <c r="B42" s="1046">
        <f>+$B$34/5</f>
        <v>0.016181724055849465</v>
      </c>
      <c r="C42" s="290" t="s">
        <v>9</v>
      </c>
      <c r="D42" s="357">
        <v>0</v>
      </c>
      <c r="E42" s="357">
        <v>0.05</v>
      </c>
      <c r="F42" s="357">
        <v>0.1</v>
      </c>
      <c r="G42" s="357">
        <v>0.1</v>
      </c>
      <c r="H42" s="357">
        <v>0.1</v>
      </c>
      <c r="I42" s="357">
        <v>0.1</v>
      </c>
      <c r="J42" s="357">
        <v>0.1</v>
      </c>
      <c r="K42" s="357">
        <v>0.1</v>
      </c>
      <c r="L42" s="357">
        <v>0.1</v>
      </c>
      <c r="M42" s="357">
        <v>0.1</v>
      </c>
      <c r="N42" s="357">
        <v>0.1</v>
      </c>
      <c r="O42" s="357">
        <v>0.05</v>
      </c>
      <c r="P42" s="289">
        <f>SUM(D42:O42)</f>
        <v>0.9999999999999999</v>
      </c>
      <c r="Q42" s="1048" t="s">
        <v>983</v>
      </c>
      <c r="R42" s="1049"/>
      <c r="S42" s="1049"/>
      <c r="T42" s="1049"/>
      <c r="U42" s="1049"/>
      <c r="V42" s="1049"/>
      <c r="W42" s="1049"/>
      <c r="X42" s="1049"/>
      <c r="Y42" s="1049"/>
      <c r="Z42" s="1049"/>
      <c r="AA42" s="1049"/>
      <c r="AB42" s="1049"/>
      <c r="AC42" s="1049"/>
      <c r="AD42" s="1050"/>
      <c r="AE42" s="287"/>
    </row>
    <row r="43" spans="1:31" ht="48" customHeight="1">
      <c r="A43" s="1000"/>
      <c r="B43" s="1047"/>
      <c r="C43" s="288" t="s">
        <v>10</v>
      </c>
      <c r="D43" s="104">
        <v>0</v>
      </c>
      <c r="E43" s="104">
        <v>0.05</v>
      </c>
      <c r="F43" s="104">
        <v>0.1</v>
      </c>
      <c r="G43" s="104">
        <v>0.1</v>
      </c>
      <c r="H43" s="104">
        <v>0.1</v>
      </c>
      <c r="I43" s="104">
        <v>0.1</v>
      </c>
      <c r="J43" s="104">
        <v>0.1</v>
      </c>
      <c r="K43" s="104">
        <v>0.1</v>
      </c>
      <c r="L43" s="104"/>
      <c r="M43" s="108"/>
      <c r="N43" s="108"/>
      <c r="O43" s="108"/>
      <c r="P43" s="289">
        <f>SUM(D43:O43)</f>
        <v>0.6499999999999999</v>
      </c>
      <c r="Q43" s="1051"/>
      <c r="R43" s="1052"/>
      <c r="S43" s="1052"/>
      <c r="T43" s="1052"/>
      <c r="U43" s="1052"/>
      <c r="V43" s="1052"/>
      <c r="W43" s="1052"/>
      <c r="X43" s="1052"/>
      <c r="Y43" s="1052"/>
      <c r="Z43" s="1052"/>
      <c r="AA43" s="1052"/>
      <c r="AB43" s="1052"/>
      <c r="AC43" s="1052"/>
      <c r="AD43" s="1053"/>
      <c r="AE43" s="287"/>
    </row>
    <row r="44" spans="1:31" ht="48" customHeight="1">
      <c r="A44" s="1014" t="s">
        <v>636</v>
      </c>
      <c r="B44" s="1046">
        <f>+$B$34/5</f>
        <v>0.016181724055849465</v>
      </c>
      <c r="C44" s="290" t="s">
        <v>9</v>
      </c>
      <c r="D44" s="357">
        <v>0</v>
      </c>
      <c r="E44" s="357">
        <v>0.05</v>
      </c>
      <c r="F44" s="357">
        <v>0.1</v>
      </c>
      <c r="G44" s="357">
        <v>0.1</v>
      </c>
      <c r="H44" s="357">
        <v>0.1</v>
      </c>
      <c r="I44" s="357">
        <v>0.1</v>
      </c>
      <c r="J44" s="357">
        <v>0.1</v>
      </c>
      <c r="K44" s="357">
        <v>0.1</v>
      </c>
      <c r="L44" s="357">
        <v>0.1</v>
      </c>
      <c r="M44" s="357">
        <v>0.1</v>
      </c>
      <c r="N44" s="357">
        <v>0.1</v>
      </c>
      <c r="O44" s="357">
        <v>0.05</v>
      </c>
      <c r="P44" s="289">
        <f t="shared" si="2"/>
        <v>0.9999999999999999</v>
      </c>
      <c r="Q44" s="1048" t="s">
        <v>984</v>
      </c>
      <c r="R44" s="1049"/>
      <c r="S44" s="1049"/>
      <c r="T44" s="1049"/>
      <c r="U44" s="1049"/>
      <c r="V44" s="1049"/>
      <c r="W44" s="1049"/>
      <c r="X44" s="1049"/>
      <c r="Y44" s="1049"/>
      <c r="Z44" s="1049"/>
      <c r="AA44" s="1049"/>
      <c r="AB44" s="1049"/>
      <c r="AC44" s="1049"/>
      <c r="AD44" s="1050"/>
      <c r="AE44" s="287"/>
    </row>
    <row r="45" spans="1:31" ht="48" customHeight="1">
      <c r="A45" s="1054"/>
      <c r="B45" s="1047"/>
      <c r="C45" s="288" t="s">
        <v>10</v>
      </c>
      <c r="D45" s="104">
        <v>0</v>
      </c>
      <c r="E45" s="104">
        <v>0.05</v>
      </c>
      <c r="F45" s="104">
        <v>0.1</v>
      </c>
      <c r="G45" s="104">
        <v>0.1</v>
      </c>
      <c r="H45" s="104">
        <v>0.1</v>
      </c>
      <c r="I45" s="104">
        <v>0.1</v>
      </c>
      <c r="J45" s="104">
        <v>0.1</v>
      </c>
      <c r="K45" s="104">
        <v>0.1</v>
      </c>
      <c r="L45" s="104"/>
      <c r="M45" s="108"/>
      <c r="N45" s="108"/>
      <c r="O45" s="104"/>
      <c r="P45" s="289">
        <f t="shared" si="2"/>
        <v>0.6499999999999999</v>
      </c>
      <c r="Q45" s="1055"/>
      <c r="R45" s="1056"/>
      <c r="S45" s="1056"/>
      <c r="T45" s="1056"/>
      <c r="U45" s="1056"/>
      <c r="V45" s="1056"/>
      <c r="W45" s="1056"/>
      <c r="X45" s="1056"/>
      <c r="Y45" s="1056"/>
      <c r="Z45" s="1056"/>
      <c r="AA45" s="1056"/>
      <c r="AB45" s="1056"/>
      <c r="AC45" s="1056"/>
      <c r="AD45" s="1057"/>
      <c r="AE45" s="287"/>
    </row>
    <row r="46" spans="1:31" ht="48" customHeight="1">
      <c r="A46" s="1058" t="s">
        <v>637</v>
      </c>
      <c r="B46" s="1060">
        <f>+$B$34/5</f>
        <v>0.016181724055849465</v>
      </c>
      <c r="C46" s="290" t="s">
        <v>9</v>
      </c>
      <c r="D46" s="357">
        <v>0</v>
      </c>
      <c r="E46" s="357">
        <v>0.05</v>
      </c>
      <c r="F46" s="357">
        <v>0.1</v>
      </c>
      <c r="G46" s="357">
        <v>0.1</v>
      </c>
      <c r="H46" s="357">
        <v>0.1</v>
      </c>
      <c r="I46" s="357">
        <v>0.1</v>
      </c>
      <c r="J46" s="357">
        <v>0.1</v>
      </c>
      <c r="K46" s="357">
        <v>0.1</v>
      </c>
      <c r="L46" s="357">
        <v>0.1</v>
      </c>
      <c r="M46" s="357">
        <v>0.1</v>
      </c>
      <c r="N46" s="357">
        <v>0.1</v>
      </c>
      <c r="O46" s="357">
        <v>0.05</v>
      </c>
      <c r="P46" s="289">
        <f t="shared" si="2"/>
        <v>0.9999999999999999</v>
      </c>
      <c r="Q46" s="1048" t="s">
        <v>985</v>
      </c>
      <c r="R46" s="1049"/>
      <c r="S46" s="1049"/>
      <c r="T46" s="1049"/>
      <c r="U46" s="1049"/>
      <c r="V46" s="1049"/>
      <c r="W46" s="1049"/>
      <c r="X46" s="1049"/>
      <c r="Y46" s="1049"/>
      <c r="Z46" s="1049"/>
      <c r="AA46" s="1049"/>
      <c r="AB46" s="1049"/>
      <c r="AC46" s="1049"/>
      <c r="AD46" s="1050"/>
      <c r="AE46" s="287"/>
    </row>
    <row r="47" spans="1:31" ht="48" customHeight="1" thickBot="1">
      <c r="A47" s="1059"/>
      <c r="B47" s="1061"/>
      <c r="C47" s="285" t="s">
        <v>10</v>
      </c>
      <c r="D47" s="110">
        <v>0</v>
      </c>
      <c r="E47" s="110">
        <v>0.05</v>
      </c>
      <c r="F47" s="110">
        <v>0.1</v>
      </c>
      <c r="G47" s="110">
        <v>0.1</v>
      </c>
      <c r="H47" s="110">
        <v>0.1</v>
      </c>
      <c r="I47" s="110">
        <v>0.1</v>
      </c>
      <c r="J47" s="110">
        <v>0.1</v>
      </c>
      <c r="K47" s="110">
        <v>0.1</v>
      </c>
      <c r="L47" s="110"/>
      <c r="M47" s="111"/>
      <c r="N47" s="111"/>
      <c r="O47" s="111"/>
      <c r="P47" s="291">
        <f t="shared" si="2"/>
        <v>0.6499999999999999</v>
      </c>
      <c r="Q47" s="1062"/>
      <c r="R47" s="1063"/>
      <c r="S47" s="1063"/>
      <c r="T47" s="1063"/>
      <c r="U47" s="1063"/>
      <c r="V47" s="1063"/>
      <c r="W47" s="1063"/>
      <c r="X47" s="1063"/>
      <c r="Y47" s="1063"/>
      <c r="Z47" s="1063"/>
      <c r="AA47" s="1063"/>
      <c r="AB47" s="1063"/>
      <c r="AC47" s="1063"/>
      <c r="AD47" s="1064"/>
      <c r="AE47" s="287"/>
    </row>
    <row r="48" spans="1:33" s="355" customFormat="1" ht="45.75" customHeight="1">
      <c r="A48" s="873" t="s">
        <v>64</v>
      </c>
      <c r="B48" s="874"/>
      <c r="C48" s="350" t="s">
        <v>638</v>
      </c>
      <c r="D48" s="351"/>
      <c r="E48" s="351"/>
      <c r="F48" s="351"/>
      <c r="G48" s="351"/>
      <c r="H48" s="352"/>
      <c r="I48" s="353"/>
      <c r="J48" s="1065" t="s">
        <v>639</v>
      </c>
      <c r="K48" s="1066"/>
      <c r="L48" s="1067"/>
      <c r="M48" s="350" t="s">
        <v>640</v>
      </c>
      <c r="N48" s="351"/>
      <c r="O48" s="351"/>
      <c r="P48" s="351"/>
      <c r="Q48" s="351"/>
      <c r="R48" s="352"/>
      <c r="S48" s="353"/>
      <c r="T48" s="1074" t="s">
        <v>641</v>
      </c>
      <c r="U48" s="1074"/>
      <c r="V48" s="1074"/>
      <c r="W48" s="1074"/>
      <c r="X48" s="350" t="s">
        <v>642</v>
      </c>
      <c r="Y48" s="351"/>
      <c r="Z48" s="351"/>
      <c r="AA48" s="351"/>
      <c r="AB48" s="351"/>
      <c r="AC48" s="352"/>
      <c r="AD48" s="354"/>
      <c r="AF48" s="356"/>
      <c r="AG48" s="356"/>
    </row>
    <row r="49" spans="1:33" s="355" customFormat="1" ht="22.5" customHeight="1">
      <c r="A49" s="876"/>
      <c r="B49" s="877"/>
      <c r="C49" s="1077" t="s">
        <v>643</v>
      </c>
      <c r="D49" s="1078"/>
      <c r="E49" s="1078"/>
      <c r="F49" s="1078"/>
      <c r="G49" s="1078"/>
      <c r="H49" s="1078"/>
      <c r="I49" s="1079"/>
      <c r="J49" s="1068"/>
      <c r="K49" s="1069"/>
      <c r="L49" s="1070"/>
      <c r="M49" s="1077" t="s">
        <v>771</v>
      </c>
      <c r="N49" s="1078"/>
      <c r="O49" s="1078"/>
      <c r="P49" s="1078"/>
      <c r="Q49" s="1078"/>
      <c r="R49" s="1078"/>
      <c r="S49" s="1079"/>
      <c r="T49" s="1075"/>
      <c r="U49" s="1075"/>
      <c r="V49" s="1075"/>
      <c r="W49" s="1075"/>
      <c r="X49" s="1077" t="s">
        <v>771</v>
      </c>
      <c r="Y49" s="1078"/>
      <c r="Z49" s="1078"/>
      <c r="AA49" s="1078"/>
      <c r="AB49" s="1078"/>
      <c r="AC49" s="1078"/>
      <c r="AD49" s="1080"/>
      <c r="AF49" s="356"/>
      <c r="AG49" s="356"/>
    </row>
    <row r="50" spans="1:33" s="355" customFormat="1" ht="22.5" customHeight="1" thickBot="1">
      <c r="A50" s="879"/>
      <c r="B50" s="880"/>
      <c r="C50" s="1081" t="s">
        <v>644</v>
      </c>
      <c r="D50" s="1082"/>
      <c r="E50" s="1082"/>
      <c r="F50" s="1082"/>
      <c r="G50" s="1082"/>
      <c r="H50" s="1082"/>
      <c r="I50" s="1083"/>
      <c r="J50" s="1071"/>
      <c r="K50" s="1072"/>
      <c r="L50" s="1073"/>
      <c r="M50" s="1081" t="s">
        <v>645</v>
      </c>
      <c r="N50" s="1082"/>
      <c r="O50" s="1082"/>
      <c r="P50" s="1082"/>
      <c r="Q50" s="1082"/>
      <c r="R50" s="1082"/>
      <c r="S50" s="1083"/>
      <c r="T50" s="1076"/>
      <c r="U50" s="1076"/>
      <c r="V50" s="1076"/>
      <c r="W50" s="1076"/>
      <c r="X50" s="1081" t="s">
        <v>75</v>
      </c>
      <c r="Y50" s="1082"/>
      <c r="Z50" s="1082"/>
      <c r="AA50" s="1082"/>
      <c r="AB50" s="1082"/>
      <c r="AC50" s="1082"/>
      <c r="AD50" s="1084"/>
      <c r="AF50" s="356"/>
      <c r="AG50" s="356"/>
    </row>
  </sheetData>
  <sheetProtection/>
  <mergeCells count="94">
    <mergeCell ref="A48:B50"/>
    <mergeCell ref="J48:L50"/>
    <mergeCell ref="T48:W50"/>
    <mergeCell ref="C49:I49"/>
    <mergeCell ref="M49:S49"/>
    <mergeCell ref="X49:AD49"/>
    <mergeCell ref="C50:I50"/>
    <mergeCell ref="M50:S50"/>
    <mergeCell ref="X50:AD50"/>
    <mergeCell ref="A44:A45"/>
    <mergeCell ref="B44:B45"/>
    <mergeCell ref="Q44:AD45"/>
    <mergeCell ref="A46:A47"/>
    <mergeCell ref="B46:B47"/>
    <mergeCell ref="Q46:AD4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4:S35"/>
    <mergeCell ref="Q33:S33"/>
    <mergeCell ref="T33:V33"/>
    <mergeCell ref="T34:V35"/>
    <mergeCell ref="B30:C30"/>
    <mergeCell ref="Q30:AD30"/>
    <mergeCell ref="A31:AD31"/>
    <mergeCell ref="A32:A33"/>
    <mergeCell ref="B32:B33"/>
    <mergeCell ref="C32:C33"/>
    <mergeCell ref="D32:P32"/>
    <mergeCell ref="Q32:AD32"/>
    <mergeCell ref="W33:Z33"/>
    <mergeCell ref="AA33:AD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R38:AD47 Q38:Q41 Q44:Q47">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19" r:id="rId4"/>
  <drawing r:id="rId3"/>
  <legacyDrawing r:id="rId2"/>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AY20"/>
  <sheetViews>
    <sheetView view="pageBreakPreview" zoomScale="60" zoomScaleNormal="61" zoomScalePageLayoutView="0" workbookViewId="0" topLeftCell="T9">
      <selection activeCell="AT13" sqref="AT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4.8515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9" width="67.140625" style="113" customWidth="1"/>
    <col min="50" max="50" width="70.421875" style="113" customWidth="1"/>
    <col min="51" max="51" width="38.140625" style="113" customWidth="1"/>
    <col min="52" max="16384" width="10.8515625" style="113" customWidth="1"/>
  </cols>
  <sheetData>
    <row r="1" spans="1:51" ht="15.75" customHeight="1">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708" t="s">
        <v>423</v>
      </c>
      <c r="AY1" s="709"/>
    </row>
    <row r="2" spans="1:51" ht="15.75" customHeight="1">
      <c r="A2" s="768" t="s">
        <v>17</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70"/>
      <c r="AX2" s="756" t="s">
        <v>418</v>
      </c>
      <c r="AY2" s="757"/>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756" t="s">
        <v>424</v>
      </c>
      <c r="AY3" s="757"/>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780</v>
      </c>
      <c r="AY4" s="758"/>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96" t="s">
        <v>71</v>
      </c>
      <c r="B6" s="796"/>
      <c r="C6" s="796"/>
      <c r="D6" s="1085">
        <v>45146</v>
      </c>
      <c r="E6" s="797"/>
      <c r="F6" s="787" t="s">
        <v>67</v>
      </c>
      <c r="G6" s="789"/>
      <c r="H6" s="786" t="s">
        <v>70</v>
      </c>
      <c r="I6" s="786"/>
      <c r="J6" s="128"/>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791"/>
      <c r="AJ6" s="791"/>
      <c r="AK6" s="791"/>
      <c r="AL6" s="791"/>
      <c r="AM6" s="791"/>
      <c r="AN6" s="791"/>
      <c r="AO6" s="791"/>
      <c r="AP6" s="791"/>
      <c r="AQ6" s="791"/>
      <c r="AR6" s="791"/>
      <c r="AS6" s="791"/>
      <c r="AT6" s="791"/>
      <c r="AU6" s="792"/>
      <c r="AV6" s="785"/>
      <c r="AW6" s="785"/>
      <c r="AX6" s="785"/>
      <c r="AY6" s="785"/>
    </row>
    <row r="7" spans="1:51" ht="15" customHeight="1">
      <c r="A7" s="796"/>
      <c r="B7" s="796"/>
      <c r="C7" s="796"/>
      <c r="D7" s="797"/>
      <c r="E7" s="797"/>
      <c r="F7" s="790"/>
      <c r="G7" s="792"/>
      <c r="H7" s="786" t="s">
        <v>68</v>
      </c>
      <c r="I7" s="786"/>
      <c r="J7" s="128"/>
      <c r="K7" s="790"/>
      <c r="L7" s="791"/>
      <c r="M7" s="791"/>
      <c r="N7" s="791"/>
      <c r="O7" s="791"/>
      <c r="P7" s="791"/>
      <c r="Q7" s="791"/>
      <c r="R7" s="791"/>
      <c r="S7" s="791"/>
      <c r="T7" s="791"/>
      <c r="U7" s="791"/>
      <c r="V7" s="116"/>
      <c r="W7" s="116"/>
      <c r="X7" s="116"/>
      <c r="Y7" s="116"/>
      <c r="Z7" s="116"/>
      <c r="AA7" s="116"/>
      <c r="AB7" s="116"/>
      <c r="AC7" s="116"/>
      <c r="AD7" s="116"/>
      <c r="AE7" s="116"/>
      <c r="AF7" s="116"/>
      <c r="AG7" s="117"/>
      <c r="AH7" s="790"/>
      <c r="AI7" s="791"/>
      <c r="AJ7" s="791"/>
      <c r="AK7" s="791"/>
      <c r="AL7" s="791"/>
      <c r="AM7" s="791"/>
      <c r="AN7" s="791"/>
      <c r="AO7" s="791"/>
      <c r="AP7" s="791"/>
      <c r="AQ7" s="791"/>
      <c r="AR7" s="791"/>
      <c r="AS7" s="791"/>
      <c r="AT7" s="791"/>
      <c r="AU7" s="792"/>
      <c r="AV7" s="785"/>
      <c r="AW7" s="785"/>
      <c r="AX7" s="785"/>
      <c r="AY7" s="785"/>
    </row>
    <row r="8" spans="1:51" ht="15" customHeight="1">
      <c r="A8" s="796"/>
      <c r="B8" s="796"/>
      <c r="C8" s="796"/>
      <c r="D8" s="797"/>
      <c r="E8" s="797"/>
      <c r="F8" s="793"/>
      <c r="G8" s="795"/>
      <c r="H8" s="786" t="s">
        <v>69</v>
      </c>
      <c r="I8" s="786"/>
      <c r="J8" s="128" t="s">
        <v>425</v>
      </c>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791"/>
      <c r="AJ8" s="791"/>
      <c r="AK8" s="791"/>
      <c r="AL8" s="791"/>
      <c r="AM8" s="791"/>
      <c r="AN8" s="791"/>
      <c r="AO8" s="791"/>
      <c r="AP8" s="791"/>
      <c r="AQ8" s="791"/>
      <c r="AR8" s="791"/>
      <c r="AS8" s="791"/>
      <c r="AT8" s="791"/>
      <c r="AU8" s="792"/>
      <c r="AV8" s="785"/>
      <c r="AW8" s="785"/>
      <c r="AX8" s="785"/>
      <c r="AY8" s="785"/>
    </row>
    <row r="9" spans="1:51" ht="15" customHeight="1">
      <c r="A9" s="765" t="s">
        <v>399</v>
      </c>
      <c r="B9" s="766"/>
      <c r="C9" s="767"/>
      <c r="D9" s="801"/>
      <c r="E9" s="802"/>
      <c r="F9" s="802"/>
      <c r="G9" s="802"/>
      <c r="H9" s="802"/>
      <c r="I9" s="802"/>
      <c r="J9" s="802"/>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791"/>
      <c r="AJ9" s="791"/>
      <c r="AK9" s="791"/>
      <c r="AL9" s="791"/>
      <c r="AM9" s="791"/>
      <c r="AN9" s="791"/>
      <c r="AO9" s="791"/>
      <c r="AP9" s="791"/>
      <c r="AQ9" s="791"/>
      <c r="AR9" s="791"/>
      <c r="AS9" s="791"/>
      <c r="AT9" s="791"/>
      <c r="AU9" s="792"/>
      <c r="AV9" s="785"/>
      <c r="AW9" s="785"/>
      <c r="AX9" s="785"/>
      <c r="AY9" s="785"/>
    </row>
    <row r="10" spans="1:51" ht="15" customHeight="1">
      <c r="A10" s="798" t="s">
        <v>287</v>
      </c>
      <c r="B10" s="799"/>
      <c r="C10" s="800"/>
      <c r="D10" s="805" t="s">
        <v>500</v>
      </c>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39.7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292" t="s">
        <v>169</v>
      </c>
      <c r="B12" s="292" t="s">
        <v>170</v>
      </c>
      <c r="C12" s="292" t="s">
        <v>171</v>
      </c>
      <c r="D12" s="292" t="s">
        <v>178</v>
      </c>
      <c r="E12" s="292" t="s">
        <v>185</v>
      </c>
      <c r="F12" s="292" t="s">
        <v>186</v>
      </c>
      <c r="G12" s="292" t="s">
        <v>277</v>
      </c>
      <c r="H12" s="292" t="s">
        <v>184</v>
      </c>
      <c r="I12" s="778"/>
      <c r="J12" s="778"/>
      <c r="K12" s="778"/>
      <c r="L12" s="778"/>
      <c r="M12" s="778"/>
      <c r="N12" s="778"/>
      <c r="O12" s="292">
        <v>2020</v>
      </c>
      <c r="P12" s="292">
        <v>2021</v>
      </c>
      <c r="Q12" s="292">
        <v>2022</v>
      </c>
      <c r="R12" s="292">
        <v>2023</v>
      </c>
      <c r="S12" s="292">
        <v>2024</v>
      </c>
      <c r="T12" s="778"/>
      <c r="U12" s="778"/>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78"/>
      <c r="AW12" s="778"/>
      <c r="AX12" s="778"/>
      <c r="AY12" s="778"/>
    </row>
    <row r="13" spans="1:51" ht="392.25" customHeight="1">
      <c r="A13" s="121">
        <v>518</v>
      </c>
      <c r="B13" s="121"/>
      <c r="C13" s="121"/>
      <c r="D13" s="121"/>
      <c r="E13" s="121"/>
      <c r="F13" s="121"/>
      <c r="G13" s="122"/>
      <c r="H13" s="121"/>
      <c r="I13" s="152" t="s">
        <v>647</v>
      </c>
      <c r="J13" s="152" t="s">
        <v>648</v>
      </c>
      <c r="K13" s="396" t="s">
        <v>430</v>
      </c>
      <c r="L13" s="121">
        <v>3</v>
      </c>
      <c r="M13" s="122" t="s">
        <v>649</v>
      </c>
      <c r="N13" s="122" t="s">
        <v>650</v>
      </c>
      <c r="O13" s="238"/>
      <c r="P13" s="238"/>
      <c r="Q13" s="238"/>
      <c r="R13" s="238">
        <v>3</v>
      </c>
      <c r="S13" s="238"/>
      <c r="T13" s="235" t="s">
        <v>433</v>
      </c>
      <c r="U13" s="235" t="s">
        <v>651</v>
      </c>
      <c r="V13" s="358"/>
      <c r="W13" s="358"/>
      <c r="X13" s="359">
        <f>(('[1]Meta 1'!D34+'[1]Meta 1'!E34+'[1]Meta 1'!F34)/'[1]Meta 1'!P34)+(('[1]Meta 2'!D34+'[1]Meta 2'!E34+'[1]Meta 2'!F34)/'[1]Meta 2'!P34)+(('[1]Meta 3'!D34+'[1]Meta 3'!E34+'[1]Meta 3'!F34)/'[1]Meta 3'!P34)</f>
        <v>0.7846666666666667</v>
      </c>
      <c r="Y13" s="358"/>
      <c r="Z13" s="360"/>
      <c r="AA13" s="359">
        <f>+(('[1]Meta 1'!G34+'[1]Meta 1'!H34+'[1]Meta 1'!I34)/'[1]Meta 1'!P34)+(('[1]Meta 2'!G34+'[1]Meta 2'!H34+'[1]Meta 2'!I34)/'[1]Meta 2'!P34)+(('[1]Meta 3'!G34+'[1]Meta 3'!H34+'[1]Meta 3'!I34)/'[1]Meta 3'!P34)</f>
        <v>0.7361666666666666</v>
      </c>
      <c r="AB13" s="497"/>
      <c r="AC13" s="497"/>
      <c r="AD13" s="359">
        <f>(('[1]Meta 1'!J34+'[1]Meta 1'!K34+'[1]Meta 1'!L34)/'[1]Meta 1'!P34)+(('[1]Meta 2'!J34+'[1]Meta 2'!K34+'[1]Meta 2'!L34)/'[1]Meta 2'!P34)+(('[1]Meta 3'!J34+'[1]Meta 3'!K34+'[1]Meta 3'!L34)/'[1]Meta 3'!P34)</f>
        <v>0.7475</v>
      </c>
      <c r="AE13" s="497"/>
      <c r="AF13" s="497"/>
      <c r="AG13" s="359">
        <f>(('[1]Meta 1'!M34+'[1]Meta 1'!N34+'[1]Meta 1'!O34)/'[1]Meta 1'!P34)+(('[1]Meta 2'!M34+'[1]Meta 2'!N34+'[1]Meta 2'!O34)/'[1]Meta 2'!P34)+(('[1]Meta 3'!M34+'[1]Meta 3'!N34+'[1]Meta 3'!O34)/'[1]Meta 3'!P34)</f>
        <v>0.7316666666666667</v>
      </c>
      <c r="AH13" s="521"/>
      <c r="AI13" s="521"/>
      <c r="AJ13" s="472">
        <v>0.78</v>
      </c>
      <c r="AK13" s="521"/>
      <c r="AL13" s="521"/>
      <c r="AM13" s="472">
        <v>0.74</v>
      </c>
      <c r="AN13" s="472">
        <f>+AD13/3</f>
        <v>0.24916666666666668</v>
      </c>
      <c r="AO13" s="124">
        <f>+AD13/3</f>
        <v>0.24916666666666668</v>
      </c>
      <c r="AP13" s="124"/>
      <c r="AQ13" s="124"/>
      <c r="AR13" s="124"/>
      <c r="AS13" s="124"/>
      <c r="AT13" s="440">
        <f>SUM(AH13:AS13)</f>
        <v>2.0183333333333335</v>
      </c>
      <c r="AU13" s="127">
        <f>+AT13/R13</f>
        <v>0.6727777777777778</v>
      </c>
      <c r="AV13" s="474" t="s">
        <v>856</v>
      </c>
      <c r="AW13" s="474" t="s">
        <v>855</v>
      </c>
      <c r="AX13" s="412" t="s">
        <v>450</v>
      </c>
      <c r="AY13" s="412" t="s">
        <v>450</v>
      </c>
    </row>
    <row r="14" spans="1:51" ht="237.75" customHeight="1">
      <c r="A14" s="121"/>
      <c r="B14" s="121"/>
      <c r="C14" s="121"/>
      <c r="D14" s="121"/>
      <c r="E14" s="121" t="s">
        <v>425</v>
      </c>
      <c r="F14" s="121"/>
      <c r="G14" s="122" t="s">
        <v>652</v>
      </c>
      <c r="H14" s="121"/>
      <c r="I14" s="152" t="s">
        <v>653</v>
      </c>
      <c r="J14" s="152" t="s">
        <v>654</v>
      </c>
      <c r="K14" s="122" t="s">
        <v>430</v>
      </c>
      <c r="L14" s="121"/>
      <c r="M14" s="122" t="s">
        <v>437</v>
      </c>
      <c r="N14" s="122" t="s">
        <v>655</v>
      </c>
      <c r="O14" s="238"/>
      <c r="P14" s="238"/>
      <c r="Q14" s="238"/>
      <c r="R14" s="238">
        <v>11</v>
      </c>
      <c r="S14" s="238"/>
      <c r="T14" s="235" t="s">
        <v>439</v>
      </c>
      <c r="U14" s="235" t="s">
        <v>656</v>
      </c>
      <c r="V14" s="358"/>
      <c r="W14" s="358"/>
      <c r="X14" s="361">
        <v>11</v>
      </c>
      <c r="Y14" s="358"/>
      <c r="Z14" s="360"/>
      <c r="AA14" s="359"/>
      <c r="AB14" s="497"/>
      <c r="AC14" s="497"/>
      <c r="AD14" s="359"/>
      <c r="AE14" s="497"/>
      <c r="AF14" s="497"/>
      <c r="AG14" s="359"/>
      <c r="AH14" s="472">
        <v>11</v>
      </c>
      <c r="AI14" s="472"/>
      <c r="AJ14" s="472"/>
      <c r="AK14" s="472"/>
      <c r="AL14" s="472"/>
      <c r="AM14" s="472"/>
      <c r="AN14" s="472"/>
      <c r="AO14" s="124"/>
      <c r="AP14" s="124"/>
      <c r="AQ14" s="124"/>
      <c r="AR14" s="124"/>
      <c r="AS14" s="124"/>
      <c r="AT14" s="124">
        <f>SUM(AH14:AS14)</f>
        <v>11</v>
      </c>
      <c r="AU14" s="127">
        <f>+AT14/R14</f>
        <v>1</v>
      </c>
      <c r="AV14" s="474" t="s">
        <v>856</v>
      </c>
      <c r="AW14" s="495" t="s">
        <v>857</v>
      </c>
      <c r="AX14" s="412" t="s">
        <v>450</v>
      </c>
      <c r="AY14" s="412" t="s">
        <v>450</v>
      </c>
    </row>
    <row r="15" spans="1:51" ht="242.25" customHeight="1">
      <c r="A15" s="121"/>
      <c r="B15" s="121"/>
      <c r="C15" s="121"/>
      <c r="D15" s="121"/>
      <c r="E15" s="121" t="s">
        <v>425</v>
      </c>
      <c r="F15" s="121"/>
      <c r="G15" s="122" t="s">
        <v>652</v>
      </c>
      <c r="H15" s="121"/>
      <c r="I15" s="362" t="s">
        <v>657</v>
      </c>
      <c r="J15" s="362" t="s">
        <v>658</v>
      </c>
      <c r="K15" s="363" t="s">
        <v>430</v>
      </c>
      <c r="L15" s="121"/>
      <c r="M15" s="363" t="s">
        <v>437</v>
      </c>
      <c r="N15" s="122" t="s">
        <v>659</v>
      </c>
      <c r="O15" s="238"/>
      <c r="P15" s="238"/>
      <c r="Q15" s="238"/>
      <c r="R15" s="238">
        <v>132</v>
      </c>
      <c r="S15" s="238"/>
      <c r="T15" s="235" t="s">
        <v>460</v>
      </c>
      <c r="U15" s="235" t="s">
        <v>660</v>
      </c>
      <c r="V15" s="418">
        <v>11</v>
      </c>
      <c r="W15" s="418">
        <v>11</v>
      </c>
      <c r="X15" s="418">
        <v>11</v>
      </c>
      <c r="Y15" s="418">
        <v>11</v>
      </c>
      <c r="Z15" s="418">
        <v>11</v>
      </c>
      <c r="AA15" s="418">
        <v>11</v>
      </c>
      <c r="AB15" s="418">
        <v>11</v>
      </c>
      <c r="AC15" s="418">
        <v>11</v>
      </c>
      <c r="AD15" s="418">
        <v>11</v>
      </c>
      <c r="AE15" s="418">
        <v>11</v>
      </c>
      <c r="AF15" s="418">
        <v>11</v>
      </c>
      <c r="AG15" s="418">
        <v>11</v>
      </c>
      <c r="AH15" s="466">
        <v>11</v>
      </c>
      <c r="AI15" s="472">
        <v>11</v>
      </c>
      <c r="AJ15" s="472">
        <v>11</v>
      </c>
      <c r="AK15" s="472">
        <v>11</v>
      </c>
      <c r="AL15" s="472">
        <v>11</v>
      </c>
      <c r="AM15" s="472">
        <v>11</v>
      </c>
      <c r="AN15" s="472">
        <v>11</v>
      </c>
      <c r="AO15" s="124"/>
      <c r="AP15" s="124"/>
      <c r="AQ15" s="124"/>
      <c r="AR15" s="124"/>
      <c r="AS15" s="124"/>
      <c r="AT15" s="124">
        <f>SUM(AH15:AS15)</f>
        <v>77</v>
      </c>
      <c r="AU15" s="127">
        <f>+AT15/R15</f>
        <v>0.5833333333333334</v>
      </c>
      <c r="AV15" s="475" t="s">
        <v>859</v>
      </c>
      <c r="AW15" s="475" t="s">
        <v>860</v>
      </c>
      <c r="AX15" s="468" t="s">
        <v>858</v>
      </c>
      <c r="AY15" s="468" t="s">
        <v>450</v>
      </c>
    </row>
    <row r="16" spans="1:51" ht="184.5" customHeight="1">
      <c r="A16" s="121"/>
      <c r="B16" s="121"/>
      <c r="C16" s="121"/>
      <c r="D16" s="121"/>
      <c r="E16" s="121" t="s">
        <v>425</v>
      </c>
      <c r="F16" s="121"/>
      <c r="G16" s="122" t="s">
        <v>652</v>
      </c>
      <c r="H16" s="121"/>
      <c r="I16" s="152" t="s">
        <v>661</v>
      </c>
      <c r="J16" s="152" t="s">
        <v>662</v>
      </c>
      <c r="K16" s="122" t="s">
        <v>430</v>
      </c>
      <c r="L16" s="121"/>
      <c r="M16" s="122" t="s">
        <v>437</v>
      </c>
      <c r="N16" s="122" t="s">
        <v>818</v>
      </c>
      <c r="O16" s="238"/>
      <c r="P16" s="238"/>
      <c r="Q16" s="238"/>
      <c r="R16" s="238">
        <v>2</v>
      </c>
      <c r="S16" s="238"/>
      <c r="T16" s="235" t="s">
        <v>455</v>
      </c>
      <c r="U16" s="235" t="s">
        <v>663</v>
      </c>
      <c r="V16" s="418">
        <v>1</v>
      </c>
      <c r="W16" s="418"/>
      <c r="X16" s="418"/>
      <c r="Y16" s="418"/>
      <c r="Z16" s="418"/>
      <c r="AA16" s="418"/>
      <c r="AB16" s="418">
        <v>1</v>
      </c>
      <c r="AC16" s="522"/>
      <c r="AD16" s="419"/>
      <c r="AE16" s="522"/>
      <c r="AF16" s="522"/>
      <c r="AG16" s="419"/>
      <c r="AH16" s="466">
        <v>1</v>
      </c>
      <c r="AI16" s="472"/>
      <c r="AJ16" s="472"/>
      <c r="AK16" s="472"/>
      <c r="AL16" s="472"/>
      <c r="AM16" s="472"/>
      <c r="AN16" s="472">
        <v>1</v>
      </c>
      <c r="AO16" s="124"/>
      <c r="AP16" s="124"/>
      <c r="AQ16" s="124"/>
      <c r="AR16" s="124"/>
      <c r="AS16" s="124"/>
      <c r="AT16" s="124">
        <f>SUM(AH16:AS16)</f>
        <v>2</v>
      </c>
      <c r="AU16" s="127">
        <f>+AT16/R16</f>
        <v>1</v>
      </c>
      <c r="AV16" s="496" t="s">
        <v>861</v>
      </c>
      <c r="AW16" s="475" t="s">
        <v>862</v>
      </c>
      <c r="AX16" s="468" t="s">
        <v>858</v>
      </c>
      <c r="AY16" s="468" t="s">
        <v>450</v>
      </c>
    </row>
    <row r="17" spans="1:51" ht="128.25" customHeight="1">
      <c r="A17" s="121"/>
      <c r="B17" s="121"/>
      <c r="C17" s="121"/>
      <c r="D17" s="121"/>
      <c r="E17" s="121" t="s">
        <v>425</v>
      </c>
      <c r="F17" s="121"/>
      <c r="G17" s="122" t="s">
        <v>652</v>
      </c>
      <c r="H17" s="121"/>
      <c r="I17" s="152" t="s">
        <v>664</v>
      </c>
      <c r="J17" s="152" t="s">
        <v>665</v>
      </c>
      <c r="K17" s="122" t="s">
        <v>430</v>
      </c>
      <c r="L17" s="121"/>
      <c r="M17" s="122" t="s">
        <v>437</v>
      </c>
      <c r="N17" s="122" t="s">
        <v>666</v>
      </c>
      <c r="O17" s="238"/>
      <c r="P17" s="238"/>
      <c r="Q17" s="238"/>
      <c r="R17" s="238">
        <v>1</v>
      </c>
      <c r="S17" s="238"/>
      <c r="T17" s="235" t="s">
        <v>439</v>
      </c>
      <c r="U17" s="235" t="s">
        <v>667</v>
      </c>
      <c r="V17" s="358"/>
      <c r="W17" s="358"/>
      <c r="X17" s="359"/>
      <c r="Y17" s="358"/>
      <c r="Z17" s="360"/>
      <c r="AA17" s="359"/>
      <c r="AB17" s="497"/>
      <c r="AC17" s="497"/>
      <c r="AD17" s="361">
        <v>1</v>
      </c>
      <c r="AE17" s="497"/>
      <c r="AF17" s="497"/>
      <c r="AG17" s="359"/>
      <c r="AH17" s="472"/>
      <c r="AI17" s="472"/>
      <c r="AJ17" s="472"/>
      <c r="AK17" s="472"/>
      <c r="AL17" s="472"/>
      <c r="AM17" s="472"/>
      <c r="AN17" s="472"/>
      <c r="AO17" s="124"/>
      <c r="AP17" s="124"/>
      <c r="AQ17" s="124"/>
      <c r="AR17" s="124"/>
      <c r="AS17" s="124"/>
      <c r="AT17" s="124">
        <f>SUM(AH17:AS17)</f>
        <v>0</v>
      </c>
      <c r="AU17" s="127">
        <f>+AT17/R17</f>
        <v>0</v>
      </c>
      <c r="AV17" s="474" t="s">
        <v>856</v>
      </c>
      <c r="AW17" s="474" t="s">
        <v>856</v>
      </c>
      <c r="AX17" s="412" t="s">
        <v>450</v>
      </c>
      <c r="AY17" s="412" t="s">
        <v>450</v>
      </c>
    </row>
    <row r="18" spans="1:51" ht="54" customHeight="1">
      <c r="A18" s="780" t="s">
        <v>64</v>
      </c>
      <c r="B18" s="780"/>
      <c r="C18" s="780"/>
      <c r="D18" s="776" t="s">
        <v>640</v>
      </c>
      <c r="E18" s="776"/>
      <c r="F18" s="776"/>
      <c r="G18" s="776"/>
      <c r="H18" s="776"/>
      <c r="I18" s="776"/>
      <c r="J18" s="781" t="s">
        <v>300</v>
      </c>
      <c r="K18" s="781"/>
      <c r="L18" s="781"/>
      <c r="M18" s="781"/>
      <c r="N18" s="781"/>
      <c r="O18" s="781"/>
      <c r="P18" s="776" t="s">
        <v>66</v>
      </c>
      <c r="Q18" s="776"/>
      <c r="R18" s="776"/>
      <c r="S18" s="776"/>
      <c r="T18" s="776"/>
      <c r="U18" s="776"/>
      <c r="V18" s="776" t="s">
        <v>66</v>
      </c>
      <c r="W18" s="776"/>
      <c r="X18" s="776"/>
      <c r="Y18" s="776"/>
      <c r="Z18" s="776"/>
      <c r="AA18" s="776"/>
      <c r="AB18" s="776"/>
      <c r="AC18" s="776"/>
      <c r="AD18" s="776" t="s">
        <v>66</v>
      </c>
      <c r="AE18" s="776"/>
      <c r="AF18" s="776"/>
      <c r="AG18" s="776"/>
      <c r="AH18" s="776"/>
      <c r="AI18" s="776"/>
      <c r="AJ18" s="776"/>
      <c r="AK18" s="776"/>
      <c r="AL18" s="776"/>
      <c r="AM18" s="776"/>
      <c r="AN18" s="776"/>
      <c r="AO18" s="776"/>
      <c r="AP18" s="781" t="s">
        <v>318</v>
      </c>
      <c r="AQ18" s="781"/>
      <c r="AR18" s="781"/>
      <c r="AS18" s="781"/>
      <c r="AT18" s="776" t="s">
        <v>13</v>
      </c>
      <c r="AU18" s="776"/>
      <c r="AV18" s="776"/>
      <c r="AW18" s="776"/>
      <c r="AX18" s="776"/>
      <c r="AY18" s="776"/>
    </row>
    <row r="19" spans="1:51" ht="30" customHeight="1">
      <c r="A19" s="780"/>
      <c r="B19" s="780"/>
      <c r="C19" s="780"/>
      <c r="D19" s="776" t="s">
        <v>849</v>
      </c>
      <c r="E19" s="776"/>
      <c r="F19" s="776"/>
      <c r="G19" s="776"/>
      <c r="H19" s="776"/>
      <c r="I19" s="776"/>
      <c r="J19" s="781"/>
      <c r="K19" s="781"/>
      <c r="L19" s="781"/>
      <c r="M19" s="781"/>
      <c r="N19" s="781"/>
      <c r="O19" s="781"/>
      <c r="P19" s="776" t="s">
        <v>643</v>
      </c>
      <c r="Q19" s="776"/>
      <c r="R19" s="776"/>
      <c r="S19" s="776"/>
      <c r="T19" s="776"/>
      <c r="U19" s="776"/>
      <c r="V19" s="776" t="s">
        <v>771</v>
      </c>
      <c r="W19" s="776"/>
      <c r="X19" s="776"/>
      <c r="Y19" s="776"/>
      <c r="Z19" s="776"/>
      <c r="AA19" s="776"/>
      <c r="AB19" s="776"/>
      <c r="AC19" s="776"/>
      <c r="AD19" s="776" t="s">
        <v>65</v>
      </c>
      <c r="AE19" s="776"/>
      <c r="AF19" s="776"/>
      <c r="AG19" s="776"/>
      <c r="AH19" s="776"/>
      <c r="AI19" s="776"/>
      <c r="AJ19" s="776"/>
      <c r="AK19" s="776"/>
      <c r="AL19" s="776"/>
      <c r="AM19" s="776"/>
      <c r="AN19" s="776"/>
      <c r="AO19" s="776"/>
      <c r="AP19" s="781"/>
      <c r="AQ19" s="781"/>
      <c r="AR19" s="781"/>
      <c r="AS19" s="781"/>
      <c r="AT19" s="776" t="s">
        <v>771</v>
      </c>
      <c r="AU19" s="776"/>
      <c r="AV19" s="776"/>
      <c r="AW19" s="776"/>
      <c r="AX19" s="776"/>
      <c r="AY19" s="776"/>
    </row>
    <row r="20" spans="1:51" ht="30" customHeight="1">
      <c r="A20" s="780"/>
      <c r="B20" s="780"/>
      <c r="C20" s="780"/>
      <c r="D20" s="776" t="s">
        <v>850</v>
      </c>
      <c r="E20" s="776"/>
      <c r="F20" s="776"/>
      <c r="G20" s="776"/>
      <c r="H20" s="776"/>
      <c r="I20" s="776"/>
      <c r="J20" s="781"/>
      <c r="K20" s="781"/>
      <c r="L20" s="781"/>
      <c r="M20" s="781"/>
      <c r="N20" s="781"/>
      <c r="O20" s="781"/>
      <c r="P20" s="776" t="s">
        <v>774</v>
      </c>
      <c r="Q20" s="776"/>
      <c r="R20" s="776"/>
      <c r="S20" s="776"/>
      <c r="T20" s="776"/>
      <c r="U20" s="776"/>
      <c r="V20" s="776" t="s">
        <v>645</v>
      </c>
      <c r="W20" s="776"/>
      <c r="X20" s="776"/>
      <c r="Y20" s="776"/>
      <c r="Z20" s="776"/>
      <c r="AA20" s="776"/>
      <c r="AB20" s="776"/>
      <c r="AC20" s="776"/>
      <c r="AD20" s="776" t="s">
        <v>297</v>
      </c>
      <c r="AE20" s="776"/>
      <c r="AF20" s="776"/>
      <c r="AG20" s="776"/>
      <c r="AH20" s="776"/>
      <c r="AI20" s="776"/>
      <c r="AJ20" s="776"/>
      <c r="AK20" s="776"/>
      <c r="AL20" s="776"/>
      <c r="AM20" s="776"/>
      <c r="AN20" s="776"/>
      <c r="AO20" s="776"/>
      <c r="AP20" s="781"/>
      <c r="AQ20" s="781"/>
      <c r="AR20" s="781"/>
      <c r="AS20" s="781"/>
      <c r="AT20" s="776" t="s">
        <v>75</v>
      </c>
      <c r="AU20" s="776"/>
      <c r="AV20" s="776"/>
      <c r="AW20" s="776"/>
      <c r="AX20" s="776"/>
      <c r="AY20" s="776"/>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5" r:id="rId4"/>
  <drawing r:id="rId3"/>
  <legacyDrawing r:id="rId2"/>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AY23"/>
  <sheetViews>
    <sheetView view="pageBreakPreview" zoomScale="60" zoomScaleNormal="80" zoomScalePageLayoutView="0" workbookViewId="0" topLeftCell="A16">
      <selection activeCell="AT13" sqref="AT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3.57421875" style="113" customWidth="1"/>
    <col min="15" max="19" width="8.7109375" style="113" customWidth="1"/>
    <col min="20" max="20" width="22.28125" style="113" customWidth="1"/>
    <col min="21" max="21" width="17.00390625" style="113" customWidth="1"/>
    <col min="22" max="45" width="7.421875" style="113" customWidth="1"/>
    <col min="46" max="46" width="17.140625" style="113" customWidth="1"/>
    <col min="47" max="47" width="15.8515625" style="217" customWidth="1"/>
    <col min="48" max="48" width="63.57421875" style="113" customWidth="1"/>
    <col min="49" max="49" width="73.00390625" style="113" customWidth="1"/>
    <col min="50" max="51" width="42.57421875" style="113" customWidth="1"/>
    <col min="52" max="16384" width="10.8515625" style="113" customWidth="1"/>
  </cols>
  <sheetData>
    <row r="1" spans="1:51" ht="15.75" customHeight="1">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1025" t="s">
        <v>423</v>
      </c>
      <c r="AY1" s="1026"/>
    </row>
    <row r="2" spans="1:51" ht="15.75" customHeight="1">
      <c r="A2" s="1109" t="s">
        <v>17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1"/>
      <c r="AX2" s="1108" t="s">
        <v>418</v>
      </c>
      <c r="AY2" s="1028"/>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1108" t="s">
        <v>424</v>
      </c>
      <c r="AY3" s="1028"/>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1106" t="s">
        <v>781</v>
      </c>
      <c r="AY4" s="1107"/>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87" t="s">
        <v>71</v>
      </c>
      <c r="B6" s="788"/>
      <c r="C6" s="789"/>
      <c r="D6" s="1085">
        <v>45146</v>
      </c>
      <c r="E6" s="797"/>
      <c r="F6" s="787" t="s">
        <v>67</v>
      </c>
      <c r="G6" s="789"/>
      <c r="H6" s="1086" t="s">
        <v>70</v>
      </c>
      <c r="I6" s="1087"/>
      <c r="J6" s="121"/>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791"/>
      <c r="AJ6" s="791"/>
      <c r="AK6" s="791"/>
      <c r="AL6" s="791"/>
      <c r="AM6" s="791"/>
      <c r="AN6" s="791"/>
      <c r="AO6" s="791"/>
      <c r="AP6" s="791"/>
      <c r="AQ6" s="791"/>
      <c r="AR6" s="791"/>
      <c r="AS6" s="791"/>
      <c r="AT6" s="791"/>
      <c r="AU6" s="792"/>
      <c r="AV6" s="785"/>
      <c r="AW6" s="785"/>
      <c r="AX6" s="785"/>
      <c r="AY6" s="785"/>
    </row>
    <row r="7" spans="1:51" ht="15" customHeight="1">
      <c r="A7" s="790"/>
      <c r="B7" s="791"/>
      <c r="C7" s="792"/>
      <c r="D7" s="797"/>
      <c r="E7" s="797"/>
      <c r="F7" s="790"/>
      <c r="G7" s="792"/>
      <c r="H7" s="1086" t="s">
        <v>68</v>
      </c>
      <c r="I7" s="1087"/>
      <c r="J7" s="121"/>
      <c r="K7" s="790"/>
      <c r="L7" s="791"/>
      <c r="M7" s="791"/>
      <c r="N7" s="791"/>
      <c r="O7" s="791"/>
      <c r="P7" s="791"/>
      <c r="Q7" s="791"/>
      <c r="R7" s="791"/>
      <c r="S7" s="791"/>
      <c r="T7" s="791"/>
      <c r="U7" s="791"/>
      <c r="V7" s="231"/>
      <c r="W7" s="231"/>
      <c r="X7" s="231"/>
      <c r="Y7" s="231"/>
      <c r="Z7" s="231"/>
      <c r="AA7" s="231"/>
      <c r="AB7" s="231"/>
      <c r="AC7" s="231"/>
      <c r="AD7" s="231"/>
      <c r="AE7" s="231"/>
      <c r="AF7" s="231"/>
      <c r="AG7" s="117"/>
      <c r="AH7" s="790"/>
      <c r="AI7" s="791"/>
      <c r="AJ7" s="791"/>
      <c r="AK7" s="791"/>
      <c r="AL7" s="791"/>
      <c r="AM7" s="791"/>
      <c r="AN7" s="791"/>
      <c r="AO7" s="791"/>
      <c r="AP7" s="791"/>
      <c r="AQ7" s="791"/>
      <c r="AR7" s="791"/>
      <c r="AS7" s="791"/>
      <c r="AT7" s="791"/>
      <c r="AU7" s="792"/>
      <c r="AV7" s="785"/>
      <c r="AW7" s="785"/>
      <c r="AX7" s="785"/>
      <c r="AY7" s="785"/>
    </row>
    <row r="8" spans="1:51" ht="15" customHeight="1">
      <c r="A8" s="793"/>
      <c r="B8" s="794"/>
      <c r="C8" s="795"/>
      <c r="D8" s="797"/>
      <c r="E8" s="797"/>
      <c r="F8" s="793"/>
      <c r="G8" s="795"/>
      <c r="H8" s="1086" t="s">
        <v>69</v>
      </c>
      <c r="I8" s="1087"/>
      <c r="J8" s="121" t="s">
        <v>425</v>
      </c>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791"/>
      <c r="AJ8" s="791"/>
      <c r="AK8" s="791"/>
      <c r="AL8" s="791"/>
      <c r="AM8" s="791"/>
      <c r="AN8" s="791"/>
      <c r="AO8" s="791"/>
      <c r="AP8" s="791"/>
      <c r="AQ8" s="791"/>
      <c r="AR8" s="791"/>
      <c r="AS8" s="791"/>
      <c r="AT8" s="791"/>
      <c r="AU8" s="792"/>
      <c r="AV8" s="785"/>
      <c r="AW8" s="785"/>
      <c r="AX8" s="785"/>
      <c r="AY8" s="785"/>
    </row>
    <row r="9" spans="1:51" ht="15" customHeight="1">
      <c r="A9" s="798" t="s">
        <v>399</v>
      </c>
      <c r="B9" s="799"/>
      <c r="C9" s="800"/>
      <c r="D9" s="805"/>
      <c r="E9" s="803"/>
      <c r="F9" s="803"/>
      <c r="G9" s="803"/>
      <c r="H9" s="803"/>
      <c r="I9" s="803"/>
      <c r="J9" s="803"/>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791"/>
      <c r="AJ9" s="791"/>
      <c r="AK9" s="791"/>
      <c r="AL9" s="791"/>
      <c r="AM9" s="791"/>
      <c r="AN9" s="791"/>
      <c r="AO9" s="791"/>
      <c r="AP9" s="791"/>
      <c r="AQ9" s="791"/>
      <c r="AR9" s="791"/>
      <c r="AS9" s="791"/>
      <c r="AT9" s="791"/>
      <c r="AU9" s="792"/>
      <c r="AV9" s="785"/>
      <c r="AW9" s="785"/>
      <c r="AX9" s="785"/>
      <c r="AY9" s="785"/>
    </row>
    <row r="10" spans="1:51" ht="15" customHeight="1">
      <c r="A10" s="798" t="s">
        <v>287</v>
      </c>
      <c r="B10" s="799"/>
      <c r="C10" s="800"/>
      <c r="D10" s="805" t="s">
        <v>500</v>
      </c>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70.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409" t="s">
        <v>169</v>
      </c>
      <c r="B12" s="409" t="s">
        <v>170</v>
      </c>
      <c r="C12" s="409" t="s">
        <v>171</v>
      </c>
      <c r="D12" s="409" t="s">
        <v>178</v>
      </c>
      <c r="E12" s="409" t="s">
        <v>185</v>
      </c>
      <c r="F12" s="409" t="s">
        <v>186</v>
      </c>
      <c r="G12" s="409" t="s">
        <v>277</v>
      </c>
      <c r="H12" s="409" t="s">
        <v>184</v>
      </c>
      <c r="I12" s="778"/>
      <c r="J12" s="778"/>
      <c r="K12" s="778"/>
      <c r="L12" s="778"/>
      <c r="M12" s="778"/>
      <c r="N12" s="778"/>
      <c r="O12" s="409">
        <v>2020</v>
      </c>
      <c r="P12" s="409">
        <v>2021</v>
      </c>
      <c r="Q12" s="409">
        <v>2022</v>
      </c>
      <c r="R12" s="409">
        <v>2023</v>
      </c>
      <c r="S12" s="409">
        <v>2024</v>
      </c>
      <c r="T12" s="778"/>
      <c r="U12" s="778"/>
      <c r="V12" s="408" t="s">
        <v>39</v>
      </c>
      <c r="W12" s="408" t="s">
        <v>40</v>
      </c>
      <c r="X12" s="408" t="s">
        <v>41</v>
      </c>
      <c r="Y12" s="408" t="s">
        <v>42</v>
      </c>
      <c r="Z12" s="408" t="s">
        <v>43</v>
      </c>
      <c r="AA12" s="408" t="s">
        <v>44</v>
      </c>
      <c r="AB12" s="408" t="s">
        <v>45</v>
      </c>
      <c r="AC12" s="408" t="s">
        <v>46</v>
      </c>
      <c r="AD12" s="408" t="s">
        <v>47</v>
      </c>
      <c r="AE12" s="408" t="s">
        <v>48</v>
      </c>
      <c r="AF12" s="408" t="s">
        <v>49</v>
      </c>
      <c r="AG12" s="408" t="s">
        <v>50</v>
      </c>
      <c r="AH12" s="408" t="s">
        <v>39</v>
      </c>
      <c r="AI12" s="408" t="s">
        <v>40</v>
      </c>
      <c r="AJ12" s="408" t="s">
        <v>41</v>
      </c>
      <c r="AK12" s="408" t="s">
        <v>42</v>
      </c>
      <c r="AL12" s="408" t="s">
        <v>43</v>
      </c>
      <c r="AM12" s="408" t="s">
        <v>44</v>
      </c>
      <c r="AN12" s="408" t="s">
        <v>45</v>
      </c>
      <c r="AO12" s="408" t="s">
        <v>46</v>
      </c>
      <c r="AP12" s="408" t="s">
        <v>47</v>
      </c>
      <c r="AQ12" s="408" t="s">
        <v>48</v>
      </c>
      <c r="AR12" s="408" t="s">
        <v>49</v>
      </c>
      <c r="AS12" s="408" t="s">
        <v>50</v>
      </c>
      <c r="AT12" s="409" t="s">
        <v>413</v>
      </c>
      <c r="AU12" s="216" t="s">
        <v>88</v>
      </c>
      <c r="AV12" s="778"/>
      <c r="AW12" s="778"/>
      <c r="AX12" s="778"/>
      <c r="AY12" s="778"/>
    </row>
    <row r="13" spans="1:51" ht="168.75" customHeight="1">
      <c r="A13" s="121"/>
      <c r="B13" s="121"/>
      <c r="C13" s="121"/>
      <c r="D13" s="121"/>
      <c r="E13" s="121" t="s">
        <v>425</v>
      </c>
      <c r="F13" s="121"/>
      <c r="G13" s="122" t="s">
        <v>668</v>
      </c>
      <c r="H13" s="122" t="s">
        <v>840</v>
      </c>
      <c r="I13" s="364" t="s">
        <v>669</v>
      </c>
      <c r="J13" s="152" t="s">
        <v>670</v>
      </c>
      <c r="K13" s="122" t="s">
        <v>430</v>
      </c>
      <c r="L13" s="122"/>
      <c r="M13" s="122" t="s">
        <v>431</v>
      </c>
      <c r="N13" s="122" t="s">
        <v>671</v>
      </c>
      <c r="O13" s="123"/>
      <c r="P13" s="123"/>
      <c r="Q13" s="123"/>
      <c r="R13" s="293">
        <v>0.85</v>
      </c>
      <c r="S13" s="123"/>
      <c r="T13" s="235" t="s">
        <v>433</v>
      </c>
      <c r="U13" s="235" t="s">
        <v>672</v>
      </c>
      <c r="V13" s="124"/>
      <c r="W13" s="124"/>
      <c r="X13" s="358">
        <v>0.2</v>
      </c>
      <c r="Y13" s="358"/>
      <c r="Z13" s="358"/>
      <c r="AA13" s="358">
        <v>0.2</v>
      </c>
      <c r="AB13" s="497"/>
      <c r="AC13" s="497"/>
      <c r="AD13" s="497">
        <v>0.2</v>
      </c>
      <c r="AE13" s="497"/>
      <c r="AF13" s="497"/>
      <c r="AG13" s="497">
        <v>0.25</v>
      </c>
      <c r="AH13" s="472"/>
      <c r="AI13" s="472"/>
      <c r="AJ13" s="470">
        <v>0</v>
      </c>
      <c r="AK13" s="472"/>
      <c r="AL13" s="472"/>
      <c r="AM13" s="470">
        <v>0</v>
      </c>
      <c r="AN13" s="472"/>
      <c r="AO13" s="124"/>
      <c r="AP13" s="124"/>
      <c r="AQ13" s="124"/>
      <c r="AR13" s="124"/>
      <c r="AS13" s="124"/>
      <c r="AT13" s="124">
        <f>SUM(AH13:AS13)</f>
        <v>0</v>
      </c>
      <c r="AU13" s="127">
        <f>+AT13/R13</f>
        <v>0</v>
      </c>
      <c r="AV13" s="496" t="s">
        <v>872</v>
      </c>
      <c r="AW13" s="496" t="s">
        <v>863</v>
      </c>
      <c r="AX13" s="498" t="s">
        <v>873</v>
      </c>
      <c r="AY13" s="498" t="s">
        <v>874</v>
      </c>
    </row>
    <row r="14" spans="1:51" ht="168.75" customHeight="1">
      <c r="A14" s="121"/>
      <c r="B14" s="121"/>
      <c r="C14" s="121"/>
      <c r="D14" s="121"/>
      <c r="E14" s="451" t="s">
        <v>425</v>
      </c>
      <c r="F14" s="121"/>
      <c r="G14" s="122" t="s">
        <v>668</v>
      </c>
      <c r="H14" s="122" t="s">
        <v>841</v>
      </c>
      <c r="I14" s="364" t="s">
        <v>669</v>
      </c>
      <c r="J14" s="152" t="s">
        <v>673</v>
      </c>
      <c r="K14" s="122" t="s">
        <v>430</v>
      </c>
      <c r="L14" s="124"/>
      <c r="M14" s="122" t="s">
        <v>431</v>
      </c>
      <c r="N14" s="122" t="s">
        <v>674</v>
      </c>
      <c r="O14" s="124"/>
      <c r="P14" s="124"/>
      <c r="Q14" s="124"/>
      <c r="R14" s="293">
        <v>0.85</v>
      </c>
      <c r="S14" s="124"/>
      <c r="T14" s="235" t="s">
        <v>455</v>
      </c>
      <c r="U14" s="235" t="s">
        <v>675</v>
      </c>
      <c r="V14" s="124"/>
      <c r="W14" s="124"/>
      <c r="X14" s="124"/>
      <c r="Y14" s="124"/>
      <c r="Z14" s="124"/>
      <c r="AA14" s="358">
        <v>0.4</v>
      </c>
      <c r="AB14" s="497"/>
      <c r="AC14" s="497"/>
      <c r="AD14" s="497"/>
      <c r="AE14" s="497"/>
      <c r="AF14" s="497"/>
      <c r="AG14" s="497">
        <v>0.45</v>
      </c>
      <c r="AH14" s="472"/>
      <c r="AI14" s="472"/>
      <c r="AJ14" s="472"/>
      <c r="AK14" s="472"/>
      <c r="AL14" s="472"/>
      <c r="AM14" s="497">
        <v>0</v>
      </c>
      <c r="AN14" s="472"/>
      <c r="AO14" s="124"/>
      <c r="AP14" s="124"/>
      <c r="AQ14" s="124"/>
      <c r="AR14" s="124"/>
      <c r="AS14" s="124"/>
      <c r="AT14" s="124">
        <f aca="true" t="shared" si="0" ref="AT14:AT20">SUM(AH14:AS14)</f>
        <v>0</v>
      </c>
      <c r="AU14" s="127">
        <f aca="true" t="shared" si="1" ref="AU14:AU20">+AT14/R14</f>
        <v>0</v>
      </c>
      <c r="AV14" s="496" t="s">
        <v>872</v>
      </c>
      <c r="AW14" s="496" t="s">
        <v>864</v>
      </c>
      <c r="AX14" s="498" t="s">
        <v>873</v>
      </c>
      <c r="AY14" s="498" t="s">
        <v>874</v>
      </c>
    </row>
    <row r="15" spans="1:51" ht="168.75" customHeight="1">
      <c r="A15" s="121"/>
      <c r="B15" s="121"/>
      <c r="C15" s="121"/>
      <c r="D15" s="121"/>
      <c r="E15" s="451" t="s">
        <v>425</v>
      </c>
      <c r="F15" s="121"/>
      <c r="G15" s="122" t="s">
        <v>668</v>
      </c>
      <c r="H15" s="122" t="s">
        <v>840</v>
      </c>
      <c r="I15" s="308" t="s">
        <v>676</v>
      </c>
      <c r="J15" s="308" t="s">
        <v>677</v>
      </c>
      <c r="K15" s="122" t="s">
        <v>453</v>
      </c>
      <c r="L15" s="124"/>
      <c r="M15" s="122" t="s">
        <v>431</v>
      </c>
      <c r="N15" s="122" t="s">
        <v>678</v>
      </c>
      <c r="O15" s="124"/>
      <c r="P15" s="124"/>
      <c r="Q15" s="124"/>
      <c r="R15" s="244">
        <v>1</v>
      </c>
      <c r="S15" s="124"/>
      <c r="T15" s="235" t="s">
        <v>433</v>
      </c>
      <c r="U15" s="122" t="s">
        <v>679</v>
      </c>
      <c r="V15" s="358"/>
      <c r="W15" s="358"/>
      <c r="X15" s="358">
        <v>1</v>
      </c>
      <c r="Y15" s="358"/>
      <c r="Z15" s="358"/>
      <c r="AA15" s="358">
        <v>1</v>
      </c>
      <c r="AB15" s="497"/>
      <c r="AC15" s="497"/>
      <c r="AD15" s="497">
        <v>1</v>
      </c>
      <c r="AE15" s="497"/>
      <c r="AF15" s="497"/>
      <c r="AG15" s="497">
        <v>1</v>
      </c>
      <c r="AH15" s="472"/>
      <c r="AI15" s="472"/>
      <c r="AJ15" s="470">
        <v>1</v>
      </c>
      <c r="AK15" s="472"/>
      <c r="AL15" s="472"/>
      <c r="AM15" s="470">
        <v>1</v>
      </c>
      <c r="AN15" s="472"/>
      <c r="AO15" s="124"/>
      <c r="AP15" s="124"/>
      <c r="AQ15" s="124"/>
      <c r="AR15" s="124"/>
      <c r="AS15" s="124"/>
      <c r="AT15" s="127">
        <f>SUM(AH15:AS15)</f>
        <v>2</v>
      </c>
      <c r="AU15" s="127">
        <f>+(SUM(AH15:AS15)/+SUM(V15:AG15))</f>
        <v>0.5</v>
      </c>
      <c r="AV15" s="496" t="s">
        <v>872</v>
      </c>
      <c r="AW15" s="499" t="s">
        <v>865</v>
      </c>
      <c r="AX15" s="500" t="s">
        <v>450</v>
      </c>
      <c r="AY15" s="500" t="s">
        <v>450</v>
      </c>
    </row>
    <row r="16" spans="1:51" ht="105">
      <c r="A16" s="121"/>
      <c r="B16" s="121"/>
      <c r="C16" s="121"/>
      <c r="D16" s="121"/>
      <c r="E16" s="451" t="s">
        <v>425</v>
      </c>
      <c r="F16" s="121"/>
      <c r="G16" s="122" t="s">
        <v>668</v>
      </c>
      <c r="H16" s="122" t="s">
        <v>840</v>
      </c>
      <c r="I16" s="308" t="s">
        <v>680</v>
      </c>
      <c r="J16" s="308" t="s">
        <v>681</v>
      </c>
      <c r="K16" s="121" t="s">
        <v>430</v>
      </c>
      <c r="L16" s="124"/>
      <c r="M16" s="122" t="s">
        <v>431</v>
      </c>
      <c r="N16" s="122" t="s">
        <v>682</v>
      </c>
      <c r="O16" s="124"/>
      <c r="P16" s="124"/>
      <c r="Q16" s="124"/>
      <c r="R16" s="244">
        <v>1</v>
      </c>
      <c r="S16" s="124"/>
      <c r="T16" s="235" t="s">
        <v>433</v>
      </c>
      <c r="U16" s="122" t="s">
        <v>683</v>
      </c>
      <c r="V16" s="358"/>
      <c r="W16" s="358"/>
      <c r="X16" s="358">
        <v>0.25</v>
      </c>
      <c r="Y16" s="358"/>
      <c r="Z16" s="358"/>
      <c r="AA16" s="358">
        <v>0.25</v>
      </c>
      <c r="AB16" s="497"/>
      <c r="AC16" s="497"/>
      <c r="AD16" s="497">
        <v>0.25</v>
      </c>
      <c r="AE16" s="497"/>
      <c r="AF16" s="497"/>
      <c r="AG16" s="497">
        <v>0.25</v>
      </c>
      <c r="AH16" s="472"/>
      <c r="AI16" s="472"/>
      <c r="AJ16" s="470">
        <v>0.25</v>
      </c>
      <c r="AK16" s="472"/>
      <c r="AL16" s="472"/>
      <c r="AM16" s="470">
        <v>0.25</v>
      </c>
      <c r="AN16" s="472"/>
      <c r="AO16" s="124"/>
      <c r="AP16" s="124"/>
      <c r="AQ16" s="124"/>
      <c r="AR16" s="124"/>
      <c r="AS16" s="124"/>
      <c r="AT16" s="127">
        <f t="shared" si="0"/>
        <v>0.5</v>
      </c>
      <c r="AU16" s="127">
        <f>+AT16/R16</f>
        <v>0.5</v>
      </c>
      <c r="AV16" s="496" t="s">
        <v>872</v>
      </c>
      <c r="AW16" s="501" t="s">
        <v>866</v>
      </c>
      <c r="AX16" s="500" t="s">
        <v>450</v>
      </c>
      <c r="AY16" s="500" t="s">
        <v>450</v>
      </c>
    </row>
    <row r="17" spans="1:51" ht="168.75" customHeight="1">
      <c r="A17" s="121"/>
      <c r="B17" s="121"/>
      <c r="C17" s="121"/>
      <c r="D17" s="121"/>
      <c r="E17" s="451" t="s">
        <v>425</v>
      </c>
      <c r="F17" s="121"/>
      <c r="G17" s="122" t="s">
        <v>668</v>
      </c>
      <c r="H17" s="122" t="s">
        <v>840</v>
      </c>
      <c r="I17" s="308" t="s">
        <v>684</v>
      </c>
      <c r="J17" s="308" t="s">
        <v>685</v>
      </c>
      <c r="K17" s="121" t="s">
        <v>453</v>
      </c>
      <c r="L17" s="124"/>
      <c r="M17" s="122" t="s">
        <v>431</v>
      </c>
      <c r="N17" s="308" t="s">
        <v>686</v>
      </c>
      <c r="O17" s="124"/>
      <c r="P17" s="124"/>
      <c r="Q17" s="124"/>
      <c r="R17" s="244">
        <v>1</v>
      </c>
      <c r="S17" s="124"/>
      <c r="T17" s="235" t="s">
        <v>460</v>
      </c>
      <c r="U17" s="122" t="s">
        <v>687</v>
      </c>
      <c r="V17" s="358">
        <f>(100/100)*100%</f>
        <v>1</v>
      </c>
      <c r="W17" s="358">
        <f aca="true" t="shared" si="2" ref="W17:AG17">(100/100)*100%</f>
        <v>1</v>
      </c>
      <c r="X17" s="358">
        <f t="shared" si="2"/>
        <v>1</v>
      </c>
      <c r="Y17" s="358">
        <f t="shared" si="2"/>
        <v>1</v>
      </c>
      <c r="Z17" s="358">
        <f t="shared" si="2"/>
        <v>1</v>
      </c>
      <c r="AA17" s="358">
        <f t="shared" si="2"/>
        <v>1</v>
      </c>
      <c r="AB17" s="497">
        <f t="shared" si="2"/>
        <v>1</v>
      </c>
      <c r="AC17" s="497">
        <f t="shared" si="2"/>
        <v>1</v>
      </c>
      <c r="AD17" s="497">
        <f t="shared" si="2"/>
        <v>1</v>
      </c>
      <c r="AE17" s="497">
        <f t="shared" si="2"/>
        <v>1</v>
      </c>
      <c r="AF17" s="497">
        <f t="shared" si="2"/>
        <v>1</v>
      </c>
      <c r="AG17" s="497">
        <f t="shared" si="2"/>
        <v>1</v>
      </c>
      <c r="AH17" s="470">
        <v>0.71</v>
      </c>
      <c r="AI17" s="470">
        <v>0.8212634822804314</v>
      </c>
      <c r="AJ17" s="470">
        <v>0.823394495412844</v>
      </c>
      <c r="AK17" s="470">
        <v>0.84</v>
      </c>
      <c r="AL17" s="470">
        <v>0.7701149425287356</v>
      </c>
      <c r="AM17" s="470">
        <v>0.8154859967051071</v>
      </c>
      <c r="AN17" s="470">
        <v>0.7202680067001676</v>
      </c>
      <c r="AO17" s="124"/>
      <c r="AP17" s="124"/>
      <c r="AQ17" s="124"/>
      <c r="AR17" s="124"/>
      <c r="AS17" s="124"/>
      <c r="AT17" s="127">
        <f>AVERAGE(AH17:AS17)</f>
        <v>0.7857895605181835</v>
      </c>
      <c r="AU17" s="127">
        <f>+(SUM(AH17:AS17)/+SUM(V17:AG17))</f>
        <v>0.45837724363560706</v>
      </c>
      <c r="AV17" s="488" t="s">
        <v>875</v>
      </c>
      <c r="AW17" s="499" t="s">
        <v>876</v>
      </c>
      <c r="AX17" s="502" t="s">
        <v>867</v>
      </c>
      <c r="AY17" s="149" t="s">
        <v>868</v>
      </c>
    </row>
    <row r="18" spans="1:51" ht="168.75" customHeight="1">
      <c r="A18" s="121"/>
      <c r="B18" s="121"/>
      <c r="C18" s="121"/>
      <c r="D18" s="121"/>
      <c r="E18" s="451" t="s">
        <v>425</v>
      </c>
      <c r="F18" s="121"/>
      <c r="G18" s="122" t="s">
        <v>668</v>
      </c>
      <c r="H18" s="122" t="s">
        <v>840</v>
      </c>
      <c r="I18" s="308" t="s">
        <v>688</v>
      </c>
      <c r="J18" s="308" t="s">
        <v>689</v>
      </c>
      <c r="K18" s="121" t="s">
        <v>430</v>
      </c>
      <c r="L18" s="124"/>
      <c r="M18" s="122" t="s">
        <v>431</v>
      </c>
      <c r="N18" s="308" t="s">
        <v>690</v>
      </c>
      <c r="O18" s="124"/>
      <c r="P18" s="124"/>
      <c r="Q18" s="124"/>
      <c r="R18" s="244">
        <v>1</v>
      </c>
      <c r="S18" s="124"/>
      <c r="T18" s="235" t="s">
        <v>455</v>
      </c>
      <c r="U18" s="122" t="s">
        <v>691</v>
      </c>
      <c r="V18" s="358"/>
      <c r="W18" s="358"/>
      <c r="X18" s="358"/>
      <c r="Y18" s="358"/>
      <c r="Z18" s="358"/>
      <c r="AA18" s="358">
        <v>0.5</v>
      </c>
      <c r="AB18" s="497"/>
      <c r="AC18" s="497"/>
      <c r="AD18" s="497"/>
      <c r="AE18" s="497"/>
      <c r="AF18" s="497"/>
      <c r="AG18" s="497">
        <v>0.5</v>
      </c>
      <c r="AH18" s="472"/>
      <c r="AI18" s="472"/>
      <c r="AJ18" s="472"/>
      <c r="AK18" s="472"/>
      <c r="AL18" s="472"/>
      <c r="AM18" s="497">
        <v>0.5</v>
      </c>
      <c r="AN18" s="472"/>
      <c r="AO18" s="124"/>
      <c r="AP18" s="124"/>
      <c r="AQ18" s="124"/>
      <c r="AR18" s="124"/>
      <c r="AS18" s="124"/>
      <c r="AT18" s="465">
        <f t="shared" si="0"/>
        <v>0.5</v>
      </c>
      <c r="AU18" s="127">
        <f t="shared" si="1"/>
        <v>0.5</v>
      </c>
      <c r="AV18" s="496" t="s">
        <v>872</v>
      </c>
      <c r="AW18" s="496" t="s">
        <v>869</v>
      </c>
      <c r="AX18" s="500" t="s">
        <v>450</v>
      </c>
      <c r="AY18" s="500" t="s">
        <v>450</v>
      </c>
    </row>
    <row r="19" spans="1:51" ht="168.75" customHeight="1">
      <c r="A19" s="121"/>
      <c r="B19" s="121"/>
      <c r="C19" s="121"/>
      <c r="D19" s="121"/>
      <c r="E19" s="451" t="s">
        <v>425</v>
      </c>
      <c r="F19" s="121"/>
      <c r="G19" s="122" t="s">
        <v>668</v>
      </c>
      <c r="H19" s="122" t="s">
        <v>840</v>
      </c>
      <c r="I19" s="308" t="s">
        <v>692</v>
      </c>
      <c r="J19" s="308" t="s">
        <v>693</v>
      </c>
      <c r="K19" s="121" t="s">
        <v>430</v>
      </c>
      <c r="L19" s="124"/>
      <c r="M19" s="122" t="s">
        <v>431</v>
      </c>
      <c r="N19" s="308" t="s">
        <v>690</v>
      </c>
      <c r="O19" s="124"/>
      <c r="P19" s="124"/>
      <c r="Q19" s="124"/>
      <c r="R19" s="244">
        <v>1</v>
      </c>
      <c r="S19" s="124"/>
      <c r="T19" s="235" t="s">
        <v>455</v>
      </c>
      <c r="U19" s="122" t="s">
        <v>694</v>
      </c>
      <c r="V19" s="358"/>
      <c r="W19" s="358"/>
      <c r="X19" s="358"/>
      <c r="Y19" s="358"/>
      <c r="Z19" s="358"/>
      <c r="AA19" s="358">
        <v>0.5</v>
      </c>
      <c r="AB19" s="497"/>
      <c r="AC19" s="497"/>
      <c r="AD19" s="497"/>
      <c r="AE19" s="497"/>
      <c r="AF19" s="497"/>
      <c r="AG19" s="497">
        <v>0.5</v>
      </c>
      <c r="AH19" s="472"/>
      <c r="AI19" s="472"/>
      <c r="AJ19" s="472"/>
      <c r="AK19" s="472"/>
      <c r="AL19" s="472"/>
      <c r="AM19" s="497">
        <v>0.5</v>
      </c>
      <c r="AN19" s="472"/>
      <c r="AO19" s="124"/>
      <c r="AP19" s="124"/>
      <c r="AQ19" s="124"/>
      <c r="AR19" s="124"/>
      <c r="AS19" s="124"/>
      <c r="AT19" s="465">
        <f t="shared" si="0"/>
        <v>0.5</v>
      </c>
      <c r="AU19" s="127">
        <f t="shared" si="1"/>
        <v>0.5</v>
      </c>
      <c r="AV19" s="496" t="s">
        <v>872</v>
      </c>
      <c r="AW19" s="496" t="s">
        <v>870</v>
      </c>
      <c r="AX19" s="500" t="s">
        <v>450</v>
      </c>
      <c r="AY19" s="500" t="s">
        <v>450</v>
      </c>
    </row>
    <row r="20" spans="1:51" ht="168.75" customHeight="1">
      <c r="A20" s="121"/>
      <c r="B20" s="121"/>
      <c r="C20" s="121"/>
      <c r="D20" s="121"/>
      <c r="E20" s="451" t="s">
        <v>425</v>
      </c>
      <c r="F20" s="121"/>
      <c r="G20" s="122" t="s">
        <v>668</v>
      </c>
      <c r="H20" s="122" t="s">
        <v>840</v>
      </c>
      <c r="I20" s="308" t="s">
        <v>695</v>
      </c>
      <c r="J20" s="308" t="s">
        <v>696</v>
      </c>
      <c r="K20" s="121" t="s">
        <v>453</v>
      </c>
      <c r="L20" s="124"/>
      <c r="M20" s="122" t="s">
        <v>431</v>
      </c>
      <c r="N20" s="365" t="s">
        <v>697</v>
      </c>
      <c r="O20" s="124"/>
      <c r="P20" s="124"/>
      <c r="Q20" s="124"/>
      <c r="R20" s="244">
        <v>1</v>
      </c>
      <c r="S20" s="124"/>
      <c r="T20" s="235" t="s">
        <v>455</v>
      </c>
      <c r="U20" s="122" t="s">
        <v>698</v>
      </c>
      <c r="V20" s="358"/>
      <c r="W20" s="358"/>
      <c r="X20" s="358"/>
      <c r="Y20" s="358"/>
      <c r="Z20" s="358"/>
      <c r="AA20" s="358">
        <v>1</v>
      </c>
      <c r="AB20" s="497"/>
      <c r="AC20" s="497"/>
      <c r="AD20" s="497"/>
      <c r="AE20" s="497"/>
      <c r="AF20" s="497"/>
      <c r="AG20" s="497">
        <v>1</v>
      </c>
      <c r="AH20" s="472"/>
      <c r="AI20" s="472"/>
      <c r="AJ20" s="472"/>
      <c r="AK20" s="472"/>
      <c r="AL20" s="472"/>
      <c r="AM20" s="497">
        <v>1</v>
      </c>
      <c r="AN20" s="472"/>
      <c r="AO20" s="124"/>
      <c r="AP20" s="124"/>
      <c r="AQ20" s="124"/>
      <c r="AR20" s="124"/>
      <c r="AS20" s="124"/>
      <c r="AT20" s="465">
        <f t="shared" si="0"/>
        <v>1</v>
      </c>
      <c r="AU20" s="127">
        <f t="shared" si="1"/>
        <v>1</v>
      </c>
      <c r="AV20" s="474" t="s">
        <v>872</v>
      </c>
      <c r="AW20" s="474" t="s">
        <v>871</v>
      </c>
      <c r="AX20" s="412" t="s">
        <v>450</v>
      </c>
      <c r="AY20" s="412" t="s">
        <v>450</v>
      </c>
    </row>
    <row r="21" spans="1:51" ht="54" customHeight="1">
      <c r="A21" s="1088" t="s">
        <v>64</v>
      </c>
      <c r="B21" s="1089"/>
      <c r="C21" s="1090"/>
      <c r="D21" s="1077" t="s">
        <v>66</v>
      </c>
      <c r="E21" s="1078"/>
      <c r="F21" s="1078"/>
      <c r="G21" s="1078"/>
      <c r="H21" s="1078"/>
      <c r="I21" s="1079"/>
      <c r="J21" s="1097" t="s">
        <v>300</v>
      </c>
      <c r="K21" s="1098"/>
      <c r="L21" s="1098"/>
      <c r="M21" s="1098"/>
      <c r="N21" s="1098"/>
      <c r="O21" s="1099"/>
      <c r="P21" s="1077" t="s">
        <v>66</v>
      </c>
      <c r="Q21" s="1078"/>
      <c r="R21" s="1078"/>
      <c r="S21" s="1078"/>
      <c r="T21" s="1078"/>
      <c r="U21" s="1079"/>
      <c r="V21" s="1077" t="s">
        <v>66</v>
      </c>
      <c r="W21" s="1078"/>
      <c r="X21" s="1078"/>
      <c r="Y21" s="1078"/>
      <c r="Z21" s="1078"/>
      <c r="AA21" s="1078"/>
      <c r="AB21" s="1078"/>
      <c r="AC21" s="1079"/>
      <c r="AD21" s="1077" t="s">
        <v>66</v>
      </c>
      <c r="AE21" s="1078"/>
      <c r="AF21" s="1078"/>
      <c r="AG21" s="1078"/>
      <c r="AH21" s="1078"/>
      <c r="AI21" s="1078"/>
      <c r="AJ21" s="1078"/>
      <c r="AK21" s="1078"/>
      <c r="AL21" s="1078"/>
      <c r="AM21" s="1078"/>
      <c r="AN21" s="1078"/>
      <c r="AO21" s="1079"/>
      <c r="AP21" s="1097" t="s">
        <v>318</v>
      </c>
      <c r="AQ21" s="1098"/>
      <c r="AR21" s="1098"/>
      <c r="AS21" s="1099"/>
      <c r="AT21" s="1077" t="s">
        <v>13</v>
      </c>
      <c r="AU21" s="1078"/>
      <c r="AV21" s="1078"/>
      <c r="AW21" s="1078"/>
      <c r="AX21" s="1078"/>
      <c r="AY21" s="1079"/>
    </row>
    <row r="22" spans="1:51" ht="30" customHeight="1">
      <c r="A22" s="1091"/>
      <c r="B22" s="1092"/>
      <c r="C22" s="1093"/>
      <c r="D22" s="1077" t="s">
        <v>772</v>
      </c>
      <c r="E22" s="1078"/>
      <c r="F22" s="1078"/>
      <c r="G22" s="1078"/>
      <c r="H22" s="1078"/>
      <c r="I22" s="1079"/>
      <c r="J22" s="1100"/>
      <c r="K22" s="1101"/>
      <c r="L22" s="1101"/>
      <c r="M22" s="1101"/>
      <c r="N22" s="1101"/>
      <c r="O22" s="1102"/>
      <c r="P22" s="1077" t="s">
        <v>771</v>
      </c>
      <c r="Q22" s="1078"/>
      <c r="R22" s="1078"/>
      <c r="S22" s="1078"/>
      <c r="T22" s="1078"/>
      <c r="U22" s="1079"/>
      <c r="V22" s="1077" t="s">
        <v>65</v>
      </c>
      <c r="W22" s="1078"/>
      <c r="X22" s="1078"/>
      <c r="Y22" s="1078"/>
      <c r="Z22" s="1078"/>
      <c r="AA22" s="1078"/>
      <c r="AB22" s="1078"/>
      <c r="AC22" s="1079"/>
      <c r="AD22" s="1077" t="s">
        <v>65</v>
      </c>
      <c r="AE22" s="1078"/>
      <c r="AF22" s="1078"/>
      <c r="AG22" s="1078"/>
      <c r="AH22" s="1078"/>
      <c r="AI22" s="1078"/>
      <c r="AJ22" s="1078"/>
      <c r="AK22" s="1078"/>
      <c r="AL22" s="1078"/>
      <c r="AM22" s="1078"/>
      <c r="AN22" s="1078"/>
      <c r="AO22" s="1079"/>
      <c r="AP22" s="1100"/>
      <c r="AQ22" s="1101"/>
      <c r="AR22" s="1101"/>
      <c r="AS22" s="1102"/>
      <c r="AT22" s="1077" t="s">
        <v>771</v>
      </c>
      <c r="AU22" s="1078"/>
      <c r="AV22" s="1078"/>
      <c r="AW22" s="1078"/>
      <c r="AX22" s="1078"/>
      <c r="AY22" s="1079"/>
    </row>
    <row r="23" spans="1:51" ht="30" customHeight="1">
      <c r="A23" s="1094"/>
      <c r="B23" s="1095"/>
      <c r="C23" s="1096"/>
      <c r="D23" s="1077" t="s">
        <v>773</v>
      </c>
      <c r="E23" s="1078"/>
      <c r="F23" s="1078"/>
      <c r="G23" s="1078"/>
      <c r="H23" s="1078"/>
      <c r="I23" s="1079"/>
      <c r="J23" s="1103"/>
      <c r="K23" s="1104"/>
      <c r="L23" s="1104"/>
      <c r="M23" s="1104"/>
      <c r="N23" s="1104"/>
      <c r="O23" s="1105"/>
      <c r="P23" s="1077" t="s">
        <v>775</v>
      </c>
      <c r="Q23" s="1078"/>
      <c r="R23" s="1078"/>
      <c r="S23" s="1078"/>
      <c r="T23" s="1078"/>
      <c r="U23" s="1079"/>
      <c r="V23" s="1077" t="s">
        <v>297</v>
      </c>
      <c r="W23" s="1078"/>
      <c r="X23" s="1078"/>
      <c r="Y23" s="1078"/>
      <c r="Z23" s="1078"/>
      <c r="AA23" s="1078"/>
      <c r="AB23" s="1078"/>
      <c r="AC23" s="1079"/>
      <c r="AD23" s="1077" t="s">
        <v>297</v>
      </c>
      <c r="AE23" s="1078"/>
      <c r="AF23" s="1078"/>
      <c r="AG23" s="1078"/>
      <c r="AH23" s="1078"/>
      <c r="AI23" s="1078"/>
      <c r="AJ23" s="1078"/>
      <c r="AK23" s="1078"/>
      <c r="AL23" s="1078"/>
      <c r="AM23" s="1078"/>
      <c r="AN23" s="1078"/>
      <c r="AO23" s="1079"/>
      <c r="AP23" s="1103"/>
      <c r="AQ23" s="1104"/>
      <c r="AR23" s="1104"/>
      <c r="AS23" s="1105"/>
      <c r="AT23" s="1077" t="s">
        <v>75</v>
      </c>
      <c r="AU23" s="1078"/>
      <c r="AV23" s="1078"/>
      <c r="AW23" s="1078"/>
      <c r="AX23" s="1078"/>
      <c r="AY23" s="1079"/>
    </row>
  </sheetData>
  <sheetProtection/>
  <mergeCells count="56">
    <mergeCell ref="AX4:AY4"/>
    <mergeCell ref="AX3:AY3"/>
    <mergeCell ref="A3:AW4"/>
    <mergeCell ref="AX2:AY2"/>
    <mergeCell ref="A2:AW2"/>
    <mergeCell ref="D23:I23"/>
    <mergeCell ref="P23:U23"/>
    <mergeCell ref="V23:AC23"/>
    <mergeCell ref="AD23:AO23"/>
    <mergeCell ref="AT23:AY23"/>
    <mergeCell ref="AT21:AY21"/>
    <mergeCell ref="D22:I22"/>
    <mergeCell ref="P22:U22"/>
    <mergeCell ref="V22:AC22"/>
    <mergeCell ref="AD22:AO22"/>
    <mergeCell ref="AT22:AY22"/>
    <mergeCell ref="AH11:AS11"/>
    <mergeCell ref="AT11:AU11"/>
    <mergeCell ref="A21:C23"/>
    <mergeCell ref="D21:I21"/>
    <mergeCell ref="J21:O23"/>
    <mergeCell ref="P21:U21"/>
    <mergeCell ref="V21:AC21"/>
    <mergeCell ref="AD21:AO21"/>
    <mergeCell ref="AP21:AS23"/>
    <mergeCell ref="M11:M12"/>
    <mergeCell ref="A9:C9"/>
    <mergeCell ref="D9:AG9"/>
    <mergeCell ref="A10:C10"/>
    <mergeCell ref="D10:AG10"/>
    <mergeCell ref="N11:N12"/>
    <mergeCell ref="O11:S11"/>
    <mergeCell ref="T11:T12"/>
    <mergeCell ref="U11:U12"/>
    <mergeCell ref="V11:AG11"/>
    <mergeCell ref="A11:F11"/>
    <mergeCell ref="F6:G8"/>
    <mergeCell ref="H6:I6"/>
    <mergeCell ref="L11:L12"/>
    <mergeCell ref="K6:U8"/>
    <mergeCell ref="H7:I7"/>
    <mergeCell ref="H8:I8"/>
    <mergeCell ref="G11:H11"/>
    <mergeCell ref="I11:I12"/>
    <mergeCell ref="J11:J12"/>
    <mergeCell ref="K11:K12"/>
    <mergeCell ref="A1:AW1"/>
    <mergeCell ref="AX1:AY1"/>
    <mergeCell ref="A5:AG5"/>
    <mergeCell ref="AH5:AU10"/>
    <mergeCell ref="AV5:AV12"/>
    <mergeCell ref="AW5:AW12"/>
    <mergeCell ref="AX5:AX12"/>
    <mergeCell ref="AY5:AY12"/>
    <mergeCell ref="A6:C8"/>
    <mergeCell ref="D6:E8"/>
  </mergeCells>
  <printOptions/>
  <pageMargins left="0.7" right="0.7" top="0.75" bottom="0.75" header="0.3" footer="0.3"/>
  <pageSetup fitToHeight="1" fitToWidth="1" horizontalDpi="600" verticalDpi="600" orientation="landscape" scale="16" r:id="rId4"/>
  <drawing r:id="rId3"/>
  <legacyDrawing r:id="rId2"/>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AY21"/>
  <sheetViews>
    <sheetView view="pageBreakPreview" zoomScale="60" zoomScaleNormal="55" zoomScalePageLayoutView="0" workbookViewId="0" topLeftCell="Z15">
      <selection activeCell="AT13" sqref="AT13"/>
    </sheetView>
  </sheetViews>
  <sheetFormatPr defaultColWidth="10.8515625" defaultRowHeight="15"/>
  <cols>
    <col min="1" max="1" width="10.7109375" style="113" customWidth="1"/>
    <col min="2" max="2" width="11.421875" style="113" customWidth="1"/>
    <col min="3" max="3" width="17.28125" style="113" customWidth="1"/>
    <col min="4" max="4" width="8.28125" style="113" customWidth="1"/>
    <col min="5" max="5" width="11.7109375" style="113" customWidth="1"/>
    <col min="6" max="6" width="8.28125" style="113" customWidth="1"/>
    <col min="7" max="7" width="14.7109375" style="113" customWidth="1"/>
    <col min="8" max="8" width="15.57421875" style="113" customWidth="1"/>
    <col min="9" max="9" width="29.28125" style="113" customWidth="1"/>
    <col min="10" max="10" width="26.28125" style="113" customWidth="1"/>
    <col min="11" max="11" width="18.57421875" style="113" customWidth="1"/>
    <col min="12" max="12" width="16.57421875" style="113" customWidth="1"/>
    <col min="13" max="13" width="15.28125" style="113" customWidth="1"/>
    <col min="14" max="14" width="24.7109375" style="113" customWidth="1"/>
    <col min="15" max="19" width="8.7109375" style="113" customWidth="1"/>
    <col min="20" max="20" width="22.28125" style="113" customWidth="1"/>
    <col min="21" max="21" width="26.8515625" style="113" customWidth="1"/>
    <col min="22" max="23" width="7.7109375" style="113" customWidth="1"/>
    <col min="24" max="24" width="7.7109375" style="305" customWidth="1"/>
    <col min="25" max="26" width="7.7109375" style="131" customWidth="1"/>
    <col min="27" max="27" width="7.7109375" style="305" customWidth="1"/>
    <col min="28" max="29" width="7.7109375" style="131" customWidth="1"/>
    <col min="30" max="30" width="7.7109375" style="305" customWidth="1"/>
    <col min="31" max="32" width="7.7109375" style="131" customWidth="1"/>
    <col min="33" max="33" width="7.7109375" style="305" customWidth="1"/>
    <col min="34" max="38" width="7.7109375" style="113" customWidth="1"/>
    <col min="39" max="39" width="7.7109375" style="131" customWidth="1"/>
    <col min="40" max="45" width="7.7109375" style="113" customWidth="1"/>
    <col min="46" max="46" width="16.00390625" style="113" bestFit="1" customWidth="1"/>
    <col min="47" max="47" width="14.140625" style="217" bestFit="1" customWidth="1"/>
    <col min="48" max="49" width="93.8515625" style="113" customWidth="1"/>
    <col min="50" max="51" width="36.140625" style="113" customWidth="1"/>
    <col min="52" max="16384" width="10.8515625" style="113" customWidth="1"/>
  </cols>
  <sheetData>
    <row r="1" spans="1:51" ht="15.75" customHeight="1">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1025" t="s">
        <v>423</v>
      </c>
      <c r="AY1" s="1026"/>
    </row>
    <row r="2" spans="1:51" ht="15.75" customHeight="1">
      <c r="A2" s="1109" t="s">
        <v>17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1"/>
      <c r="AX2" s="1028" t="s">
        <v>418</v>
      </c>
      <c r="AY2" s="1029"/>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1028" t="s">
        <v>424</v>
      </c>
      <c r="AY3" s="1029"/>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782</v>
      </c>
      <c r="AY4" s="758"/>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96" t="s">
        <v>71</v>
      </c>
      <c r="B6" s="796"/>
      <c r="C6" s="796"/>
      <c r="D6" s="1085">
        <v>45146</v>
      </c>
      <c r="E6" s="797"/>
      <c r="F6" s="787" t="s">
        <v>67</v>
      </c>
      <c r="G6" s="789"/>
      <c r="H6" s="1127" t="s">
        <v>70</v>
      </c>
      <c r="I6" s="1127"/>
      <c r="J6" s="121"/>
      <c r="K6" s="787"/>
      <c r="L6" s="788"/>
      <c r="M6" s="788"/>
      <c r="N6" s="788"/>
      <c r="O6" s="788"/>
      <c r="P6" s="788"/>
      <c r="Q6" s="788"/>
      <c r="R6" s="788"/>
      <c r="S6" s="788"/>
      <c r="T6" s="788"/>
      <c r="U6" s="788"/>
      <c r="V6" s="114"/>
      <c r="W6" s="114"/>
      <c r="X6" s="295"/>
      <c r="Y6" s="226"/>
      <c r="Z6" s="226"/>
      <c r="AA6" s="295"/>
      <c r="AB6" s="226"/>
      <c r="AC6" s="226"/>
      <c r="AD6" s="295"/>
      <c r="AE6" s="226"/>
      <c r="AF6" s="226"/>
      <c r="AG6" s="296"/>
      <c r="AH6" s="790"/>
      <c r="AI6" s="1126"/>
      <c r="AJ6" s="1126"/>
      <c r="AK6" s="1126"/>
      <c r="AL6" s="1126"/>
      <c r="AM6" s="1126"/>
      <c r="AN6" s="1126"/>
      <c r="AO6" s="1126"/>
      <c r="AP6" s="1126"/>
      <c r="AQ6" s="1126"/>
      <c r="AR6" s="1126"/>
      <c r="AS6" s="1126"/>
      <c r="AT6" s="1126"/>
      <c r="AU6" s="792"/>
      <c r="AV6" s="785"/>
      <c r="AW6" s="785"/>
      <c r="AX6" s="785"/>
      <c r="AY6" s="785"/>
    </row>
    <row r="7" spans="1:51" ht="15" customHeight="1">
      <c r="A7" s="796"/>
      <c r="B7" s="796"/>
      <c r="C7" s="796"/>
      <c r="D7" s="797"/>
      <c r="E7" s="797"/>
      <c r="F7" s="790"/>
      <c r="G7" s="792"/>
      <c r="H7" s="1127" t="s">
        <v>68</v>
      </c>
      <c r="I7" s="1127"/>
      <c r="J7" s="121"/>
      <c r="K7" s="790"/>
      <c r="L7" s="1126"/>
      <c r="M7" s="1126"/>
      <c r="N7" s="1126"/>
      <c r="O7" s="1126"/>
      <c r="P7" s="1126"/>
      <c r="Q7" s="1126"/>
      <c r="R7" s="1126"/>
      <c r="S7" s="1126"/>
      <c r="T7" s="1126"/>
      <c r="U7" s="1126"/>
      <c r="V7" s="231"/>
      <c r="W7" s="231"/>
      <c r="X7" s="297"/>
      <c r="Y7" s="298"/>
      <c r="Z7" s="298"/>
      <c r="AA7" s="297"/>
      <c r="AB7" s="298"/>
      <c r="AC7" s="298"/>
      <c r="AD7" s="297"/>
      <c r="AE7" s="298"/>
      <c r="AF7" s="298"/>
      <c r="AG7" s="299"/>
      <c r="AH7" s="790"/>
      <c r="AI7" s="1126"/>
      <c r="AJ7" s="1126"/>
      <c r="AK7" s="1126"/>
      <c r="AL7" s="1126"/>
      <c r="AM7" s="1126"/>
      <c r="AN7" s="1126"/>
      <c r="AO7" s="1126"/>
      <c r="AP7" s="1126"/>
      <c r="AQ7" s="1126"/>
      <c r="AR7" s="1126"/>
      <c r="AS7" s="1126"/>
      <c r="AT7" s="1126"/>
      <c r="AU7" s="792"/>
      <c r="AV7" s="785"/>
      <c r="AW7" s="785"/>
      <c r="AX7" s="785"/>
      <c r="AY7" s="785"/>
    </row>
    <row r="8" spans="1:51" ht="15" customHeight="1">
      <c r="A8" s="796"/>
      <c r="B8" s="796"/>
      <c r="C8" s="796"/>
      <c r="D8" s="797"/>
      <c r="E8" s="797"/>
      <c r="F8" s="793"/>
      <c r="G8" s="795"/>
      <c r="H8" s="1127" t="s">
        <v>69</v>
      </c>
      <c r="I8" s="1127"/>
      <c r="J8" s="121" t="s">
        <v>425</v>
      </c>
      <c r="K8" s="793"/>
      <c r="L8" s="794"/>
      <c r="M8" s="794"/>
      <c r="N8" s="794"/>
      <c r="O8" s="794"/>
      <c r="P8" s="794"/>
      <c r="Q8" s="794"/>
      <c r="R8" s="794"/>
      <c r="S8" s="794"/>
      <c r="T8" s="794"/>
      <c r="U8" s="794"/>
      <c r="V8" s="118"/>
      <c r="W8" s="118"/>
      <c r="X8" s="300"/>
      <c r="Y8" s="227"/>
      <c r="Z8" s="227"/>
      <c r="AA8" s="300"/>
      <c r="AB8" s="227"/>
      <c r="AC8" s="227"/>
      <c r="AD8" s="300"/>
      <c r="AE8" s="227"/>
      <c r="AF8" s="227"/>
      <c r="AG8" s="301"/>
      <c r="AH8" s="790"/>
      <c r="AI8" s="1126"/>
      <c r="AJ8" s="1126"/>
      <c r="AK8" s="1126"/>
      <c r="AL8" s="1126"/>
      <c r="AM8" s="1126"/>
      <c r="AN8" s="1126"/>
      <c r="AO8" s="1126"/>
      <c r="AP8" s="1126"/>
      <c r="AQ8" s="1126"/>
      <c r="AR8" s="1126"/>
      <c r="AS8" s="1126"/>
      <c r="AT8" s="1126"/>
      <c r="AU8" s="792"/>
      <c r="AV8" s="785"/>
      <c r="AW8" s="785"/>
      <c r="AX8" s="785"/>
      <c r="AY8" s="785"/>
    </row>
    <row r="9" spans="1:51" ht="15" customHeight="1">
      <c r="A9" s="798" t="s">
        <v>399</v>
      </c>
      <c r="B9" s="799"/>
      <c r="C9" s="800"/>
      <c r="D9" s="801"/>
      <c r="E9" s="802"/>
      <c r="F9" s="802"/>
      <c r="G9" s="802"/>
      <c r="H9" s="802"/>
      <c r="I9" s="802"/>
      <c r="J9" s="802"/>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1126"/>
      <c r="AJ9" s="1126"/>
      <c r="AK9" s="1126"/>
      <c r="AL9" s="1126"/>
      <c r="AM9" s="1126"/>
      <c r="AN9" s="1126"/>
      <c r="AO9" s="1126"/>
      <c r="AP9" s="1126"/>
      <c r="AQ9" s="1126"/>
      <c r="AR9" s="1126"/>
      <c r="AS9" s="1126"/>
      <c r="AT9" s="1126"/>
      <c r="AU9" s="792"/>
      <c r="AV9" s="785"/>
      <c r="AW9" s="785"/>
      <c r="AX9" s="785"/>
      <c r="AY9" s="785"/>
    </row>
    <row r="10" spans="1:51" ht="15" customHeight="1">
      <c r="A10" s="798" t="s">
        <v>287</v>
      </c>
      <c r="B10" s="799"/>
      <c r="C10" s="800"/>
      <c r="D10" s="805" t="s">
        <v>500</v>
      </c>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39.7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120" t="s">
        <v>169</v>
      </c>
      <c r="B12" s="120" t="s">
        <v>170</v>
      </c>
      <c r="C12" s="120" t="s">
        <v>171</v>
      </c>
      <c r="D12" s="120" t="s">
        <v>178</v>
      </c>
      <c r="E12" s="120" t="s">
        <v>185</v>
      </c>
      <c r="F12" s="120" t="s">
        <v>186</v>
      </c>
      <c r="G12" s="120" t="s">
        <v>277</v>
      </c>
      <c r="H12" s="120" t="s">
        <v>184</v>
      </c>
      <c r="I12" s="778"/>
      <c r="J12" s="778"/>
      <c r="K12" s="778"/>
      <c r="L12" s="778"/>
      <c r="M12" s="778"/>
      <c r="N12" s="778"/>
      <c r="O12" s="120">
        <v>2020</v>
      </c>
      <c r="P12" s="120">
        <v>2021</v>
      </c>
      <c r="Q12" s="120">
        <v>2022</v>
      </c>
      <c r="R12" s="120">
        <v>2023</v>
      </c>
      <c r="S12" s="120">
        <v>2024</v>
      </c>
      <c r="T12" s="778"/>
      <c r="U12" s="778"/>
      <c r="V12" s="229" t="s">
        <v>39</v>
      </c>
      <c r="W12" s="229" t="s">
        <v>40</v>
      </c>
      <c r="X12" s="302" t="s">
        <v>41</v>
      </c>
      <c r="Y12" s="229" t="s">
        <v>42</v>
      </c>
      <c r="Z12" s="229" t="s">
        <v>43</v>
      </c>
      <c r="AA12" s="302" t="s">
        <v>44</v>
      </c>
      <c r="AB12" s="229" t="s">
        <v>45</v>
      </c>
      <c r="AC12" s="229" t="s">
        <v>46</v>
      </c>
      <c r="AD12" s="302" t="s">
        <v>47</v>
      </c>
      <c r="AE12" s="229" t="s">
        <v>48</v>
      </c>
      <c r="AF12" s="229" t="s">
        <v>49</v>
      </c>
      <c r="AG12" s="302" t="s">
        <v>50</v>
      </c>
      <c r="AH12" s="229" t="s">
        <v>39</v>
      </c>
      <c r="AI12" s="229" t="s">
        <v>40</v>
      </c>
      <c r="AJ12" s="229" t="s">
        <v>41</v>
      </c>
      <c r="AK12" s="229" t="s">
        <v>42</v>
      </c>
      <c r="AL12" s="229" t="s">
        <v>43</v>
      </c>
      <c r="AM12" s="462" t="s">
        <v>44</v>
      </c>
      <c r="AN12" s="229" t="s">
        <v>45</v>
      </c>
      <c r="AO12" s="229" t="s">
        <v>46</v>
      </c>
      <c r="AP12" s="229" t="s">
        <v>47</v>
      </c>
      <c r="AQ12" s="229" t="s">
        <v>48</v>
      </c>
      <c r="AR12" s="229" t="s">
        <v>49</v>
      </c>
      <c r="AS12" s="229" t="s">
        <v>50</v>
      </c>
      <c r="AT12" s="120" t="s">
        <v>413</v>
      </c>
      <c r="AU12" s="216" t="s">
        <v>88</v>
      </c>
      <c r="AV12" s="778"/>
      <c r="AW12" s="778"/>
      <c r="AX12" s="778"/>
      <c r="AY12" s="778"/>
    </row>
    <row r="13" spans="1:51" ht="389.25" customHeight="1">
      <c r="A13" s="121"/>
      <c r="B13" s="121"/>
      <c r="C13" s="121"/>
      <c r="D13" s="121"/>
      <c r="E13" s="121" t="s">
        <v>425</v>
      </c>
      <c r="F13" s="121"/>
      <c r="G13" s="122" t="s">
        <v>534</v>
      </c>
      <c r="H13" s="122" t="s">
        <v>842</v>
      </c>
      <c r="I13" s="122" t="s">
        <v>535</v>
      </c>
      <c r="J13" s="122" t="s">
        <v>536</v>
      </c>
      <c r="K13" s="122" t="s">
        <v>522</v>
      </c>
      <c r="L13" s="122" t="s">
        <v>480</v>
      </c>
      <c r="M13" s="122" t="s">
        <v>431</v>
      </c>
      <c r="N13" s="122" t="s">
        <v>537</v>
      </c>
      <c r="O13" s="123"/>
      <c r="P13" s="123"/>
      <c r="Q13" s="123"/>
      <c r="R13" s="293">
        <v>0.9</v>
      </c>
      <c r="S13" s="123"/>
      <c r="T13" s="123" t="s">
        <v>538</v>
      </c>
      <c r="U13" s="303" t="s">
        <v>539</v>
      </c>
      <c r="V13" s="124"/>
      <c r="W13" s="124"/>
      <c r="X13" s="304">
        <v>0.08</v>
      </c>
      <c r="Y13" s="121"/>
      <c r="Z13" s="121"/>
      <c r="AA13" s="304">
        <v>0.25</v>
      </c>
      <c r="AB13" s="121"/>
      <c r="AC13" s="121"/>
      <c r="AD13" s="304">
        <v>0.3</v>
      </c>
      <c r="AE13" s="121"/>
      <c r="AF13" s="121"/>
      <c r="AG13" s="304">
        <v>0.27</v>
      </c>
      <c r="AH13" s="124"/>
      <c r="AI13" s="124"/>
      <c r="AJ13" s="304">
        <v>0.07</v>
      </c>
      <c r="AK13" s="124"/>
      <c r="AL13" s="124"/>
      <c r="AM13" s="464">
        <v>0.26</v>
      </c>
      <c r="AN13" s="124"/>
      <c r="AO13" s="124"/>
      <c r="AP13" s="124"/>
      <c r="AQ13" s="124"/>
      <c r="AR13" s="124"/>
      <c r="AS13" s="124"/>
      <c r="AT13" s="452">
        <f>SUM(AH13:AS13)</f>
        <v>0.33</v>
      </c>
      <c r="AU13" s="304">
        <f>+AT13/R13</f>
        <v>0.3666666666666667</v>
      </c>
      <c r="AV13" s="474" t="s">
        <v>872</v>
      </c>
      <c r="AW13" s="474" t="s">
        <v>877</v>
      </c>
      <c r="AX13" s="412" t="s">
        <v>450</v>
      </c>
      <c r="AY13" s="412" t="s">
        <v>450</v>
      </c>
    </row>
    <row r="14" spans="1:51" ht="277.5" customHeight="1">
      <c r="A14" s="1112"/>
      <c r="B14" s="1112"/>
      <c r="C14" s="1112"/>
      <c r="D14" s="1112"/>
      <c r="E14" s="1112" t="s">
        <v>425</v>
      </c>
      <c r="F14" s="1112"/>
      <c r="G14" s="1112" t="s">
        <v>534</v>
      </c>
      <c r="H14" s="1112" t="s">
        <v>540</v>
      </c>
      <c r="I14" s="1112" t="s">
        <v>541</v>
      </c>
      <c r="J14" s="1112" t="s">
        <v>542</v>
      </c>
      <c r="K14" s="1112" t="s">
        <v>522</v>
      </c>
      <c r="L14" s="1112" t="s">
        <v>480</v>
      </c>
      <c r="M14" s="1112" t="s">
        <v>431</v>
      </c>
      <c r="N14" s="1112" t="s">
        <v>543</v>
      </c>
      <c r="O14" s="1112"/>
      <c r="P14" s="1112"/>
      <c r="Q14" s="1112"/>
      <c r="R14" s="1116">
        <v>0.9</v>
      </c>
      <c r="S14" s="1112"/>
      <c r="T14" s="1112" t="s">
        <v>538</v>
      </c>
      <c r="U14" s="1112" t="s">
        <v>539</v>
      </c>
      <c r="V14" s="1118"/>
      <c r="W14" s="1118"/>
      <c r="X14" s="1118">
        <v>0.2</v>
      </c>
      <c r="Y14" s="1118"/>
      <c r="Z14" s="1118"/>
      <c r="AA14" s="1118">
        <v>0.35</v>
      </c>
      <c r="AB14" s="1118"/>
      <c r="AC14" s="1118"/>
      <c r="AD14" s="1118">
        <v>0.25</v>
      </c>
      <c r="AE14" s="1118"/>
      <c r="AF14" s="1118"/>
      <c r="AG14" s="1118">
        <v>0.1</v>
      </c>
      <c r="AH14" s="1118"/>
      <c r="AI14" s="1118"/>
      <c r="AJ14" s="1118">
        <v>0.2</v>
      </c>
      <c r="AK14" s="1118"/>
      <c r="AL14" s="1118"/>
      <c r="AM14" s="1118">
        <v>0.34</v>
      </c>
      <c r="AN14" s="1118"/>
      <c r="AO14" s="1118"/>
      <c r="AP14" s="1118"/>
      <c r="AQ14" s="1118"/>
      <c r="AR14" s="1118"/>
      <c r="AS14" s="1118"/>
      <c r="AT14" s="1118">
        <f>SUM(AH14:AS14)</f>
        <v>0.54</v>
      </c>
      <c r="AU14" s="1118">
        <f>+AT14/R14</f>
        <v>0.6</v>
      </c>
      <c r="AV14" s="1120" t="s">
        <v>872</v>
      </c>
      <c r="AW14" s="1120" t="s">
        <v>878</v>
      </c>
      <c r="AX14" s="1124" t="s">
        <v>879</v>
      </c>
      <c r="AY14" s="1124" t="s">
        <v>880</v>
      </c>
    </row>
    <row r="15" spans="1:51" ht="277.5" customHeight="1">
      <c r="A15" s="1113"/>
      <c r="B15" s="1113"/>
      <c r="C15" s="1113"/>
      <c r="D15" s="1113"/>
      <c r="E15" s="1113"/>
      <c r="F15" s="1113"/>
      <c r="G15" s="1113"/>
      <c r="H15" s="1113"/>
      <c r="I15" s="1113"/>
      <c r="J15" s="1113"/>
      <c r="K15" s="1113"/>
      <c r="L15" s="1113"/>
      <c r="M15" s="1113"/>
      <c r="N15" s="1113"/>
      <c r="O15" s="1113"/>
      <c r="P15" s="1113"/>
      <c r="Q15" s="1113"/>
      <c r="R15" s="1117"/>
      <c r="S15" s="1113"/>
      <c r="T15" s="1113"/>
      <c r="U15" s="1113"/>
      <c r="V15" s="1119"/>
      <c r="W15" s="1119"/>
      <c r="X15" s="1119"/>
      <c r="Y15" s="1119"/>
      <c r="Z15" s="1119"/>
      <c r="AA15" s="1119"/>
      <c r="AB15" s="1119"/>
      <c r="AC15" s="1119"/>
      <c r="AD15" s="1119"/>
      <c r="AE15" s="1119"/>
      <c r="AF15" s="1119"/>
      <c r="AG15" s="1119"/>
      <c r="AH15" s="1119"/>
      <c r="AI15" s="1119"/>
      <c r="AJ15" s="1119"/>
      <c r="AK15" s="1119"/>
      <c r="AL15" s="1119"/>
      <c r="AM15" s="1119"/>
      <c r="AN15" s="1119"/>
      <c r="AO15" s="1119"/>
      <c r="AP15" s="1119"/>
      <c r="AQ15" s="1119"/>
      <c r="AR15" s="1119"/>
      <c r="AS15" s="1119"/>
      <c r="AT15" s="1119"/>
      <c r="AU15" s="1119"/>
      <c r="AV15" s="1121"/>
      <c r="AW15" s="1121"/>
      <c r="AX15" s="1125"/>
      <c r="AY15" s="1125"/>
    </row>
    <row r="16" spans="1:51" ht="264.75" customHeight="1">
      <c r="A16" s="1112"/>
      <c r="B16" s="1112"/>
      <c r="C16" s="1112"/>
      <c r="D16" s="1112"/>
      <c r="E16" s="1112" t="s">
        <v>425</v>
      </c>
      <c r="F16" s="1112"/>
      <c r="G16" s="1112" t="s">
        <v>534</v>
      </c>
      <c r="H16" s="1112" t="s">
        <v>544</v>
      </c>
      <c r="I16" s="1112" t="s">
        <v>545</v>
      </c>
      <c r="J16" s="1112" t="s">
        <v>546</v>
      </c>
      <c r="K16" s="1112" t="s">
        <v>522</v>
      </c>
      <c r="L16" s="1112" t="s">
        <v>480</v>
      </c>
      <c r="M16" s="1112" t="s">
        <v>431</v>
      </c>
      <c r="N16" s="1112" t="s">
        <v>547</v>
      </c>
      <c r="O16" s="1112"/>
      <c r="P16" s="1112"/>
      <c r="Q16" s="1112"/>
      <c r="R16" s="1116">
        <v>0.9</v>
      </c>
      <c r="S16" s="1112"/>
      <c r="T16" s="1114" t="s">
        <v>538</v>
      </c>
      <c r="U16" s="1112" t="s">
        <v>539</v>
      </c>
      <c r="V16" s="1118"/>
      <c r="W16" s="1118"/>
      <c r="X16" s="1118">
        <v>0.17</v>
      </c>
      <c r="Y16" s="1118"/>
      <c r="Z16" s="1118"/>
      <c r="AA16" s="1118">
        <v>0.25</v>
      </c>
      <c r="AB16" s="1118"/>
      <c r="AC16" s="1118"/>
      <c r="AD16" s="1118">
        <v>0.28</v>
      </c>
      <c r="AE16" s="1118"/>
      <c r="AF16" s="1118"/>
      <c r="AG16" s="1118">
        <v>0.2</v>
      </c>
      <c r="AH16" s="1118"/>
      <c r="AI16" s="1118"/>
      <c r="AJ16" s="1118">
        <v>0.16</v>
      </c>
      <c r="AK16" s="1118"/>
      <c r="AL16" s="1118"/>
      <c r="AM16" s="1118">
        <v>0.24</v>
      </c>
      <c r="AN16" s="1118"/>
      <c r="AO16" s="1118"/>
      <c r="AP16" s="1118"/>
      <c r="AQ16" s="1118"/>
      <c r="AR16" s="1118"/>
      <c r="AS16" s="1118"/>
      <c r="AT16" s="1118">
        <f>SUM(AH16:AS16)</f>
        <v>0.4</v>
      </c>
      <c r="AU16" s="1118">
        <f>+AT16/R16</f>
        <v>0.4444444444444445</v>
      </c>
      <c r="AV16" s="1120" t="s">
        <v>872</v>
      </c>
      <c r="AW16" s="1120" t="s">
        <v>881</v>
      </c>
      <c r="AX16" s="1122" t="s">
        <v>882</v>
      </c>
      <c r="AY16" s="1122" t="s">
        <v>883</v>
      </c>
    </row>
    <row r="17" spans="1:51" ht="264.75" customHeight="1">
      <c r="A17" s="1113"/>
      <c r="B17" s="1113"/>
      <c r="C17" s="1113"/>
      <c r="D17" s="1113"/>
      <c r="E17" s="1113"/>
      <c r="F17" s="1113"/>
      <c r="G17" s="1113"/>
      <c r="H17" s="1113"/>
      <c r="I17" s="1113"/>
      <c r="J17" s="1113"/>
      <c r="K17" s="1113"/>
      <c r="L17" s="1113"/>
      <c r="M17" s="1113"/>
      <c r="N17" s="1113"/>
      <c r="O17" s="1113"/>
      <c r="P17" s="1113"/>
      <c r="Q17" s="1113"/>
      <c r="R17" s="1117"/>
      <c r="S17" s="1113"/>
      <c r="T17" s="1115"/>
      <c r="U17" s="1113"/>
      <c r="V17" s="1119"/>
      <c r="W17" s="1119"/>
      <c r="X17" s="1119"/>
      <c r="Y17" s="1119"/>
      <c r="Z17" s="1119"/>
      <c r="AA17" s="1119"/>
      <c r="AB17" s="1119"/>
      <c r="AC17" s="1119"/>
      <c r="AD17" s="1119"/>
      <c r="AE17" s="1119"/>
      <c r="AF17" s="1119"/>
      <c r="AG17" s="1119"/>
      <c r="AH17" s="1119"/>
      <c r="AI17" s="1119"/>
      <c r="AJ17" s="1119"/>
      <c r="AK17" s="1119"/>
      <c r="AL17" s="1119"/>
      <c r="AM17" s="1119"/>
      <c r="AN17" s="1119"/>
      <c r="AO17" s="1119"/>
      <c r="AP17" s="1119"/>
      <c r="AQ17" s="1119"/>
      <c r="AR17" s="1119"/>
      <c r="AS17" s="1119"/>
      <c r="AT17" s="1119"/>
      <c r="AU17" s="1119"/>
      <c r="AV17" s="1121"/>
      <c r="AW17" s="1121"/>
      <c r="AX17" s="1123"/>
      <c r="AY17" s="1123"/>
    </row>
    <row r="18" spans="1:51" ht="401.25" customHeight="1">
      <c r="A18" s="121"/>
      <c r="B18" s="121"/>
      <c r="C18" s="121"/>
      <c r="D18" s="121"/>
      <c r="E18" s="451" t="s">
        <v>425</v>
      </c>
      <c r="F18" s="121"/>
      <c r="G18" s="122" t="s">
        <v>534</v>
      </c>
      <c r="H18" s="122" t="s">
        <v>843</v>
      </c>
      <c r="I18" s="122" t="s">
        <v>548</v>
      </c>
      <c r="J18" s="122" t="s">
        <v>549</v>
      </c>
      <c r="K18" s="121" t="s">
        <v>522</v>
      </c>
      <c r="L18" s="121" t="s">
        <v>480</v>
      </c>
      <c r="M18" s="121" t="s">
        <v>431</v>
      </c>
      <c r="N18" s="122" t="s">
        <v>550</v>
      </c>
      <c r="O18" s="124"/>
      <c r="P18" s="124"/>
      <c r="Q18" s="124"/>
      <c r="R18" s="293">
        <v>1</v>
      </c>
      <c r="S18" s="124"/>
      <c r="T18" s="121" t="s">
        <v>551</v>
      </c>
      <c r="U18" s="303" t="s">
        <v>552</v>
      </c>
      <c r="V18" s="304"/>
      <c r="W18" s="304"/>
      <c r="X18" s="304"/>
      <c r="Y18" s="304">
        <v>0.3</v>
      </c>
      <c r="Z18" s="304"/>
      <c r="AA18" s="304"/>
      <c r="AB18" s="304"/>
      <c r="AC18" s="304">
        <v>0.2</v>
      </c>
      <c r="AD18" s="304"/>
      <c r="AE18" s="304"/>
      <c r="AF18" s="304"/>
      <c r="AG18" s="304">
        <v>0.5</v>
      </c>
      <c r="AH18" s="304"/>
      <c r="AI18" s="304"/>
      <c r="AJ18" s="304"/>
      <c r="AK18" s="304">
        <v>0.3</v>
      </c>
      <c r="AL18" s="304"/>
      <c r="AM18" s="464"/>
      <c r="AN18" s="304"/>
      <c r="AO18" s="304"/>
      <c r="AP18" s="304"/>
      <c r="AQ18" s="304"/>
      <c r="AR18" s="304"/>
      <c r="AS18" s="124"/>
      <c r="AT18" s="452">
        <f>SUM(AH18:AS18)</f>
        <v>0.3</v>
      </c>
      <c r="AU18" s="304">
        <f>+AT18/R18</f>
        <v>0.3</v>
      </c>
      <c r="AV18" s="474" t="s">
        <v>872</v>
      </c>
      <c r="AW18" s="474" t="s">
        <v>884</v>
      </c>
      <c r="AX18" s="412" t="s">
        <v>450</v>
      </c>
      <c r="AY18" s="412" t="s">
        <v>450</v>
      </c>
    </row>
    <row r="19" spans="1:51" ht="54" customHeight="1">
      <c r="A19" s="780" t="s">
        <v>64</v>
      </c>
      <c r="B19" s="780"/>
      <c r="C19" s="780"/>
      <c r="D19" s="776" t="s">
        <v>66</v>
      </c>
      <c r="E19" s="776"/>
      <c r="F19" s="776"/>
      <c r="G19" s="776"/>
      <c r="H19" s="776"/>
      <c r="I19" s="776"/>
      <c r="J19" s="781" t="s">
        <v>300</v>
      </c>
      <c r="K19" s="781"/>
      <c r="L19" s="781"/>
      <c r="M19" s="781"/>
      <c r="N19" s="781"/>
      <c r="O19" s="781"/>
      <c r="P19" s="776" t="s">
        <v>66</v>
      </c>
      <c r="Q19" s="776"/>
      <c r="R19" s="776"/>
      <c r="S19" s="776"/>
      <c r="T19" s="776"/>
      <c r="U19" s="776"/>
      <c r="V19" s="776" t="s">
        <v>66</v>
      </c>
      <c r="W19" s="776"/>
      <c r="X19" s="776"/>
      <c r="Y19" s="776"/>
      <c r="Z19" s="776"/>
      <c r="AA19" s="776"/>
      <c r="AB19" s="776"/>
      <c r="AC19" s="776"/>
      <c r="AD19" s="776" t="s">
        <v>66</v>
      </c>
      <c r="AE19" s="776"/>
      <c r="AF19" s="776"/>
      <c r="AG19" s="776"/>
      <c r="AH19" s="776"/>
      <c r="AI19" s="776"/>
      <c r="AJ19" s="776"/>
      <c r="AK19" s="776"/>
      <c r="AL19" s="776"/>
      <c r="AM19" s="776"/>
      <c r="AN19" s="776"/>
      <c r="AO19" s="776"/>
      <c r="AP19" s="781" t="s">
        <v>318</v>
      </c>
      <c r="AQ19" s="781"/>
      <c r="AR19" s="781"/>
      <c r="AS19" s="781"/>
      <c r="AT19" s="776" t="s">
        <v>13</v>
      </c>
      <c r="AU19" s="776"/>
      <c r="AV19" s="776"/>
      <c r="AW19" s="776"/>
      <c r="AX19" s="776"/>
      <c r="AY19" s="776"/>
    </row>
    <row r="20" spans="1:51" ht="30" customHeight="1">
      <c r="A20" s="780"/>
      <c r="B20" s="780"/>
      <c r="C20" s="780"/>
      <c r="D20" s="776" t="s">
        <v>846</v>
      </c>
      <c r="E20" s="776"/>
      <c r="F20" s="776"/>
      <c r="G20" s="776"/>
      <c r="H20" s="776"/>
      <c r="I20" s="776"/>
      <c r="J20" s="781"/>
      <c r="K20" s="781"/>
      <c r="L20" s="781"/>
      <c r="M20" s="781"/>
      <c r="N20" s="781"/>
      <c r="O20" s="781"/>
      <c r="P20" s="776" t="s">
        <v>813</v>
      </c>
      <c r="Q20" s="776"/>
      <c r="R20" s="776"/>
      <c r="S20" s="776"/>
      <c r="T20" s="776"/>
      <c r="U20" s="776"/>
      <c r="V20" s="776" t="s">
        <v>65</v>
      </c>
      <c r="W20" s="776"/>
      <c r="X20" s="776"/>
      <c r="Y20" s="776"/>
      <c r="Z20" s="776"/>
      <c r="AA20" s="776"/>
      <c r="AB20" s="776"/>
      <c r="AC20" s="776"/>
      <c r="AD20" s="776" t="s">
        <v>65</v>
      </c>
      <c r="AE20" s="776"/>
      <c r="AF20" s="776"/>
      <c r="AG20" s="776"/>
      <c r="AH20" s="776"/>
      <c r="AI20" s="776"/>
      <c r="AJ20" s="776"/>
      <c r="AK20" s="776"/>
      <c r="AL20" s="776"/>
      <c r="AM20" s="776"/>
      <c r="AN20" s="776"/>
      <c r="AO20" s="776"/>
      <c r="AP20" s="781"/>
      <c r="AQ20" s="781"/>
      <c r="AR20" s="781"/>
      <c r="AS20" s="781"/>
      <c r="AT20" s="776" t="s">
        <v>771</v>
      </c>
      <c r="AU20" s="776"/>
      <c r="AV20" s="776"/>
      <c r="AW20" s="776"/>
      <c r="AX20" s="776"/>
      <c r="AY20" s="776"/>
    </row>
    <row r="21" spans="1:51" ht="30" customHeight="1">
      <c r="A21" s="780"/>
      <c r="B21" s="780"/>
      <c r="C21" s="780"/>
      <c r="D21" s="776" t="s">
        <v>847</v>
      </c>
      <c r="E21" s="776"/>
      <c r="F21" s="776"/>
      <c r="G21" s="776"/>
      <c r="H21" s="776"/>
      <c r="I21" s="776"/>
      <c r="J21" s="781"/>
      <c r="K21" s="781"/>
      <c r="L21" s="781"/>
      <c r="M21" s="781"/>
      <c r="N21" s="781"/>
      <c r="O21" s="781"/>
      <c r="P21" s="776" t="s">
        <v>814</v>
      </c>
      <c r="Q21" s="776"/>
      <c r="R21" s="776"/>
      <c r="S21" s="776"/>
      <c r="T21" s="776"/>
      <c r="U21" s="776"/>
      <c r="V21" s="776" t="s">
        <v>297</v>
      </c>
      <c r="W21" s="776"/>
      <c r="X21" s="776"/>
      <c r="Y21" s="776"/>
      <c r="Z21" s="776"/>
      <c r="AA21" s="776"/>
      <c r="AB21" s="776"/>
      <c r="AC21" s="776"/>
      <c r="AD21" s="776" t="s">
        <v>297</v>
      </c>
      <c r="AE21" s="776"/>
      <c r="AF21" s="776"/>
      <c r="AG21" s="776"/>
      <c r="AH21" s="776"/>
      <c r="AI21" s="776"/>
      <c r="AJ21" s="776"/>
      <c r="AK21" s="776"/>
      <c r="AL21" s="776"/>
      <c r="AM21" s="776"/>
      <c r="AN21" s="776"/>
      <c r="AO21" s="776"/>
      <c r="AP21" s="781"/>
      <c r="AQ21" s="781"/>
      <c r="AR21" s="781"/>
      <c r="AS21" s="781"/>
      <c r="AT21" s="776" t="s">
        <v>75</v>
      </c>
      <c r="AU21" s="776"/>
      <c r="AV21" s="776"/>
      <c r="AW21" s="776"/>
      <c r="AX21" s="776"/>
      <c r="AY21" s="776"/>
    </row>
  </sheetData>
  <sheetProtection/>
  <mergeCells count="158">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20:AY20"/>
    <mergeCell ref="AH11:AS11"/>
    <mergeCell ref="AT11:AU11"/>
    <mergeCell ref="A19:C21"/>
    <mergeCell ref="D19:I19"/>
    <mergeCell ref="J19:O21"/>
    <mergeCell ref="P19:U19"/>
    <mergeCell ref="V19:AC19"/>
    <mergeCell ref="AD19:AO19"/>
    <mergeCell ref="AP19:AS21"/>
    <mergeCell ref="D21:I21"/>
    <mergeCell ref="P21:U21"/>
    <mergeCell ref="V21:AC21"/>
    <mergeCell ref="AD21:AO21"/>
    <mergeCell ref="AT21:AY21"/>
    <mergeCell ref="AT19:AY19"/>
    <mergeCell ref="D20:I20"/>
    <mergeCell ref="P20:U20"/>
    <mergeCell ref="V20:AC20"/>
    <mergeCell ref="AD20:AO20"/>
    <mergeCell ref="AW14:AW15"/>
    <mergeCell ref="AV14:AV15"/>
    <mergeCell ref="AX14:AX15"/>
    <mergeCell ref="AY14:AY15"/>
    <mergeCell ref="AU14:A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T14:AT15"/>
    <mergeCell ref="U14:U1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AW16:AW17"/>
    <mergeCell ref="AV16:AV17"/>
    <mergeCell ref="AX16:AX17"/>
    <mergeCell ref="AY16:AY17"/>
    <mergeCell ref="AU16:A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T16:AT17"/>
    <mergeCell ref="U16:U17"/>
    <mergeCell ref="A16:A17"/>
    <mergeCell ref="B16:B17"/>
    <mergeCell ref="C16:C17"/>
    <mergeCell ref="D16:D17"/>
    <mergeCell ref="E16:E17"/>
    <mergeCell ref="F16:F17"/>
    <mergeCell ref="G16:G17"/>
    <mergeCell ref="H16:H17"/>
    <mergeCell ref="I16:I17"/>
    <mergeCell ref="J16:J17"/>
    <mergeCell ref="K16:K17"/>
    <mergeCell ref="L16:L17"/>
    <mergeCell ref="S16:S17"/>
    <mergeCell ref="T16:T17"/>
    <mergeCell ref="M16:M17"/>
    <mergeCell ref="N16:N17"/>
    <mergeCell ref="O16:O17"/>
    <mergeCell ref="P16:P17"/>
    <mergeCell ref="Q16:Q17"/>
    <mergeCell ref="R16:R17"/>
  </mergeCells>
  <printOptions/>
  <pageMargins left="0.7" right="0.7" top="0.75" bottom="0.75" header="0.3" footer="0.3"/>
  <pageSetup fitToHeight="0" fitToWidth="1" horizontalDpi="600" verticalDpi="600" orientation="landscape" scale="15" r:id="rId3"/>
  <legacyDrawing r:id="rId2"/>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Y22"/>
  <sheetViews>
    <sheetView view="pageBreakPreview" zoomScale="60" zoomScaleNormal="70" zoomScalePageLayoutView="0" workbookViewId="0" topLeftCell="H16">
      <selection activeCell="AT13" sqref="AT13"/>
    </sheetView>
  </sheetViews>
  <sheetFormatPr defaultColWidth="10.8515625" defaultRowHeight="15"/>
  <cols>
    <col min="1" max="1" width="16.28125" style="113" customWidth="1"/>
    <col min="2" max="2" width="15.28125" style="113" customWidth="1"/>
    <col min="3" max="3" width="17.28125" style="113" customWidth="1"/>
    <col min="4" max="4" width="8.28125" style="113" customWidth="1"/>
    <col min="5" max="5" width="12.8515625" style="113" customWidth="1"/>
    <col min="6" max="6" width="8.28125" style="113" customWidth="1"/>
    <col min="7" max="8" width="14.7109375" style="113" customWidth="1"/>
    <col min="9" max="10" width="29.28125" style="113" customWidth="1"/>
    <col min="11" max="11" width="16.8515625" style="113" customWidth="1"/>
    <col min="12" max="13" width="15.28125" style="113" customWidth="1"/>
    <col min="14" max="14" width="28.7109375" style="113" customWidth="1"/>
    <col min="15" max="19" width="8.7109375" style="113" customWidth="1"/>
    <col min="20" max="20" width="22.28125" style="113" customWidth="1"/>
    <col min="21" max="21" width="27.28125" style="113" customWidth="1"/>
    <col min="22" max="45" width="7.7109375" style="113" customWidth="1"/>
    <col min="46" max="46" width="17.140625" style="113" customWidth="1"/>
    <col min="47" max="47" width="15.8515625" style="217" customWidth="1"/>
    <col min="48" max="49" width="93.57421875" style="113" customWidth="1"/>
    <col min="50" max="51" width="33.57421875" style="113" customWidth="1"/>
    <col min="52" max="16384" width="10.8515625" style="113" customWidth="1"/>
  </cols>
  <sheetData>
    <row r="1" spans="1:51" ht="15.75" customHeight="1">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1025" t="s">
        <v>18</v>
      </c>
      <c r="AY1" s="1026"/>
    </row>
    <row r="2" spans="1:51" ht="15.75" customHeight="1">
      <c r="A2" s="1109" t="s">
        <v>17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1"/>
      <c r="AX2" s="1028" t="s">
        <v>418</v>
      </c>
      <c r="AY2" s="1029"/>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1028" t="s">
        <v>478</v>
      </c>
      <c r="AY3" s="1029"/>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783</v>
      </c>
      <c r="AY4" s="758"/>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96" t="s">
        <v>71</v>
      </c>
      <c r="B6" s="796"/>
      <c r="C6" s="796"/>
      <c r="D6" s="1085">
        <v>45146</v>
      </c>
      <c r="E6" s="797"/>
      <c r="F6" s="787" t="s">
        <v>67</v>
      </c>
      <c r="G6" s="789"/>
      <c r="H6" s="1127" t="s">
        <v>70</v>
      </c>
      <c r="I6" s="1127"/>
      <c r="J6" s="228"/>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1126"/>
      <c r="AJ6" s="1126"/>
      <c r="AK6" s="1126"/>
      <c r="AL6" s="1126"/>
      <c r="AM6" s="1126"/>
      <c r="AN6" s="1126"/>
      <c r="AO6" s="1126"/>
      <c r="AP6" s="1126"/>
      <c r="AQ6" s="1126"/>
      <c r="AR6" s="1126"/>
      <c r="AS6" s="1126"/>
      <c r="AT6" s="1126"/>
      <c r="AU6" s="792"/>
      <c r="AV6" s="785"/>
      <c r="AW6" s="785"/>
      <c r="AX6" s="785"/>
      <c r="AY6" s="785"/>
    </row>
    <row r="7" spans="1:51" ht="15" customHeight="1">
      <c r="A7" s="796"/>
      <c r="B7" s="796"/>
      <c r="C7" s="796"/>
      <c r="D7" s="797"/>
      <c r="E7" s="797"/>
      <c r="F7" s="790"/>
      <c r="G7" s="792"/>
      <c r="H7" s="1127" t="s">
        <v>68</v>
      </c>
      <c r="I7" s="1127"/>
      <c r="J7" s="121"/>
      <c r="K7" s="790"/>
      <c r="L7" s="1126"/>
      <c r="M7" s="1126"/>
      <c r="N7" s="1126"/>
      <c r="O7" s="1126"/>
      <c r="P7" s="1126"/>
      <c r="Q7" s="1126"/>
      <c r="R7" s="1126"/>
      <c r="S7" s="1126"/>
      <c r="T7" s="1126"/>
      <c r="U7" s="1126"/>
      <c r="V7" s="231"/>
      <c r="W7" s="231"/>
      <c r="X7" s="231"/>
      <c r="Y7" s="231"/>
      <c r="Z7" s="231"/>
      <c r="AA7" s="231"/>
      <c r="AB7" s="231"/>
      <c r="AC7" s="231"/>
      <c r="AD7" s="231"/>
      <c r="AE7" s="231"/>
      <c r="AF7" s="231"/>
      <c r="AG7" s="117"/>
      <c r="AH7" s="790"/>
      <c r="AI7" s="1126"/>
      <c r="AJ7" s="1126"/>
      <c r="AK7" s="1126"/>
      <c r="AL7" s="1126"/>
      <c r="AM7" s="1126"/>
      <c r="AN7" s="1126"/>
      <c r="AO7" s="1126"/>
      <c r="AP7" s="1126"/>
      <c r="AQ7" s="1126"/>
      <c r="AR7" s="1126"/>
      <c r="AS7" s="1126"/>
      <c r="AT7" s="1126"/>
      <c r="AU7" s="792"/>
      <c r="AV7" s="785"/>
      <c r="AW7" s="785"/>
      <c r="AX7" s="785"/>
      <c r="AY7" s="785"/>
    </row>
    <row r="8" spans="1:51" ht="15" customHeight="1">
      <c r="A8" s="796"/>
      <c r="B8" s="796"/>
      <c r="C8" s="796"/>
      <c r="D8" s="797"/>
      <c r="E8" s="797"/>
      <c r="F8" s="793"/>
      <c r="G8" s="795"/>
      <c r="H8" s="1127" t="s">
        <v>69</v>
      </c>
      <c r="I8" s="1127"/>
      <c r="J8" s="121" t="s">
        <v>425</v>
      </c>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1126"/>
      <c r="AJ8" s="1126"/>
      <c r="AK8" s="1126"/>
      <c r="AL8" s="1126"/>
      <c r="AM8" s="1126"/>
      <c r="AN8" s="1126"/>
      <c r="AO8" s="1126"/>
      <c r="AP8" s="1126"/>
      <c r="AQ8" s="1126"/>
      <c r="AR8" s="1126"/>
      <c r="AS8" s="1126"/>
      <c r="AT8" s="1126"/>
      <c r="AU8" s="792"/>
      <c r="AV8" s="785"/>
      <c r="AW8" s="785"/>
      <c r="AX8" s="785"/>
      <c r="AY8" s="785"/>
    </row>
    <row r="9" spans="1:51" ht="15" customHeight="1">
      <c r="A9" s="765" t="s">
        <v>399</v>
      </c>
      <c r="B9" s="766"/>
      <c r="C9" s="767"/>
      <c r="D9" s="759"/>
      <c r="E9" s="760"/>
      <c r="F9" s="760"/>
      <c r="G9" s="760"/>
      <c r="H9" s="760"/>
      <c r="I9" s="760"/>
      <c r="J9" s="760"/>
      <c r="K9" s="1110"/>
      <c r="L9" s="1110"/>
      <c r="M9" s="1110"/>
      <c r="N9" s="1110"/>
      <c r="O9" s="1110"/>
      <c r="P9" s="1110"/>
      <c r="Q9" s="1110"/>
      <c r="R9" s="1110"/>
      <c r="S9" s="1110"/>
      <c r="T9" s="1110"/>
      <c r="U9" s="1110"/>
      <c r="V9" s="1110"/>
      <c r="W9" s="1110"/>
      <c r="X9" s="1110"/>
      <c r="Y9" s="1110"/>
      <c r="Z9" s="1110"/>
      <c r="AA9" s="1110"/>
      <c r="AB9" s="1110"/>
      <c r="AC9" s="1110"/>
      <c r="AD9" s="1110"/>
      <c r="AE9" s="1110"/>
      <c r="AF9" s="1110"/>
      <c r="AG9" s="1111"/>
      <c r="AH9" s="790"/>
      <c r="AI9" s="1126"/>
      <c r="AJ9" s="1126"/>
      <c r="AK9" s="1126"/>
      <c r="AL9" s="1126"/>
      <c r="AM9" s="1126"/>
      <c r="AN9" s="1126"/>
      <c r="AO9" s="1126"/>
      <c r="AP9" s="1126"/>
      <c r="AQ9" s="1126"/>
      <c r="AR9" s="1126"/>
      <c r="AS9" s="1126"/>
      <c r="AT9" s="1126"/>
      <c r="AU9" s="792"/>
      <c r="AV9" s="785"/>
      <c r="AW9" s="785"/>
      <c r="AX9" s="785"/>
      <c r="AY9" s="785"/>
    </row>
    <row r="10" spans="1:51" ht="15" customHeight="1">
      <c r="A10" s="798" t="s">
        <v>287</v>
      </c>
      <c r="B10" s="799"/>
      <c r="C10" s="800"/>
      <c r="D10" s="1109" t="s">
        <v>500</v>
      </c>
      <c r="E10" s="1110"/>
      <c r="F10" s="1110"/>
      <c r="G10" s="1110"/>
      <c r="H10" s="1110"/>
      <c r="I10" s="1110"/>
      <c r="J10" s="1110"/>
      <c r="K10" s="1110"/>
      <c r="L10" s="1110"/>
      <c r="M10" s="1110"/>
      <c r="N10" s="1110"/>
      <c r="O10" s="1110"/>
      <c r="P10" s="1110"/>
      <c r="Q10" s="1110"/>
      <c r="R10" s="1110"/>
      <c r="S10" s="1110"/>
      <c r="T10" s="1110"/>
      <c r="U10" s="1110"/>
      <c r="V10" s="1110"/>
      <c r="W10" s="1110"/>
      <c r="X10" s="1110"/>
      <c r="Y10" s="1110"/>
      <c r="Z10" s="1110"/>
      <c r="AA10" s="1110"/>
      <c r="AB10" s="1110"/>
      <c r="AC10" s="1110"/>
      <c r="AD10" s="1110"/>
      <c r="AE10" s="1110"/>
      <c r="AF10" s="1110"/>
      <c r="AG10" s="1111"/>
      <c r="AH10" s="793"/>
      <c r="AI10" s="794"/>
      <c r="AJ10" s="794"/>
      <c r="AK10" s="794"/>
      <c r="AL10" s="794"/>
      <c r="AM10" s="794"/>
      <c r="AN10" s="794"/>
      <c r="AO10" s="794"/>
      <c r="AP10" s="794"/>
      <c r="AQ10" s="794"/>
      <c r="AR10" s="794"/>
      <c r="AS10" s="794"/>
      <c r="AT10" s="794"/>
      <c r="AU10" s="795"/>
      <c r="AV10" s="785"/>
      <c r="AW10" s="785"/>
      <c r="AX10" s="785"/>
      <c r="AY10" s="785"/>
    </row>
    <row r="11" spans="1:51" ht="39.7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120" t="s">
        <v>169</v>
      </c>
      <c r="B12" s="120" t="s">
        <v>170</v>
      </c>
      <c r="C12" s="120" t="s">
        <v>171</v>
      </c>
      <c r="D12" s="120" t="s">
        <v>178</v>
      </c>
      <c r="E12" s="120" t="s">
        <v>185</v>
      </c>
      <c r="F12" s="120" t="s">
        <v>186</v>
      </c>
      <c r="G12" s="120" t="s">
        <v>277</v>
      </c>
      <c r="H12" s="120" t="s">
        <v>184</v>
      </c>
      <c r="I12" s="778"/>
      <c r="J12" s="778"/>
      <c r="K12" s="778"/>
      <c r="L12" s="778"/>
      <c r="M12" s="778"/>
      <c r="N12" s="778"/>
      <c r="O12" s="120">
        <v>2020</v>
      </c>
      <c r="P12" s="120">
        <v>2021</v>
      </c>
      <c r="Q12" s="120">
        <v>2022</v>
      </c>
      <c r="R12" s="120">
        <v>2023</v>
      </c>
      <c r="S12" s="120">
        <v>2024</v>
      </c>
      <c r="T12" s="778"/>
      <c r="U12" s="778"/>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8"/>
      <c r="AW12" s="778"/>
      <c r="AX12" s="778"/>
      <c r="AY12" s="778"/>
    </row>
    <row r="13" spans="1:51" ht="136.5" customHeight="1">
      <c r="A13" s="128"/>
      <c r="B13" s="121"/>
      <c r="C13" s="121"/>
      <c r="D13" s="121"/>
      <c r="E13" s="121" t="s">
        <v>425</v>
      </c>
      <c r="F13" s="121"/>
      <c r="G13" s="242" t="s">
        <v>479</v>
      </c>
      <c r="H13" s="121" t="s">
        <v>480</v>
      </c>
      <c r="I13" s="122" t="s">
        <v>481</v>
      </c>
      <c r="J13" s="122" t="s">
        <v>760</v>
      </c>
      <c r="K13" s="122" t="s">
        <v>430</v>
      </c>
      <c r="L13" s="121"/>
      <c r="M13" s="243" t="s">
        <v>431</v>
      </c>
      <c r="N13" s="122" t="s">
        <v>482</v>
      </c>
      <c r="O13" s="123"/>
      <c r="P13" s="123"/>
      <c r="Q13" s="123"/>
      <c r="R13" s="244">
        <v>1</v>
      </c>
      <c r="S13" s="244"/>
      <c r="T13" s="235" t="s">
        <v>433</v>
      </c>
      <c r="U13" s="235" t="s">
        <v>483</v>
      </c>
      <c r="V13" s="124"/>
      <c r="W13" s="124"/>
      <c r="X13" s="366">
        <v>0.21</v>
      </c>
      <c r="Y13" s="366"/>
      <c r="Z13" s="366"/>
      <c r="AA13" s="366">
        <v>0.26</v>
      </c>
      <c r="AB13" s="503"/>
      <c r="AC13" s="366"/>
      <c r="AD13" s="366">
        <v>0.28</v>
      </c>
      <c r="AE13" s="366"/>
      <c r="AF13" s="366"/>
      <c r="AG13" s="366">
        <v>0.25</v>
      </c>
      <c r="AH13" s="124"/>
      <c r="AI13" s="124"/>
      <c r="AJ13" s="307">
        <v>0.21</v>
      </c>
      <c r="AK13" s="124"/>
      <c r="AL13" s="124"/>
      <c r="AM13" s="469">
        <v>0.24</v>
      </c>
      <c r="AN13" s="472"/>
      <c r="AO13" s="124"/>
      <c r="AP13" s="124"/>
      <c r="AQ13" s="124"/>
      <c r="AR13" s="124"/>
      <c r="AS13" s="124"/>
      <c r="AT13" s="127">
        <f>SUM(AH13:AS13)</f>
        <v>0.44999999999999996</v>
      </c>
      <c r="AU13" s="127">
        <f aca="true" t="shared" si="0" ref="AU13:AU18">+AT13/R13</f>
        <v>0.44999999999999996</v>
      </c>
      <c r="AV13" s="504" t="s">
        <v>887</v>
      </c>
      <c r="AW13" s="504" t="s">
        <v>889</v>
      </c>
      <c r="AX13" s="491" t="s">
        <v>890</v>
      </c>
      <c r="AY13" s="505" t="s">
        <v>891</v>
      </c>
    </row>
    <row r="14" spans="1:51" ht="76.5" customHeight="1">
      <c r="A14" s="128"/>
      <c r="B14" s="121"/>
      <c r="C14" s="121"/>
      <c r="D14" s="121"/>
      <c r="E14" s="450" t="s">
        <v>425</v>
      </c>
      <c r="F14" s="121"/>
      <c r="G14" s="242" t="s">
        <v>479</v>
      </c>
      <c r="H14" s="121" t="s">
        <v>480</v>
      </c>
      <c r="I14" s="122" t="s">
        <v>484</v>
      </c>
      <c r="J14" s="122" t="s">
        <v>761</v>
      </c>
      <c r="K14" s="121" t="s">
        <v>453</v>
      </c>
      <c r="L14" s="121"/>
      <c r="M14" s="243" t="s">
        <v>431</v>
      </c>
      <c r="N14" s="122" t="s">
        <v>485</v>
      </c>
      <c r="O14" s="124"/>
      <c r="P14" s="124"/>
      <c r="Q14" s="124"/>
      <c r="R14" s="244">
        <v>1</v>
      </c>
      <c r="S14" s="244"/>
      <c r="T14" s="121" t="s">
        <v>460</v>
      </c>
      <c r="U14" s="122" t="s">
        <v>699</v>
      </c>
      <c r="V14" s="366">
        <v>1</v>
      </c>
      <c r="W14" s="366">
        <v>1</v>
      </c>
      <c r="X14" s="366">
        <v>1</v>
      </c>
      <c r="Y14" s="366">
        <v>1</v>
      </c>
      <c r="Z14" s="366">
        <v>1</v>
      </c>
      <c r="AA14" s="366">
        <v>1</v>
      </c>
      <c r="AB14" s="503">
        <v>1</v>
      </c>
      <c r="AC14" s="366">
        <v>1</v>
      </c>
      <c r="AD14" s="366">
        <v>1</v>
      </c>
      <c r="AE14" s="366">
        <v>1</v>
      </c>
      <c r="AF14" s="366">
        <v>1</v>
      </c>
      <c r="AG14" s="366">
        <v>1</v>
      </c>
      <c r="AH14" s="307">
        <v>1</v>
      </c>
      <c r="AI14" s="307">
        <v>1</v>
      </c>
      <c r="AJ14" s="307">
        <v>1</v>
      </c>
      <c r="AK14" s="307">
        <v>1</v>
      </c>
      <c r="AL14" s="307">
        <v>1</v>
      </c>
      <c r="AM14" s="469">
        <v>1</v>
      </c>
      <c r="AN14" s="469">
        <v>1</v>
      </c>
      <c r="AO14" s="124"/>
      <c r="AP14" s="124"/>
      <c r="AQ14" s="124"/>
      <c r="AR14" s="124"/>
      <c r="AS14" s="124"/>
      <c r="AT14" s="307">
        <f>AVERAGE(AH14:AS14)</f>
        <v>1</v>
      </c>
      <c r="AU14" s="127">
        <f t="shared" si="0"/>
        <v>1</v>
      </c>
      <c r="AV14" s="491" t="s">
        <v>892</v>
      </c>
      <c r="AW14" s="491" t="s">
        <v>893</v>
      </c>
      <c r="AX14" s="445" t="s">
        <v>858</v>
      </c>
      <c r="AY14" s="445" t="s">
        <v>450</v>
      </c>
    </row>
    <row r="15" spans="1:51" ht="117" customHeight="1">
      <c r="A15" s="121"/>
      <c r="B15" s="121"/>
      <c r="C15" s="121"/>
      <c r="D15" s="121"/>
      <c r="E15" s="450" t="s">
        <v>425</v>
      </c>
      <c r="F15" s="121"/>
      <c r="G15" s="242" t="s">
        <v>479</v>
      </c>
      <c r="H15" s="121" t="s">
        <v>480</v>
      </c>
      <c r="I15" s="122" t="s">
        <v>486</v>
      </c>
      <c r="J15" s="122" t="s">
        <v>762</v>
      </c>
      <c r="K15" s="121" t="s">
        <v>453</v>
      </c>
      <c r="L15" s="121"/>
      <c r="M15" s="243" t="s">
        <v>431</v>
      </c>
      <c r="N15" s="122" t="s">
        <v>487</v>
      </c>
      <c r="O15" s="124"/>
      <c r="P15" s="124"/>
      <c r="Q15" s="124"/>
      <c r="R15" s="244">
        <v>1</v>
      </c>
      <c r="S15" s="244"/>
      <c r="T15" s="121" t="s">
        <v>460</v>
      </c>
      <c r="U15" s="122" t="s">
        <v>699</v>
      </c>
      <c r="V15" s="366">
        <v>1</v>
      </c>
      <c r="W15" s="366">
        <v>1</v>
      </c>
      <c r="X15" s="366">
        <v>1</v>
      </c>
      <c r="Y15" s="366">
        <v>1</v>
      </c>
      <c r="Z15" s="366">
        <v>1</v>
      </c>
      <c r="AA15" s="366">
        <v>1</v>
      </c>
      <c r="AB15" s="503">
        <v>1</v>
      </c>
      <c r="AC15" s="366">
        <v>1</v>
      </c>
      <c r="AD15" s="366">
        <v>1</v>
      </c>
      <c r="AE15" s="366">
        <v>1</v>
      </c>
      <c r="AF15" s="366">
        <v>1</v>
      </c>
      <c r="AG15" s="366">
        <v>1</v>
      </c>
      <c r="AH15" s="307">
        <v>1</v>
      </c>
      <c r="AI15" s="307">
        <v>1</v>
      </c>
      <c r="AJ15" s="307">
        <v>1</v>
      </c>
      <c r="AK15" s="307">
        <v>1</v>
      </c>
      <c r="AL15" s="307">
        <v>1</v>
      </c>
      <c r="AM15" s="469">
        <v>1</v>
      </c>
      <c r="AN15" s="469">
        <v>1</v>
      </c>
      <c r="AO15" s="124"/>
      <c r="AP15" s="124"/>
      <c r="AQ15" s="124"/>
      <c r="AR15" s="124"/>
      <c r="AS15" s="124"/>
      <c r="AT15" s="307">
        <f>AVERAGE(AH15:AS15)</f>
        <v>1</v>
      </c>
      <c r="AU15" s="127">
        <f t="shared" si="0"/>
        <v>1</v>
      </c>
      <c r="AV15" s="491" t="s">
        <v>894</v>
      </c>
      <c r="AW15" s="491" t="s">
        <v>895</v>
      </c>
      <c r="AX15" s="445" t="s">
        <v>858</v>
      </c>
      <c r="AY15" s="445" t="s">
        <v>450</v>
      </c>
    </row>
    <row r="16" spans="1:51" ht="273.75" customHeight="1">
      <c r="A16" s="121"/>
      <c r="B16" s="121"/>
      <c r="C16" s="121"/>
      <c r="D16" s="121"/>
      <c r="E16" s="450" t="s">
        <v>425</v>
      </c>
      <c r="F16" s="121"/>
      <c r="G16" s="242" t="s">
        <v>479</v>
      </c>
      <c r="H16" s="121" t="s">
        <v>480</v>
      </c>
      <c r="I16" s="122" t="s">
        <v>488</v>
      </c>
      <c r="J16" s="122" t="s">
        <v>763</v>
      </c>
      <c r="K16" s="121" t="s">
        <v>430</v>
      </c>
      <c r="L16" s="124"/>
      <c r="M16" s="243" t="s">
        <v>431</v>
      </c>
      <c r="N16" s="122" t="s">
        <v>489</v>
      </c>
      <c r="O16" s="124"/>
      <c r="P16" s="124"/>
      <c r="Q16" s="124"/>
      <c r="R16" s="244">
        <v>1</v>
      </c>
      <c r="S16" s="244"/>
      <c r="T16" s="121" t="s">
        <v>460</v>
      </c>
      <c r="U16" s="122" t="s">
        <v>490</v>
      </c>
      <c r="V16" s="366">
        <v>1</v>
      </c>
      <c r="W16" s="366">
        <v>1</v>
      </c>
      <c r="X16" s="366">
        <v>1</v>
      </c>
      <c r="Y16" s="366">
        <v>1</v>
      </c>
      <c r="Z16" s="366">
        <v>1</v>
      </c>
      <c r="AA16" s="366">
        <v>1</v>
      </c>
      <c r="AB16" s="503">
        <v>1</v>
      </c>
      <c r="AC16" s="366">
        <v>1</v>
      </c>
      <c r="AD16" s="366">
        <v>1</v>
      </c>
      <c r="AE16" s="366">
        <v>1</v>
      </c>
      <c r="AF16" s="366">
        <v>1</v>
      </c>
      <c r="AG16" s="366">
        <v>1</v>
      </c>
      <c r="AH16" s="307">
        <v>1</v>
      </c>
      <c r="AI16" s="307">
        <v>1</v>
      </c>
      <c r="AJ16" s="307">
        <v>1</v>
      </c>
      <c r="AK16" s="307">
        <v>1</v>
      </c>
      <c r="AL16" s="307">
        <v>1</v>
      </c>
      <c r="AM16" s="469">
        <v>1</v>
      </c>
      <c r="AN16" s="469">
        <v>1</v>
      </c>
      <c r="AO16" s="124"/>
      <c r="AP16" s="124"/>
      <c r="AQ16" s="124"/>
      <c r="AR16" s="124"/>
      <c r="AS16" s="124"/>
      <c r="AT16" s="307">
        <f>AVERAGE(AH16:AS16)</f>
        <v>1</v>
      </c>
      <c r="AU16" s="127">
        <f t="shared" si="0"/>
        <v>1</v>
      </c>
      <c r="AV16" s="491" t="s">
        <v>896</v>
      </c>
      <c r="AW16" s="491" t="s">
        <v>897</v>
      </c>
      <c r="AX16" s="445" t="s">
        <v>858</v>
      </c>
      <c r="AY16" s="445" t="s">
        <v>450</v>
      </c>
    </row>
    <row r="17" spans="1:51" ht="93" customHeight="1">
      <c r="A17" s="121"/>
      <c r="B17" s="121"/>
      <c r="C17" s="121"/>
      <c r="D17" s="121"/>
      <c r="E17" s="450" t="s">
        <v>425</v>
      </c>
      <c r="F17" s="121"/>
      <c r="G17" s="242" t="s">
        <v>479</v>
      </c>
      <c r="H17" s="122" t="s">
        <v>844</v>
      </c>
      <c r="I17" s="122" t="s">
        <v>491</v>
      </c>
      <c r="J17" s="122" t="s">
        <v>764</v>
      </c>
      <c r="K17" s="121" t="s">
        <v>453</v>
      </c>
      <c r="L17" s="124"/>
      <c r="M17" s="243" t="s">
        <v>431</v>
      </c>
      <c r="N17" s="122" t="s">
        <v>492</v>
      </c>
      <c r="O17" s="124"/>
      <c r="P17" s="124"/>
      <c r="Q17" s="124"/>
      <c r="R17" s="244">
        <v>1</v>
      </c>
      <c r="S17" s="244"/>
      <c r="T17" s="121" t="s">
        <v>444</v>
      </c>
      <c r="U17" s="122" t="s">
        <v>493</v>
      </c>
      <c r="V17" s="366"/>
      <c r="W17" s="366"/>
      <c r="X17" s="366"/>
      <c r="Y17" s="366">
        <v>1</v>
      </c>
      <c r="Z17" s="366"/>
      <c r="AA17" s="366"/>
      <c r="AB17" s="503"/>
      <c r="AC17" s="366">
        <v>1</v>
      </c>
      <c r="AD17" s="366"/>
      <c r="AE17" s="366"/>
      <c r="AF17" s="366"/>
      <c r="AG17" s="366">
        <v>1</v>
      </c>
      <c r="AH17" s="366"/>
      <c r="AI17" s="124"/>
      <c r="AJ17" s="124"/>
      <c r="AK17" s="307">
        <v>1</v>
      </c>
      <c r="AL17" s="124"/>
      <c r="AM17" s="124"/>
      <c r="AN17" s="472"/>
      <c r="AO17" s="124"/>
      <c r="AP17" s="124"/>
      <c r="AQ17" s="124"/>
      <c r="AR17" s="124"/>
      <c r="AS17" s="124"/>
      <c r="AT17" s="307">
        <f>AVERAGE(AH17:AS17)</f>
        <v>1</v>
      </c>
      <c r="AU17" s="127">
        <f t="shared" si="0"/>
        <v>1</v>
      </c>
      <c r="AV17" s="490" t="s">
        <v>887</v>
      </c>
      <c r="AW17" s="495" t="s">
        <v>898</v>
      </c>
      <c r="AX17" s="412" t="s">
        <v>858</v>
      </c>
      <c r="AY17" s="412" t="s">
        <v>888</v>
      </c>
    </row>
    <row r="18" spans="1:51" ht="309" customHeight="1">
      <c r="A18" s="1114"/>
      <c r="B18" s="1114"/>
      <c r="C18" s="1114"/>
      <c r="D18" s="1114"/>
      <c r="E18" s="1114" t="s">
        <v>425</v>
      </c>
      <c r="F18" s="1114"/>
      <c r="G18" s="1130" t="s">
        <v>479</v>
      </c>
      <c r="H18" s="1130" t="s">
        <v>844</v>
      </c>
      <c r="I18" s="1130" t="s">
        <v>494</v>
      </c>
      <c r="J18" s="1130" t="s">
        <v>765</v>
      </c>
      <c r="K18" s="1130" t="s">
        <v>453</v>
      </c>
      <c r="L18" s="1130"/>
      <c r="M18" s="1130" t="s">
        <v>431</v>
      </c>
      <c r="N18" s="1130" t="s">
        <v>495</v>
      </c>
      <c r="O18" s="1114"/>
      <c r="P18" s="1114"/>
      <c r="Q18" s="1114"/>
      <c r="R18" s="1118">
        <v>1</v>
      </c>
      <c r="S18" s="1114"/>
      <c r="T18" s="1114" t="s">
        <v>460</v>
      </c>
      <c r="U18" s="1130" t="s">
        <v>496</v>
      </c>
      <c r="V18" s="1004">
        <v>1</v>
      </c>
      <c r="W18" s="1004">
        <v>1</v>
      </c>
      <c r="X18" s="1004">
        <v>1</v>
      </c>
      <c r="Y18" s="1004">
        <v>1</v>
      </c>
      <c r="Z18" s="1004">
        <v>1</v>
      </c>
      <c r="AA18" s="1004">
        <v>1</v>
      </c>
      <c r="AB18" s="1135">
        <v>1</v>
      </c>
      <c r="AC18" s="1004">
        <v>1</v>
      </c>
      <c r="AD18" s="1004">
        <v>1</v>
      </c>
      <c r="AE18" s="1004">
        <v>1</v>
      </c>
      <c r="AF18" s="1004">
        <v>1</v>
      </c>
      <c r="AG18" s="1004">
        <v>1</v>
      </c>
      <c r="AH18" s="1004">
        <v>1</v>
      </c>
      <c r="AI18" s="1004">
        <v>1</v>
      </c>
      <c r="AJ18" s="1004">
        <v>1</v>
      </c>
      <c r="AK18" s="1004">
        <v>1</v>
      </c>
      <c r="AL18" s="1004">
        <v>1</v>
      </c>
      <c r="AM18" s="1004">
        <v>1</v>
      </c>
      <c r="AN18" s="1004">
        <v>1</v>
      </c>
      <c r="AO18" s="1004"/>
      <c r="AP18" s="1004"/>
      <c r="AQ18" s="1004"/>
      <c r="AR18" s="1004"/>
      <c r="AS18" s="1004"/>
      <c r="AT18" s="1132">
        <f>AVERAGE(AH18:AS18)</f>
        <v>1</v>
      </c>
      <c r="AU18" s="1118">
        <f t="shared" si="0"/>
        <v>1</v>
      </c>
      <c r="AV18" s="1128" t="s">
        <v>885</v>
      </c>
      <c r="AW18" s="1128" t="s">
        <v>886</v>
      </c>
      <c r="AX18" s="1015" t="s">
        <v>858</v>
      </c>
      <c r="AY18" s="1015" t="s">
        <v>450</v>
      </c>
    </row>
    <row r="19" spans="1:51" ht="309" customHeight="1">
      <c r="A19" s="1115"/>
      <c r="B19" s="1115"/>
      <c r="C19" s="1115"/>
      <c r="D19" s="1115"/>
      <c r="E19" s="1115"/>
      <c r="F19" s="1115"/>
      <c r="G19" s="1131"/>
      <c r="H19" s="1131"/>
      <c r="I19" s="1131"/>
      <c r="J19" s="1131"/>
      <c r="K19" s="1131"/>
      <c r="L19" s="1131"/>
      <c r="M19" s="1131"/>
      <c r="N19" s="1131"/>
      <c r="O19" s="1115"/>
      <c r="P19" s="1115"/>
      <c r="Q19" s="1115"/>
      <c r="R19" s="1119"/>
      <c r="S19" s="1115"/>
      <c r="T19" s="1115"/>
      <c r="U19" s="1131"/>
      <c r="V19" s="1134"/>
      <c r="W19" s="1134"/>
      <c r="X19" s="1134"/>
      <c r="Y19" s="1134"/>
      <c r="Z19" s="1134"/>
      <c r="AA19" s="1134"/>
      <c r="AB19" s="1136"/>
      <c r="AC19" s="1134"/>
      <c r="AD19" s="1134"/>
      <c r="AE19" s="1134"/>
      <c r="AF19" s="1134"/>
      <c r="AG19" s="1134"/>
      <c r="AH19" s="1134"/>
      <c r="AI19" s="1134"/>
      <c r="AJ19" s="1134"/>
      <c r="AK19" s="1134"/>
      <c r="AL19" s="1134"/>
      <c r="AM19" s="1134"/>
      <c r="AN19" s="1134"/>
      <c r="AO19" s="1134"/>
      <c r="AP19" s="1134"/>
      <c r="AQ19" s="1134"/>
      <c r="AR19" s="1134"/>
      <c r="AS19" s="1134"/>
      <c r="AT19" s="1133"/>
      <c r="AU19" s="1119"/>
      <c r="AV19" s="1129"/>
      <c r="AW19" s="1129"/>
      <c r="AX19" s="1003"/>
      <c r="AY19" s="1003"/>
    </row>
    <row r="20" spans="1:51" ht="54" customHeight="1">
      <c r="A20" s="780" t="s">
        <v>64</v>
      </c>
      <c r="B20" s="780"/>
      <c r="C20" s="780"/>
      <c r="D20" s="776" t="s">
        <v>66</v>
      </c>
      <c r="E20" s="776"/>
      <c r="F20" s="776"/>
      <c r="G20" s="776"/>
      <c r="H20" s="776"/>
      <c r="I20" s="776"/>
      <c r="J20" s="781" t="s">
        <v>300</v>
      </c>
      <c r="K20" s="781"/>
      <c r="L20" s="781"/>
      <c r="M20" s="781"/>
      <c r="N20" s="781"/>
      <c r="O20" s="781"/>
      <c r="P20" s="776" t="s">
        <v>66</v>
      </c>
      <c r="Q20" s="776"/>
      <c r="R20" s="776"/>
      <c r="S20" s="776"/>
      <c r="T20" s="776"/>
      <c r="U20" s="776"/>
      <c r="V20" s="776" t="s">
        <v>66</v>
      </c>
      <c r="W20" s="776"/>
      <c r="X20" s="776"/>
      <c r="Y20" s="776"/>
      <c r="Z20" s="776"/>
      <c r="AA20" s="776"/>
      <c r="AB20" s="776"/>
      <c r="AC20" s="776"/>
      <c r="AD20" s="776" t="s">
        <v>66</v>
      </c>
      <c r="AE20" s="776"/>
      <c r="AF20" s="776"/>
      <c r="AG20" s="776"/>
      <c r="AH20" s="776"/>
      <c r="AI20" s="776"/>
      <c r="AJ20" s="776"/>
      <c r="AK20" s="776"/>
      <c r="AL20" s="776"/>
      <c r="AM20" s="776"/>
      <c r="AN20" s="776"/>
      <c r="AO20" s="776"/>
      <c r="AP20" s="781" t="s">
        <v>318</v>
      </c>
      <c r="AQ20" s="781"/>
      <c r="AR20" s="781"/>
      <c r="AS20" s="781"/>
      <c r="AT20" s="776" t="s">
        <v>13</v>
      </c>
      <c r="AU20" s="776"/>
      <c r="AV20" s="776"/>
      <c r="AW20" s="776"/>
      <c r="AX20" s="776"/>
      <c r="AY20" s="776"/>
    </row>
    <row r="21" spans="1:51" ht="30" customHeight="1">
      <c r="A21" s="780"/>
      <c r="B21" s="780"/>
      <c r="C21" s="780"/>
      <c r="D21" s="776" t="s">
        <v>807</v>
      </c>
      <c r="E21" s="776"/>
      <c r="F21" s="776"/>
      <c r="G21" s="776"/>
      <c r="H21" s="776"/>
      <c r="I21" s="776"/>
      <c r="J21" s="781"/>
      <c r="K21" s="781"/>
      <c r="L21" s="781"/>
      <c r="M21" s="781"/>
      <c r="N21" s="781"/>
      <c r="O21" s="781"/>
      <c r="P21" s="776" t="s">
        <v>771</v>
      </c>
      <c r="Q21" s="776"/>
      <c r="R21" s="776"/>
      <c r="S21" s="776"/>
      <c r="T21" s="776"/>
      <c r="U21" s="776"/>
      <c r="V21" s="776" t="s">
        <v>65</v>
      </c>
      <c r="W21" s="776"/>
      <c r="X21" s="776"/>
      <c r="Y21" s="776"/>
      <c r="Z21" s="776"/>
      <c r="AA21" s="776"/>
      <c r="AB21" s="776"/>
      <c r="AC21" s="776"/>
      <c r="AD21" s="776" t="s">
        <v>65</v>
      </c>
      <c r="AE21" s="776"/>
      <c r="AF21" s="776"/>
      <c r="AG21" s="776"/>
      <c r="AH21" s="776"/>
      <c r="AI21" s="776"/>
      <c r="AJ21" s="776"/>
      <c r="AK21" s="776"/>
      <c r="AL21" s="776"/>
      <c r="AM21" s="776"/>
      <c r="AN21" s="776"/>
      <c r="AO21" s="776"/>
      <c r="AP21" s="781"/>
      <c r="AQ21" s="781"/>
      <c r="AR21" s="781"/>
      <c r="AS21" s="781"/>
      <c r="AT21" s="776" t="s">
        <v>771</v>
      </c>
      <c r="AU21" s="776"/>
      <c r="AV21" s="776"/>
      <c r="AW21" s="776"/>
      <c r="AX21" s="776"/>
      <c r="AY21" s="776"/>
    </row>
    <row r="22" spans="1:51" ht="30" customHeight="1">
      <c r="A22" s="780"/>
      <c r="B22" s="780"/>
      <c r="C22" s="780"/>
      <c r="D22" s="776" t="s">
        <v>808</v>
      </c>
      <c r="E22" s="776"/>
      <c r="F22" s="776"/>
      <c r="G22" s="776"/>
      <c r="H22" s="776"/>
      <c r="I22" s="776"/>
      <c r="J22" s="781"/>
      <c r="K22" s="781"/>
      <c r="L22" s="781"/>
      <c r="M22" s="781"/>
      <c r="N22" s="781"/>
      <c r="O22" s="781"/>
      <c r="P22" s="776" t="s">
        <v>775</v>
      </c>
      <c r="Q22" s="776"/>
      <c r="R22" s="776"/>
      <c r="S22" s="776"/>
      <c r="T22" s="776"/>
      <c r="U22" s="776"/>
      <c r="V22" s="776" t="s">
        <v>297</v>
      </c>
      <c r="W22" s="776"/>
      <c r="X22" s="776"/>
      <c r="Y22" s="776"/>
      <c r="Z22" s="776"/>
      <c r="AA22" s="776"/>
      <c r="AB22" s="776"/>
      <c r="AC22" s="776"/>
      <c r="AD22" s="776" t="s">
        <v>297</v>
      </c>
      <c r="AE22" s="776"/>
      <c r="AF22" s="776"/>
      <c r="AG22" s="776"/>
      <c r="AH22" s="776"/>
      <c r="AI22" s="776"/>
      <c r="AJ22" s="776"/>
      <c r="AK22" s="776"/>
      <c r="AL22" s="776"/>
      <c r="AM22" s="776"/>
      <c r="AN22" s="776"/>
      <c r="AO22" s="776"/>
      <c r="AP22" s="781"/>
      <c r="AQ22" s="781"/>
      <c r="AR22" s="781"/>
      <c r="AS22" s="781"/>
      <c r="AT22" s="776" t="s">
        <v>75</v>
      </c>
      <c r="AU22" s="776"/>
      <c r="AV22" s="776"/>
      <c r="AW22" s="776"/>
      <c r="AX22" s="776"/>
      <c r="AY22" s="776"/>
    </row>
  </sheetData>
  <sheetProtection/>
  <mergeCells count="107">
    <mergeCell ref="AS18:AS19"/>
    <mergeCell ref="AM18:AM19"/>
    <mergeCell ref="AN18:AN19"/>
    <mergeCell ref="AO18:AO19"/>
    <mergeCell ref="AP18:AP19"/>
    <mergeCell ref="AQ18:AQ19"/>
    <mergeCell ref="AR18:AR19"/>
    <mergeCell ref="AG18:AG19"/>
    <mergeCell ref="AH18:AH19"/>
    <mergeCell ref="AI18:AI19"/>
    <mergeCell ref="AJ18:AJ19"/>
    <mergeCell ref="AK18:AK19"/>
    <mergeCell ref="AL18:AL19"/>
    <mergeCell ref="AA18:AA19"/>
    <mergeCell ref="AB18:AB19"/>
    <mergeCell ref="AC18:AC19"/>
    <mergeCell ref="AD18:AD19"/>
    <mergeCell ref="AE18:AE19"/>
    <mergeCell ref="AF18:AF19"/>
    <mergeCell ref="S18:S19"/>
    <mergeCell ref="T18:T19"/>
    <mergeCell ref="U18:U19"/>
    <mergeCell ref="AU18:AU19"/>
    <mergeCell ref="AT18:AT19"/>
    <mergeCell ref="V18:V19"/>
    <mergeCell ref="W18:W19"/>
    <mergeCell ref="X18:X19"/>
    <mergeCell ref="Y18:Y19"/>
    <mergeCell ref="Z18:Z19"/>
    <mergeCell ref="M18:M19"/>
    <mergeCell ref="N18:N19"/>
    <mergeCell ref="O18:O19"/>
    <mergeCell ref="P18:P19"/>
    <mergeCell ref="Q18:Q19"/>
    <mergeCell ref="R18:R19"/>
    <mergeCell ref="G18:G19"/>
    <mergeCell ref="H18:H19"/>
    <mergeCell ref="I18:I19"/>
    <mergeCell ref="J18:J19"/>
    <mergeCell ref="K18:K19"/>
    <mergeCell ref="L18:L19"/>
    <mergeCell ref="AV18:AV19"/>
    <mergeCell ref="AW18:AW19"/>
    <mergeCell ref="AX18:AX19"/>
    <mergeCell ref="AY18:AY19"/>
    <mergeCell ref="A18:A19"/>
    <mergeCell ref="B18:B19"/>
    <mergeCell ref="C18:C19"/>
    <mergeCell ref="D18:D19"/>
    <mergeCell ref="E18:E19"/>
    <mergeCell ref="F18:F19"/>
    <mergeCell ref="AH5:AU10"/>
    <mergeCell ref="H7:I7"/>
    <mergeCell ref="A1:AW1"/>
    <mergeCell ref="AX1:AY1"/>
    <mergeCell ref="A2:AW2"/>
    <mergeCell ref="AX2:AY2"/>
    <mergeCell ref="A3:AW4"/>
    <mergeCell ref="AX3:AY3"/>
    <mergeCell ref="AX4:AY4"/>
    <mergeCell ref="A5:AG5"/>
    <mergeCell ref="K11:K12"/>
    <mergeCell ref="AV5:AV12"/>
    <mergeCell ref="AW5:AW12"/>
    <mergeCell ref="AX5:AX12"/>
    <mergeCell ref="AY5:AY12"/>
    <mergeCell ref="A6:C8"/>
    <mergeCell ref="D6:E8"/>
    <mergeCell ref="F6:G8"/>
    <mergeCell ref="H6:I6"/>
    <mergeCell ref="K6:U8"/>
    <mergeCell ref="V22:AC22"/>
    <mergeCell ref="H8:I8"/>
    <mergeCell ref="A9:C9"/>
    <mergeCell ref="D9:AG9"/>
    <mergeCell ref="A10:C10"/>
    <mergeCell ref="D10:AG10"/>
    <mergeCell ref="A11:F11"/>
    <mergeCell ref="G11:H11"/>
    <mergeCell ref="I11:I12"/>
    <mergeCell ref="J11:J12"/>
    <mergeCell ref="M11:M12"/>
    <mergeCell ref="N11:N12"/>
    <mergeCell ref="O11:S11"/>
    <mergeCell ref="T11:T12"/>
    <mergeCell ref="U11:U12"/>
    <mergeCell ref="L11:L12"/>
    <mergeCell ref="V11:AG11"/>
    <mergeCell ref="AH11:AS11"/>
    <mergeCell ref="AT11:AU11"/>
    <mergeCell ref="A20:C22"/>
    <mergeCell ref="D20:I20"/>
    <mergeCell ref="J20:O22"/>
    <mergeCell ref="P20:U20"/>
    <mergeCell ref="V20:AC20"/>
    <mergeCell ref="AD20:AO20"/>
    <mergeCell ref="D22:I22"/>
    <mergeCell ref="AD22:AO22"/>
    <mergeCell ref="AT22:AY22"/>
    <mergeCell ref="AT20:AY20"/>
    <mergeCell ref="D21:I21"/>
    <mergeCell ref="P21:U21"/>
    <mergeCell ref="V21:AC21"/>
    <mergeCell ref="AD21:AO21"/>
    <mergeCell ref="AT21:AY21"/>
    <mergeCell ref="AP20:AS22"/>
    <mergeCell ref="P22:U22"/>
  </mergeCells>
  <printOptions/>
  <pageMargins left="0.7" right="0.7" top="0.75" bottom="0.75" header="0.3" footer="0.3"/>
  <pageSetup fitToHeight="0" fitToWidth="1" horizontalDpi="600" verticalDpi="600" orientation="landscape" scale="15" r:id="rId4"/>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A1:AY19"/>
  <sheetViews>
    <sheetView view="pageBreakPreview" zoomScale="61" zoomScaleNormal="61" zoomScaleSheetLayoutView="61" zoomScalePageLayoutView="0" workbookViewId="0" topLeftCell="A1">
      <selection activeCell="AT13" sqref="AT13"/>
    </sheetView>
  </sheetViews>
  <sheetFormatPr defaultColWidth="10.8515625" defaultRowHeight="15"/>
  <cols>
    <col min="1" max="1" width="10.140625" style="113" customWidth="1"/>
    <col min="2" max="2" width="10.00390625" style="113" customWidth="1"/>
    <col min="3" max="3" width="15.57421875" style="113" customWidth="1"/>
    <col min="4" max="6" width="8.28125" style="113" customWidth="1"/>
    <col min="7" max="8" width="14.7109375" style="113" customWidth="1"/>
    <col min="9" max="9" width="22.57421875" style="113" customWidth="1"/>
    <col min="10" max="10" width="23.00390625" style="113" customWidth="1"/>
    <col min="11" max="11" width="16.8515625" style="113" customWidth="1"/>
    <col min="12" max="12" width="15.28125" style="113" customWidth="1"/>
    <col min="13" max="13" width="12.7109375" style="113" customWidth="1"/>
    <col min="14" max="14" width="21.140625" style="113" customWidth="1"/>
    <col min="15" max="15" width="7.7109375" style="113" bestFit="1" customWidth="1"/>
    <col min="16" max="16" width="7.28125" style="113" bestFit="1" customWidth="1"/>
    <col min="17" max="19" width="7.7109375" style="113" bestFit="1" customWidth="1"/>
    <col min="20" max="21" width="17.00390625" style="113" customWidth="1"/>
    <col min="22" max="45" width="7.7109375" style="113" customWidth="1"/>
    <col min="46" max="46" width="18.28125" style="113" customWidth="1"/>
    <col min="47" max="47" width="12.57421875" style="217" customWidth="1"/>
    <col min="48" max="48" width="30.28125" style="113" customWidth="1"/>
    <col min="49" max="49" width="61.7109375" style="113" customWidth="1"/>
    <col min="50" max="50" width="26.7109375" style="113" customWidth="1"/>
    <col min="51" max="51" width="30.28125" style="113" customWidth="1"/>
    <col min="52" max="16384" width="10.8515625" style="113" customWidth="1"/>
  </cols>
  <sheetData>
    <row r="1" spans="1:51" ht="15.75" customHeight="1">
      <c r="A1" s="809" t="s">
        <v>16</v>
      </c>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1025" t="s">
        <v>423</v>
      </c>
      <c r="AY1" s="1026"/>
    </row>
    <row r="2" spans="1:51" ht="15.75" customHeight="1">
      <c r="A2" s="809" t="s">
        <v>17</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1028" t="s">
        <v>418</v>
      </c>
      <c r="AY2" s="1029"/>
    </row>
    <row r="3" spans="1:51" ht="15" customHeight="1">
      <c r="A3" s="809" t="s">
        <v>195</v>
      </c>
      <c r="B3" s="809"/>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9"/>
      <c r="AL3" s="809"/>
      <c r="AM3" s="809"/>
      <c r="AN3" s="809"/>
      <c r="AO3" s="809"/>
      <c r="AP3" s="809"/>
      <c r="AQ3" s="809"/>
      <c r="AR3" s="809"/>
      <c r="AS3" s="809"/>
      <c r="AT3" s="809"/>
      <c r="AU3" s="809"/>
      <c r="AV3" s="809"/>
      <c r="AW3" s="809"/>
      <c r="AX3" s="1028" t="s">
        <v>424</v>
      </c>
      <c r="AY3" s="1029"/>
    </row>
    <row r="4" spans="1:51" ht="15.75" customHeight="1">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758" t="s">
        <v>784</v>
      </c>
      <c r="AY4" s="758"/>
    </row>
    <row r="5" spans="1:51" ht="15" customHeight="1">
      <c r="A5" s="796" t="s">
        <v>174</v>
      </c>
      <c r="B5" s="796"/>
      <c r="C5" s="796"/>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t="s">
        <v>69</v>
      </c>
      <c r="AI5" s="796"/>
      <c r="AJ5" s="796"/>
      <c r="AK5" s="796"/>
      <c r="AL5" s="796"/>
      <c r="AM5" s="796"/>
      <c r="AN5" s="796"/>
      <c r="AO5" s="796"/>
      <c r="AP5" s="796"/>
      <c r="AQ5" s="796"/>
      <c r="AR5" s="796"/>
      <c r="AS5" s="796"/>
      <c r="AT5" s="796"/>
      <c r="AU5" s="796"/>
      <c r="AV5" s="1137" t="s">
        <v>409</v>
      </c>
      <c r="AW5" s="1137" t="s">
        <v>410</v>
      </c>
      <c r="AX5" s="777" t="s">
        <v>298</v>
      </c>
      <c r="AY5" s="777" t="s">
        <v>299</v>
      </c>
    </row>
    <row r="6" spans="1:51" ht="15" customHeight="1">
      <c r="A6" s="796" t="s">
        <v>71</v>
      </c>
      <c r="B6" s="796"/>
      <c r="C6" s="796"/>
      <c r="D6" s="1142">
        <v>45146</v>
      </c>
      <c r="E6" s="1143"/>
      <c r="F6" s="818" t="s">
        <v>67</v>
      </c>
      <c r="G6" s="818"/>
      <c r="H6" s="1139" t="s">
        <v>70</v>
      </c>
      <c r="I6" s="1139"/>
      <c r="J6" s="325"/>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1137"/>
      <c r="AW6" s="1137"/>
      <c r="AX6" s="785"/>
      <c r="AY6" s="785"/>
    </row>
    <row r="7" spans="1:51" ht="15" customHeight="1">
      <c r="A7" s="796"/>
      <c r="B7" s="796"/>
      <c r="C7" s="796"/>
      <c r="D7" s="1143"/>
      <c r="E7" s="1143"/>
      <c r="F7" s="818"/>
      <c r="G7" s="818"/>
      <c r="H7" s="1139" t="s">
        <v>68</v>
      </c>
      <c r="I7" s="1139"/>
      <c r="J7" s="325"/>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1137"/>
      <c r="AW7" s="1137"/>
      <c r="AX7" s="785"/>
      <c r="AY7" s="785"/>
    </row>
    <row r="8" spans="1:51" ht="15" customHeight="1">
      <c r="A8" s="796"/>
      <c r="B8" s="796"/>
      <c r="C8" s="796"/>
      <c r="D8" s="1143"/>
      <c r="E8" s="1143"/>
      <c r="F8" s="818"/>
      <c r="G8" s="818"/>
      <c r="H8" s="1139" t="s">
        <v>69</v>
      </c>
      <c r="I8" s="1139"/>
      <c r="J8" s="325" t="s">
        <v>425</v>
      </c>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1137"/>
      <c r="AW8" s="1137"/>
      <c r="AX8" s="785"/>
      <c r="AY8" s="785"/>
    </row>
    <row r="9" spans="1:51" ht="15" customHeight="1">
      <c r="A9" s="1140" t="s">
        <v>399</v>
      </c>
      <c r="B9" s="1140"/>
      <c r="C9" s="1140"/>
      <c r="D9" s="1141"/>
      <c r="E9" s="1141"/>
      <c r="F9" s="1141"/>
      <c r="G9" s="1141"/>
      <c r="H9" s="1141"/>
      <c r="I9" s="1141"/>
      <c r="J9" s="1141"/>
      <c r="K9" s="1141"/>
      <c r="L9" s="1141"/>
      <c r="M9" s="1141"/>
      <c r="N9" s="1141"/>
      <c r="O9" s="1141"/>
      <c r="P9" s="1141"/>
      <c r="Q9" s="1141"/>
      <c r="R9" s="1141"/>
      <c r="S9" s="1141"/>
      <c r="T9" s="1141"/>
      <c r="U9" s="1141"/>
      <c r="V9" s="1141"/>
      <c r="W9" s="1141"/>
      <c r="X9" s="1141"/>
      <c r="Y9" s="1141"/>
      <c r="Z9" s="1141"/>
      <c r="AA9" s="1141"/>
      <c r="AB9" s="1141"/>
      <c r="AC9" s="1141"/>
      <c r="AD9" s="1141"/>
      <c r="AE9" s="1141"/>
      <c r="AF9" s="1141"/>
      <c r="AG9" s="1141"/>
      <c r="AH9" s="796"/>
      <c r="AI9" s="796"/>
      <c r="AJ9" s="796"/>
      <c r="AK9" s="796"/>
      <c r="AL9" s="796"/>
      <c r="AM9" s="796"/>
      <c r="AN9" s="796"/>
      <c r="AO9" s="796"/>
      <c r="AP9" s="796"/>
      <c r="AQ9" s="796"/>
      <c r="AR9" s="796"/>
      <c r="AS9" s="796"/>
      <c r="AT9" s="796"/>
      <c r="AU9" s="796"/>
      <c r="AV9" s="1137"/>
      <c r="AW9" s="1137"/>
      <c r="AX9" s="785"/>
      <c r="AY9" s="785"/>
    </row>
    <row r="10" spans="1:51" ht="15" customHeight="1">
      <c r="A10" s="1140" t="s">
        <v>287</v>
      </c>
      <c r="B10" s="1140"/>
      <c r="C10" s="1140"/>
      <c r="D10" s="1141" t="s">
        <v>500</v>
      </c>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796"/>
      <c r="AI10" s="796"/>
      <c r="AJ10" s="796"/>
      <c r="AK10" s="796"/>
      <c r="AL10" s="796"/>
      <c r="AM10" s="796"/>
      <c r="AN10" s="796"/>
      <c r="AO10" s="796"/>
      <c r="AP10" s="796"/>
      <c r="AQ10" s="796"/>
      <c r="AR10" s="796"/>
      <c r="AS10" s="796"/>
      <c r="AT10" s="796"/>
      <c r="AU10" s="796"/>
      <c r="AV10" s="1137"/>
      <c r="AW10" s="1137"/>
      <c r="AX10" s="785"/>
      <c r="AY10" s="785"/>
    </row>
    <row r="11" spans="1:51" ht="39.75" customHeight="1">
      <c r="A11" s="1137" t="s">
        <v>168</v>
      </c>
      <c r="B11" s="1137"/>
      <c r="C11" s="1137"/>
      <c r="D11" s="1137"/>
      <c r="E11" s="1137"/>
      <c r="F11" s="1137"/>
      <c r="G11" s="1137" t="s">
        <v>278</v>
      </c>
      <c r="H11" s="1137"/>
      <c r="I11" s="1137" t="s">
        <v>179</v>
      </c>
      <c r="J11" s="1137" t="s">
        <v>279</v>
      </c>
      <c r="K11" s="1137" t="s">
        <v>323</v>
      </c>
      <c r="L11" s="1137" t="s">
        <v>363</v>
      </c>
      <c r="M11" s="1137" t="s">
        <v>167</v>
      </c>
      <c r="N11" s="1137" t="s">
        <v>182</v>
      </c>
      <c r="O11" s="1137" t="s">
        <v>284</v>
      </c>
      <c r="P11" s="1137"/>
      <c r="Q11" s="1137"/>
      <c r="R11" s="1137"/>
      <c r="S11" s="1137"/>
      <c r="T11" s="1137" t="s">
        <v>173</v>
      </c>
      <c r="U11" s="1137" t="s">
        <v>285</v>
      </c>
      <c r="V11" s="796" t="s">
        <v>370</v>
      </c>
      <c r="W11" s="796"/>
      <c r="X11" s="796"/>
      <c r="Y11" s="796"/>
      <c r="Z11" s="796"/>
      <c r="AA11" s="796"/>
      <c r="AB11" s="796"/>
      <c r="AC11" s="796"/>
      <c r="AD11" s="796"/>
      <c r="AE11" s="796"/>
      <c r="AF11" s="796"/>
      <c r="AG11" s="796"/>
      <c r="AH11" s="796" t="s">
        <v>87</v>
      </c>
      <c r="AI11" s="796"/>
      <c r="AJ11" s="796"/>
      <c r="AK11" s="796"/>
      <c r="AL11" s="796"/>
      <c r="AM11" s="796"/>
      <c r="AN11" s="796"/>
      <c r="AO11" s="796"/>
      <c r="AP11" s="796"/>
      <c r="AQ11" s="796"/>
      <c r="AR11" s="796"/>
      <c r="AS11" s="796"/>
      <c r="AT11" s="1137" t="s">
        <v>8</v>
      </c>
      <c r="AU11" s="1137"/>
      <c r="AV11" s="1137"/>
      <c r="AW11" s="1137"/>
      <c r="AX11" s="785"/>
      <c r="AY11" s="785"/>
    </row>
    <row r="12" spans="1:51" ht="42.75">
      <c r="A12" s="493" t="s">
        <v>169</v>
      </c>
      <c r="B12" s="493" t="s">
        <v>170</v>
      </c>
      <c r="C12" s="493" t="s">
        <v>171</v>
      </c>
      <c r="D12" s="493" t="s">
        <v>178</v>
      </c>
      <c r="E12" s="493" t="s">
        <v>185</v>
      </c>
      <c r="F12" s="493" t="s">
        <v>186</v>
      </c>
      <c r="G12" s="493" t="s">
        <v>277</v>
      </c>
      <c r="H12" s="493" t="s">
        <v>184</v>
      </c>
      <c r="I12" s="1137"/>
      <c r="J12" s="1137"/>
      <c r="K12" s="1137"/>
      <c r="L12" s="1137"/>
      <c r="M12" s="1137"/>
      <c r="N12" s="1137"/>
      <c r="O12" s="493">
        <v>2020</v>
      </c>
      <c r="P12" s="493">
        <v>2021</v>
      </c>
      <c r="Q12" s="493">
        <v>2022</v>
      </c>
      <c r="R12" s="493">
        <v>2023</v>
      </c>
      <c r="S12" s="493">
        <v>2024</v>
      </c>
      <c r="T12" s="1137"/>
      <c r="U12" s="1137"/>
      <c r="V12" s="446" t="s">
        <v>39</v>
      </c>
      <c r="W12" s="446" t="s">
        <v>40</v>
      </c>
      <c r="X12" s="446" t="s">
        <v>41</v>
      </c>
      <c r="Y12" s="446" t="s">
        <v>42</v>
      </c>
      <c r="Z12" s="446" t="s">
        <v>43</v>
      </c>
      <c r="AA12" s="446" t="s">
        <v>44</v>
      </c>
      <c r="AB12" s="446" t="s">
        <v>45</v>
      </c>
      <c r="AC12" s="446" t="s">
        <v>46</v>
      </c>
      <c r="AD12" s="446" t="s">
        <v>47</v>
      </c>
      <c r="AE12" s="446" t="s">
        <v>48</v>
      </c>
      <c r="AF12" s="446" t="s">
        <v>49</v>
      </c>
      <c r="AG12" s="446" t="s">
        <v>50</v>
      </c>
      <c r="AH12" s="446" t="s">
        <v>39</v>
      </c>
      <c r="AI12" s="446" t="s">
        <v>40</v>
      </c>
      <c r="AJ12" s="446" t="s">
        <v>41</v>
      </c>
      <c r="AK12" s="446" t="s">
        <v>42</v>
      </c>
      <c r="AL12" s="446" t="s">
        <v>43</v>
      </c>
      <c r="AM12" s="446" t="s">
        <v>44</v>
      </c>
      <c r="AN12" s="446" t="s">
        <v>45</v>
      </c>
      <c r="AO12" s="446" t="s">
        <v>46</v>
      </c>
      <c r="AP12" s="446" t="s">
        <v>47</v>
      </c>
      <c r="AQ12" s="446" t="s">
        <v>48</v>
      </c>
      <c r="AR12" s="446" t="s">
        <v>49</v>
      </c>
      <c r="AS12" s="446" t="s">
        <v>50</v>
      </c>
      <c r="AT12" s="493" t="s">
        <v>413</v>
      </c>
      <c r="AU12" s="216" t="s">
        <v>88</v>
      </c>
      <c r="AV12" s="1137"/>
      <c r="AW12" s="1137"/>
      <c r="AX12" s="778"/>
      <c r="AY12" s="778"/>
    </row>
    <row r="13" spans="2:51" ht="129" customHeight="1">
      <c r="B13" s="459"/>
      <c r="C13" s="459"/>
      <c r="D13" s="459"/>
      <c r="E13" s="459" t="s">
        <v>425</v>
      </c>
      <c r="F13" s="459"/>
      <c r="G13" s="460" t="s">
        <v>501</v>
      </c>
      <c r="H13" s="459" t="s">
        <v>450</v>
      </c>
      <c r="I13" s="460" t="s">
        <v>502</v>
      </c>
      <c r="J13" s="460" t="s">
        <v>503</v>
      </c>
      <c r="K13" s="232" t="s">
        <v>430</v>
      </c>
      <c r="L13" s="124" t="s">
        <v>450</v>
      </c>
      <c r="M13" s="124" t="s">
        <v>504</v>
      </c>
      <c r="N13" s="460" t="s">
        <v>505</v>
      </c>
      <c r="O13" s="123"/>
      <c r="P13" s="123"/>
      <c r="Q13" s="123"/>
      <c r="R13" s="461">
        <v>1</v>
      </c>
      <c r="S13" s="123"/>
      <c r="T13" s="459" t="s">
        <v>433</v>
      </c>
      <c r="U13" s="460" t="s">
        <v>506</v>
      </c>
      <c r="V13" s="124"/>
      <c r="W13" s="319"/>
      <c r="X13" s="506">
        <v>0</v>
      </c>
      <c r="Y13" s="319"/>
      <c r="Z13" s="319"/>
      <c r="AA13" s="506">
        <v>0.33</v>
      </c>
      <c r="AB13" s="319"/>
      <c r="AC13" s="319"/>
      <c r="AD13" s="506">
        <v>0.5</v>
      </c>
      <c r="AE13" s="319"/>
      <c r="AF13" s="319"/>
      <c r="AG13" s="506">
        <v>0.17</v>
      </c>
      <c r="AH13" s="319"/>
      <c r="AI13" s="319"/>
      <c r="AJ13" s="506">
        <v>0</v>
      </c>
      <c r="AK13" s="319"/>
      <c r="AL13" s="319"/>
      <c r="AM13" s="507">
        <v>0.33</v>
      </c>
      <c r="AN13" s="319"/>
      <c r="AO13" s="319"/>
      <c r="AP13" s="319"/>
      <c r="AQ13" s="319"/>
      <c r="AR13" s="319"/>
      <c r="AS13" s="319"/>
      <c r="AT13" s="507">
        <f>SUM(AH13:AS13)</f>
        <v>0.33</v>
      </c>
      <c r="AU13" s="508">
        <f>+AT13/R13</f>
        <v>0.33</v>
      </c>
      <c r="AV13" s="495" t="s">
        <v>899</v>
      </c>
      <c r="AW13" s="509" t="s">
        <v>900</v>
      </c>
      <c r="AX13" s="412" t="s">
        <v>450</v>
      </c>
      <c r="AY13" s="412" t="s">
        <v>450</v>
      </c>
    </row>
    <row r="14" spans="1:51" ht="109.5" customHeight="1">
      <c r="A14" s="459"/>
      <c r="B14" s="459"/>
      <c r="C14" s="459"/>
      <c r="D14" s="459"/>
      <c r="E14" s="459" t="s">
        <v>425</v>
      </c>
      <c r="F14" s="459"/>
      <c r="G14" s="460" t="s">
        <v>501</v>
      </c>
      <c r="H14" s="459" t="s">
        <v>450</v>
      </c>
      <c r="I14" s="460" t="s">
        <v>507</v>
      </c>
      <c r="J14" s="460" t="s">
        <v>508</v>
      </c>
      <c r="K14" s="232" t="s">
        <v>430</v>
      </c>
      <c r="L14" s="124" t="s">
        <v>450</v>
      </c>
      <c r="M14" s="124" t="s">
        <v>504</v>
      </c>
      <c r="N14" s="460" t="s">
        <v>509</v>
      </c>
      <c r="O14" s="124"/>
      <c r="P14" s="124"/>
      <c r="Q14" s="124"/>
      <c r="R14" s="461">
        <v>1</v>
      </c>
      <c r="S14" s="124"/>
      <c r="T14" s="459" t="s">
        <v>433</v>
      </c>
      <c r="U14" s="460" t="s">
        <v>510</v>
      </c>
      <c r="V14" s="124"/>
      <c r="W14" s="319"/>
      <c r="X14" s="506">
        <v>0</v>
      </c>
      <c r="Y14" s="319"/>
      <c r="Z14" s="319"/>
      <c r="AA14" s="506">
        <v>0.2</v>
      </c>
      <c r="AB14" s="319"/>
      <c r="AC14" s="319"/>
      <c r="AD14" s="506">
        <v>0.13</v>
      </c>
      <c r="AE14" s="319"/>
      <c r="AF14" s="319"/>
      <c r="AG14" s="506">
        <v>0.67</v>
      </c>
      <c r="AH14" s="319"/>
      <c r="AI14" s="319"/>
      <c r="AJ14" s="506">
        <v>0</v>
      </c>
      <c r="AK14" s="319"/>
      <c r="AL14" s="319"/>
      <c r="AM14" s="507">
        <v>0.2</v>
      </c>
      <c r="AN14" s="319"/>
      <c r="AO14" s="319"/>
      <c r="AP14" s="319"/>
      <c r="AQ14" s="319"/>
      <c r="AR14" s="319"/>
      <c r="AS14" s="319"/>
      <c r="AT14" s="507">
        <f>SUM(AH14:AS14)</f>
        <v>0.2</v>
      </c>
      <c r="AU14" s="508">
        <f>+AT14/R14</f>
        <v>0.2</v>
      </c>
      <c r="AV14" s="495" t="s">
        <v>899</v>
      </c>
      <c r="AW14" s="509" t="s">
        <v>901</v>
      </c>
      <c r="AX14" s="412" t="s">
        <v>450</v>
      </c>
      <c r="AY14" s="412" t="s">
        <v>450</v>
      </c>
    </row>
    <row r="15" spans="1:51" ht="111.75" customHeight="1">
      <c r="A15" s="459"/>
      <c r="B15" s="459"/>
      <c r="C15" s="459"/>
      <c r="D15" s="459"/>
      <c r="E15" s="459" t="s">
        <v>425</v>
      </c>
      <c r="F15" s="459"/>
      <c r="G15" s="460" t="s">
        <v>501</v>
      </c>
      <c r="H15" s="459" t="s">
        <v>450</v>
      </c>
      <c r="I15" s="460" t="s">
        <v>511</v>
      </c>
      <c r="J15" s="460" t="s">
        <v>512</v>
      </c>
      <c r="K15" s="232" t="s">
        <v>430</v>
      </c>
      <c r="L15" s="459" t="s">
        <v>450</v>
      </c>
      <c r="M15" s="459" t="s">
        <v>504</v>
      </c>
      <c r="N15" s="460" t="s">
        <v>513</v>
      </c>
      <c r="O15" s="459"/>
      <c r="P15" s="459"/>
      <c r="Q15" s="459"/>
      <c r="R15" s="461">
        <v>1</v>
      </c>
      <c r="S15" s="459"/>
      <c r="T15" s="459" t="s">
        <v>433</v>
      </c>
      <c r="U15" s="460" t="s">
        <v>514</v>
      </c>
      <c r="V15" s="459"/>
      <c r="W15" s="325"/>
      <c r="X15" s="507">
        <v>0.5</v>
      </c>
      <c r="Y15" s="325"/>
      <c r="Z15" s="325"/>
      <c r="AA15" s="507">
        <v>0.11</v>
      </c>
      <c r="AB15" s="325"/>
      <c r="AC15" s="325"/>
      <c r="AD15" s="507">
        <v>0.25</v>
      </c>
      <c r="AE15" s="325"/>
      <c r="AF15" s="325"/>
      <c r="AG15" s="507">
        <v>0.14</v>
      </c>
      <c r="AH15" s="325"/>
      <c r="AI15" s="325"/>
      <c r="AJ15" s="507">
        <v>0.46</v>
      </c>
      <c r="AK15" s="325"/>
      <c r="AL15" s="325"/>
      <c r="AM15" s="507">
        <v>0.15</v>
      </c>
      <c r="AN15" s="325"/>
      <c r="AO15" s="325"/>
      <c r="AP15" s="325"/>
      <c r="AQ15" s="325"/>
      <c r="AR15" s="325"/>
      <c r="AS15" s="325"/>
      <c r="AT15" s="507">
        <f>SUM(AH15:AS15)</f>
        <v>0.61</v>
      </c>
      <c r="AU15" s="508">
        <f>+AT15/R15</f>
        <v>0.61</v>
      </c>
      <c r="AV15" s="495" t="s">
        <v>899</v>
      </c>
      <c r="AW15" s="509" t="s">
        <v>902</v>
      </c>
      <c r="AX15" s="412" t="s">
        <v>450</v>
      </c>
      <c r="AY15" s="412" t="s">
        <v>450</v>
      </c>
    </row>
    <row r="16" spans="1:51" ht="259.5" customHeight="1">
      <c r="A16" s="459"/>
      <c r="B16" s="459"/>
      <c r="C16" s="459"/>
      <c r="D16" s="459"/>
      <c r="E16" s="459" t="s">
        <v>425</v>
      </c>
      <c r="F16" s="459"/>
      <c r="G16" s="460" t="s">
        <v>501</v>
      </c>
      <c r="H16" s="459" t="s">
        <v>450</v>
      </c>
      <c r="I16" s="460" t="s">
        <v>515</v>
      </c>
      <c r="J16" s="460" t="s">
        <v>516</v>
      </c>
      <c r="K16" s="232" t="s">
        <v>430</v>
      </c>
      <c r="L16" s="124" t="s">
        <v>450</v>
      </c>
      <c r="M16" s="124" t="s">
        <v>504</v>
      </c>
      <c r="N16" s="460" t="s">
        <v>517</v>
      </c>
      <c r="O16" s="124"/>
      <c r="P16" s="124"/>
      <c r="Q16" s="124"/>
      <c r="R16" s="461">
        <v>1</v>
      </c>
      <c r="S16" s="124"/>
      <c r="T16" s="459" t="s">
        <v>433</v>
      </c>
      <c r="U16" s="460" t="s">
        <v>518</v>
      </c>
      <c r="V16" s="465"/>
      <c r="W16" s="444"/>
      <c r="X16" s="506">
        <v>0.18</v>
      </c>
      <c r="Y16" s="382"/>
      <c r="Z16" s="382"/>
      <c r="AA16" s="506">
        <v>0.27</v>
      </c>
      <c r="AB16" s="382"/>
      <c r="AC16" s="382"/>
      <c r="AD16" s="506">
        <v>0.27</v>
      </c>
      <c r="AE16" s="382"/>
      <c r="AF16" s="382"/>
      <c r="AG16" s="506">
        <v>0.28</v>
      </c>
      <c r="AH16" s="319"/>
      <c r="AI16" s="319"/>
      <c r="AJ16" s="506">
        <v>0.18</v>
      </c>
      <c r="AK16" s="319"/>
      <c r="AL16" s="319"/>
      <c r="AM16" s="507">
        <v>0.27</v>
      </c>
      <c r="AN16" s="319"/>
      <c r="AO16" s="319"/>
      <c r="AP16" s="319"/>
      <c r="AQ16" s="319"/>
      <c r="AR16" s="319"/>
      <c r="AS16" s="319"/>
      <c r="AT16" s="507">
        <f>SUM(AH16:AS16)</f>
        <v>0.45</v>
      </c>
      <c r="AU16" s="508">
        <f>+AT16/R16</f>
        <v>0.45</v>
      </c>
      <c r="AV16" s="495" t="s">
        <v>899</v>
      </c>
      <c r="AW16" s="510" t="s">
        <v>903</v>
      </c>
      <c r="AX16" s="412" t="s">
        <v>450</v>
      </c>
      <c r="AY16" s="412" t="s">
        <v>450</v>
      </c>
    </row>
    <row r="17" spans="1:51" ht="54" customHeight="1">
      <c r="A17" s="780" t="s">
        <v>64</v>
      </c>
      <c r="B17" s="780"/>
      <c r="C17" s="780"/>
      <c r="D17" s="776" t="s">
        <v>640</v>
      </c>
      <c r="E17" s="776"/>
      <c r="F17" s="776"/>
      <c r="G17" s="776"/>
      <c r="H17" s="776"/>
      <c r="I17" s="776"/>
      <c r="J17" s="781" t="s">
        <v>300</v>
      </c>
      <c r="K17" s="781"/>
      <c r="L17" s="781"/>
      <c r="M17" s="781"/>
      <c r="N17" s="781"/>
      <c r="O17" s="781"/>
      <c r="P17" s="776" t="s">
        <v>66</v>
      </c>
      <c r="Q17" s="776"/>
      <c r="R17" s="776"/>
      <c r="S17" s="776"/>
      <c r="T17" s="776"/>
      <c r="U17" s="776"/>
      <c r="V17" s="776" t="s">
        <v>66</v>
      </c>
      <c r="W17" s="776"/>
      <c r="X17" s="776"/>
      <c r="Y17" s="776"/>
      <c r="Z17" s="776"/>
      <c r="AA17" s="776"/>
      <c r="AB17" s="776"/>
      <c r="AC17" s="776"/>
      <c r="AD17" s="776" t="s">
        <v>66</v>
      </c>
      <c r="AE17" s="776"/>
      <c r="AF17" s="776"/>
      <c r="AG17" s="776"/>
      <c r="AH17" s="776"/>
      <c r="AI17" s="776"/>
      <c r="AJ17" s="776"/>
      <c r="AK17" s="776"/>
      <c r="AL17" s="776"/>
      <c r="AM17" s="1138"/>
      <c r="AN17" s="776"/>
      <c r="AO17" s="776"/>
      <c r="AP17" s="781" t="s">
        <v>318</v>
      </c>
      <c r="AQ17" s="781"/>
      <c r="AR17" s="781"/>
      <c r="AS17" s="781"/>
      <c r="AT17" s="776" t="s">
        <v>13</v>
      </c>
      <c r="AU17" s="776"/>
      <c r="AV17" s="776"/>
      <c r="AW17" s="776"/>
      <c r="AX17" s="776"/>
      <c r="AY17" s="776"/>
    </row>
    <row r="18" spans="1:51" ht="30" customHeight="1">
      <c r="A18" s="780"/>
      <c r="B18" s="780"/>
      <c r="C18" s="780"/>
      <c r="D18" s="776" t="s">
        <v>794</v>
      </c>
      <c r="E18" s="776"/>
      <c r="F18" s="776"/>
      <c r="G18" s="776"/>
      <c r="H18" s="776"/>
      <c r="I18" s="776"/>
      <c r="J18" s="781"/>
      <c r="K18" s="781"/>
      <c r="L18" s="781"/>
      <c r="M18" s="781"/>
      <c r="N18" s="781"/>
      <c r="O18" s="781"/>
      <c r="P18" s="776" t="s">
        <v>794</v>
      </c>
      <c r="Q18" s="776"/>
      <c r="R18" s="776"/>
      <c r="S18" s="776"/>
      <c r="T18" s="776"/>
      <c r="U18" s="776"/>
      <c r="V18" s="776" t="s">
        <v>65</v>
      </c>
      <c r="W18" s="776"/>
      <c r="X18" s="776"/>
      <c r="Y18" s="776"/>
      <c r="Z18" s="776"/>
      <c r="AA18" s="776"/>
      <c r="AB18" s="776"/>
      <c r="AC18" s="776"/>
      <c r="AD18" s="776" t="s">
        <v>65</v>
      </c>
      <c r="AE18" s="776"/>
      <c r="AF18" s="776"/>
      <c r="AG18" s="776"/>
      <c r="AH18" s="776"/>
      <c r="AI18" s="776"/>
      <c r="AJ18" s="776"/>
      <c r="AK18" s="776"/>
      <c r="AL18" s="776"/>
      <c r="AM18" s="776"/>
      <c r="AN18" s="776"/>
      <c r="AO18" s="776"/>
      <c r="AP18" s="781"/>
      <c r="AQ18" s="781"/>
      <c r="AR18" s="781"/>
      <c r="AS18" s="781"/>
      <c r="AT18" s="776" t="s">
        <v>771</v>
      </c>
      <c r="AU18" s="776"/>
      <c r="AV18" s="776"/>
      <c r="AW18" s="776"/>
      <c r="AX18" s="776"/>
      <c r="AY18" s="776"/>
    </row>
    <row r="19" spans="1:51" ht="30" customHeight="1">
      <c r="A19" s="780"/>
      <c r="B19" s="780"/>
      <c r="C19" s="780"/>
      <c r="D19" s="776" t="s">
        <v>795</v>
      </c>
      <c r="E19" s="776"/>
      <c r="F19" s="776"/>
      <c r="G19" s="776"/>
      <c r="H19" s="776"/>
      <c r="I19" s="776"/>
      <c r="J19" s="781"/>
      <c r="K19" s="781"/>
      <c r="L19" s="781"/>
      <c r="M19" s="781"/>
      <c r="N19" s="781"/>
      <c r="O19" s="781"/>
      <c r="P19" s="776" t="s">
        <v>795</v>
      </c>
      <c r="Q19" s="776"/>
      <c r="R19" s="776"/>
      <c r="S19" s="776"/>
      <c r="T19" s="776"/>
      <c r="U19" s="776"/>
      <c r="V19" s="776" t="s">
        <v>297</v>
      </c>
      <c r="W19" s="776"/>
      <c r="X19" s="776"/>
      <c r="Y19" s="776"/>
      <c r="Z19" s="776"/>
      <c r="AA19" s="776"/>
      <c r="AB19" s="776"/>
      <c r="AC19" s="776"/>
      <c r="AD19" s="776" t="s">
        <v>297</v>
      </c>
      <c r="AE19" s="776"/>
      <c r="AF19" s="776"/>
      <c r="AG19" s="776"/>
      <c r="AH19" s="776"/>
      <c r="AI19" s="776"/>
      <c r="AJ19" s="776"/>
      <c r="AK19" s="776"/>
      <c r="AL19" s="776"/>
      <c r="AM19" s="776"/>
      <c r="AN19" s="776"/>
      <c r="AO19" s="776"/>
      <c r="AP19" s="781"/>
      <c r="AQ19" s="781"/>
      <c r="AR19" s="781"/>
      <c r="AS19" s="781"/>
      <c r="AT19" s="776" t="s">
        <v>75</v>
      </c>
      <c r="AU19" s="776"/>
      <c r="AV19" s="776"/>
      <c r="AW19" s="776"/>
      <c r="AX19" s="776"/>
      <c r="AY19" s="77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AG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AP17:AS19"/>
    <mergeCell ref="AT17:AY17"/>
    <mergeCell ref="D18:I18"/>
    <mergeCell ref="P18:U18"/>
    <mergeCell ref="V18:AC18"/>
    <mergeCell ref="AD18:AO18"/>
    <mergeCell ref="AT18:AY18"/>
    <mergeCell ref="D19:I19"/>
    <mergeCell ref="P19:U19"/>
    <mergeCell ref="V19:AC19"/>
    <mergeCell ref="AD19:AO19"/>
    <mergeCell ref="AT19:AY19"/>
  </mergeCells>
  <printOptions horizontalCentered="1"/>
  <pageMargins left="0.1968503937007874" right="0.1968503937007874" top="0.7480314960629921" bottom="0.7480314960629921" header="0.31496062992125984" footer="0.31496062992125984"/>
  <pageSetup horizontalDpi="600" verticalDpi="600" orientation="landscape" scale="21" r:id="rId4"/>
  <drawing r:id="rId3"/>
  <legacyDrawing r:id="rId2"/>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AY20"/>
  <sheetViews>
    <sheetView view="pageBreakPreview" zoomScale="60" zoomScaleNormal="61" zoomScalePageLayoutView="0" workbookViewId="0" topLeftCell="N1">
      <selection activeCell="AT13" sqref="AT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7.7109375" style="113" customWidth="1"/>
    <col min="46" max="46" width="17.140625" style="113" customWidth="1"/>
    <col min="47" max="47" width="15.8515625" style="217" customWidth="1"/>
    <col min="48" max="48" width="54.140625" style="113" customWidth="1"/>
    <col min="49" max="49" width="79.7109375" style="113" bestFit="1" customWidth="1"/>
    <col min="50" max="51" width="25.00390625" style="113" customWidth="1"/>
    <col min="52" max="16384" width="10.8515625" style="113" customWidth="1"/>
  </cols>
  <sheetData>
    <row r="1" spans="1:51" ht="15.75" customHeight="1">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708" t="s">
        <v>423</v>
      </c>
      <c r="AY1" s="709"/>
    </row>
    <row r="2" spans="1:51" ht="15.75" customHeight="1">
      <c r="A2" s="768" t="s">
        <v>17</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70"/>
      <c r="AX2" s="756" t="s">
        <v>418</v>
      </c>
      <c r="AY2" s="757"/>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756" t="s">
        <v>424</v>
      </c>
      <c r="AY3" s="757"/>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785</v>
      </c>
      <c r="AY4" s="758"/>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96" t="s">
        <v>71</v>
      </c>
      <c r="B6" s="796"/>
      <c r="C6" s="796"/>
      <c r="D6" s="1085">
        <v>45146</v>
      </c>
      <c r="E6" s="797"/>
      <c r="F6" s="787" t="s">
        <v>67</v>
      </c>
      <c r="G6" s="789"/>
      <c r="H6" s="786" t="s">
        <v>70</v>
      </c>
      <c r="I6" s="786"/>
      <c r="J6" s="128"/>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791"/>
      <c r="AJ6" s="791"/>
      <c r="AK6" s="791"/>
      <c r="AL6" s="791"/>
      <c r="AM6" s="791"/>
      <c r="AN6" s="791"/>
      <c r="AO6" s="791"/>
      <c r="AP6" s="791"/>
      <c r="AQ6" s="791"/>
      <c r="AR6" s="791"/>
      <c r="AS6" s="791"/>
      <c r="AT6" s="791"/>
      <c r="AU6" s="792"/>
      <c r="AV6" s="785"/>
      <c r="AW6" s="785"/>
      <c r="AX6" s="785"/>
      <c r="AY6" s="785"/>
    </row>
    <row r="7" spans="1:51" ht="15" customHeight="1">
      <c r="A7" s="796"/>
      <c r="B7" s="796"/>
      <c r="C7" s="796"/>
      <c r="D7" s="797"/>
      <c r="E7" s="797"/>
      <c r="F7" s="790"/>
      <c r="G7" s="792"/>
      <c r="H7" s="786" t="s">
        <v>68</v>
      </c>
      <c r="I7" s="786"/>
      <c r="J7" s="128"/>
      <c r="K7" s="790"/>
      <c r="L7" s="791"/>
      <c r="M7" s="791"/>
      <c r="N7" s="791"/>
      <c r="O7" s="791"/>
      <c r="P7" s="791"/>
      <c r="Q7" s="791"/>
      <c r="R7" s="791"/>
      <c r="S7" s="791"/>
      <c r="T7" s="791"/>
      <c r="U7" s="791"/>
      <c r="V7" s="116"/>
      <c r="W7" s="116"/>
      <c r="X7" s="116"/>
      <c r="Y7" s="116"/>
      <c r="Z7" s="116"/>
      <c r="AA7" s="116"/>
      <c r="AB7" s="116"/>
      <c r="AC7" s="116"/>
      <c r="AD7" s="116"/>
      <c r="AE7" s="116"/>
      <c r="AF7" s="116"/>
      <c r="AG7" s="117"/>
      <c r="AH7" s="790"/>
      <c r="AI7" s="791"/>
      <c r="AJ7" s="791"/>
      <c r="AK7" s="791"/>
      <c r="AL7" s="791"/>
      <c r="AM7" s="791"/>
      <c r="AN7" s="791"/>
      <c r="AO7" s="791"/>
      <c r="AP7" s="791"/>
      <c r="AQ7" s="791"/>
      <c r="AR7" s="791"/>
      <c r="AS7" s="791"/>
      <c r="AT7" s="791"/>
      <c r="AU7" s="792"/>
      <c r="AV7" s="785"/>
      <c r="AW7" s="785"/>
      <c r="AX7" s="785"/>
      <c r="AY7" s="785"/>
    </row>
    <row r="8" spans="1:51" ht="15" customHeight="1">
      <c r="A8" s="796"/>
      <c r="B8" s="796"/>
      <c r="C8" s="796"/>
      <c r="D8" s="797"/>
      <c r="E8" s="797"/>
      <c r="F8" s="793"/>
      <c r="G8" s="795"/>
      <c r="H8" s="786" t="s">
        <v>69</v>
      </c>
      <c r="I8" s="786"/>
      <c r="J8" s="128" t="s">
        <v>425</v>
      </c>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791"/>
      <c r="AJ8" s="791"/>
      <c r="AK8" s="791"/>
      <c r="AL8" s="791"/>
      <c r="AM8" s="791"/>
      <c r="AN8" s="791"/>
      <c r="AO8" s="791"/>
      <c r="AP8" s="791"/>
      <c r="AQ8" s="791"/>
      <c r="AR8" s="791"/>
      <c r="AS8" s="791"/>
      <c r="AT8" s="791"/>
      <c r="AU8" s="792"/>
      <c r="AV8" s="785"/>
      <c r="AW8" s="785"/>
      <c r="AX8" s="785"/>
      <c r="AY8" s="785"/>
    </row>
    <row r="9" spans="1:51" ht="15" customHeight="1">
      <c r="A9" s="765" t="s">
        <v>399</v>
      </c>
      <c r="B9" s="766"/>
      <c r="C9" s="767"/>
      <c r="D9" s="801"/>
      <c r="E9" s="802"/>
      <c r="F9" s="802"/>
      <c r="G9" s="802"/>
      <c r="H9" s="802"/>
      <c r="I9" s="802"/>
      <c r="J9" s="802"/>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791"/>
      <c r="AJ9" s="791"/>
      <c r="AK9" s="791"/>
      <c r="AL9" s="791"/>
      <c r="AM9" s="791"/>
      <c r="AN9" s="791"/>
      <c r="AO9" s="791"/>
      <c r="AP9" s="791"/>
      <c r="AQ9" s="791"/>
      <c r="AR9" s="791"/>
      <c r="AS9" s="791"/>
      <c r="AT9" s="791"/>
      <c r="AU9" s="792"/>
      <c r="AV9" s="785"/>
      <c r="AW9" s="785"/>
      <c r="AX9" s="785"/>
      <c r="AY9" s="785"/>
    </row>
    <row r="10" spans="1:51" ht="15" customHeight="1">
      <c r="A10" s="798" t="s">
        <v>287</v>
      </c>
      <c r="B10" s="799"/>
      <c r="C10" s="800"/>
      <c r="D10" s="805" t="s">
        <v>500</v>
      </c>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39.7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292" t="s">
        <v>169</v>
      </c>
      <c r="B12" s="292" t="s">
        <v>170</v>
      </c>
      <c r="C12" s="292" t="s">
        <v>171</v>
      </c>
      <c r="D12" s="292" t="s">
        <v>178</v>
      </c>
      <c r="E12" s="292" t="s">
        <v>185</v>
      </c>
      <c r="F12" s="292" t="s">
        <v>186</v>
      </c>
      <c r="G12" s="292" t="s">
        <v>277</v>
      </c>
      <c r="H12" s="292" t="s">
        <v>184</v>
      </c>
      <c r="I12" s="778"/>
      <c r="J12" s="778"/>
      <c r="K12" s="778"/>
      <c r="L12" s="778"/>
      <c r="M12" s="778"/>
      <c r="N12" s="778"/>
      <c r="O12" s="292">
        <v>2020</v>
      </c>
      <c r="P12" s="292">
        <v>2021</v>
      </c>
      <c r="Q12" s="292">
        <v>2022</v>
      </c>
      <c r="R12" s="292">
        <v>2023</v>
      </c>
      <c r="S12" s="292">
        <v>2024</v>
      </c>
      <c r="T12" s="778"/>
      <c r="U12" s="778"/>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78"/>
      <c r="AW12" s="778"/>
      <c r="AX12" s="778"/>
      <c r="AY12" s="778"/>
    </row>
    <row r="13" spans="1:51" ht="231" customHeight="1">
      <c r="A13" s="121"/>
      <c r="B13" s="121"/>
      <c r="C13" s="121"/>
      <c r="D13" s="121"/>
      <c r="E13" s="121" t="s">
        <v>425</v>
      </c>
      <c r="F13" s="121"/>
      <c r="G13" s="152" t="s">
        <v>700</v>
      </c>
      <c r="H13" s="122" t="s">
        <v>845</v>
      </c>
      <c r="I13" s="313" t="s">
        <v>701</v>
      </c>
      <c r="J13" s="367" t="s">
        <v>702</v>
      </c>
      <c r="K13" s="122" t="s">
        <v>430</v>
      </c>
      <c r="L13" s="121" t="s">
        <v>450</v>
      </c>
      <c r="M13" s="122" t="s">
        <v>703</v>
      </c>
      <c r="N13" s="313" t="s">
        <v>704</v>
      </c>
      <c r="O13" s="368"/>
      <c r="P13" s="368"/>
      <c r="Q13" s="369"/>
      <c r="R13" s="369">
        <v>55</v>
      </c>
      <c r="S13" s="369"/>
      <c r="T13" s="370" t="s">
        <v>433</v>
      </c>
      <c r="U13" s="371" t="s">
        <v>705</v>
      </c>
      <c r="V13" s="376"/>
      <c r="W13" s="329"/>
      <c r="X13" s="377">
        <v>13</v>
      </c>
      <c r="Y13" s="377"/>
      <c r="Z13" s="377"/>
      <c r="AA13" s="377">
        <v>14</v>
      </c>
      <c r="AB13" s="377"/>
      <c r="AC13" s="377"/>
      <c r="AD13" s="377">
        <v>14</v>
      </c>
      <c r="AE13" s="377"/>
      <c r="AF13" s="377">
        <v>14</v>
      </c>
      <c r="AG13" s="377"/>
      <c r="AH13" s="124"/>
      <c r="AI13" s="124"/>
      <c r="AJ13" s="124">
        <v>1</v>
      </c>
      <c r="AK13" s="124"/>
      <c r="AL13" s="124"/>
      <c r="AM13" s="484">
        <v>26.75</v>
      </c>
      <c r="AN13" s="124"/>
      <c r="AO13" s="124"/>
      <c r="AP13" s="124"/>
      <c r="AQ13" s="124"/>
      <c r="AR13" s="124"/>
      <c r="AS13" s="124"/>
      <c r="AT13" s="483">
        <f>SUM(AH13:AS13)</f>
        <v>27.75</v>
      </c>
      <c r="AU13" s="127">
        <f>+AT13/R13</f>
        <v>0.5045454545454545</v>
      </c>
      <c r="AV13" s="504" t="s">
        <v>887</v>
      </c>
      <c r="AW13" s="480" t="s">
        <v>904</v>
      </c>
      <c r="AX13" s="412" t="s">
        <v>888</v>
      </c>
      <c r="AY13" s="412" t="s">
        <v>888</v>
      </c>
    </row>
    <row r="14" spans="1:51" ht="275.25" customHeight="1">
      <c r="A14" s="121"/>
      <c r="B14" s="121"/>
      <c r="C14" s="121"/>
      <c r="D14" s="121"/>
      <c r="E14" s="121" t="s">
        <v>425</v>
      </c>
      <c r="F14" s="121"/>
      <c r="G14" s="152" t="s">
        <v>700</v>
      </c>
      <c r="H14" s="122" t="s">
        <v>845</v>
      </c>
      <c r="I14" s="313" t="s">
        <v>701</v>
      </c>
      <c r="J14" s="313" t="s">
        <v>706</v>
      </c>
      <c r="K14" s="121" t="s">
        <v>430</v>
      </c>
      <c r="L14" s="121" t="s">
        <v>450</v>
      </c>
      <c r="M14" s="122" t="s">
        <v>707</v>
      </c>
      <c r="N14" s="313" t="s">
        <v>708</v>
      </c>
      <c r="O14" s="368"/>
      <c r="P14" s="368"/>
      <c r="Q14" s="369"/>
      <c r="R14" s="369">
        <v>150</v>
      </c>
      <c r="S14" s="369"/>
      <c r="T14" s="372" t="s">
        <v>433</v>
      </c>
      <c r="U14" s="245" t="s">
        <v>709</v>
      </c>
      <c r="V14" s="328"/>
      <c r="W14" s="328"/>
      <c r="X14" s="373">
        <v>22.5</v>
      </c>
      <c r="Y14" s="373"/>
      <c r="Z14" s="373"/>
      <c r="AA14" s="373">
        <v>52.5</v>
      </c>
      <c r="AB14" s="374"/>
      <c r="AC14" s="374"/>
      <c r="AD14" s="374">
        <v>45</v>
      </c>
      <c r="AE14" s="374"/>
      <c r="AF14" s="374"/>
      <c r="AG14" s="374">
        <v>30</v>
      </c>
      <c r="AH14" s="124"/>
      <c r="AI14" s="124"/>
      <c r="AJ14" s="124">
        <v>22.5</v>
      </c>
      <c r="AK14" s="124"/>
      <c r="AL14" s="124"/>
      <c r="AM14" s="485">
        <v>55.75</v>
      </c>
      <c r="AN14" s="124"/>
      <c r="AO14" s="124"/>
      <c r="AP14" s="124"/>
      <c r="AQ14" s="124"/>
      <c r="AR14" s="124"/>
      <c r="AS14" s="124"/>
      <c r="AT14" s="124">
        <f>SUM(AH14:AS14)</f>
        <v>78.25</v>
      </c>
      <c r="AU14" s="127">
        <f>+AT14/R14</f>
        <v>0.5216666666666666</v>
      </c>
      <c r="AV14" s="504" t="s">
        <v>887</v>
      </c>
      <c r="AW14" s="480" t="s">
        <v>905</v>
      </c>
      <c r="AX14" s="412" t="s">
        <v>888</v>
      </c>
      <c r="AY14" s="412" t="s">
        <v>888</v>
      </c>
    </row>
    <row r="15" spans="1:51" ht="378.75" customHeight="1">
      <c r="A15" s="121"/>
      <c r="B15" s="121"/>
      <c r="C15" s="121"/>
      <c r="D15" s="121"/>
      <c r="E15" s="121" t="s">
        <v>425</v>
      </c>
      <c r="F15" s="121"/>
      <c r="G15" s="152" t="s">
        <v>700</v>
      </c>
      <c r="H15" s="122" t="s">
        <v>845</v>
      </c>
      <c r="I15" s="313" t="s">
        <v>701</v>
      </c>
      <c r="J15" s="313" t="s">
        <v>710</v>
      </c>
      <c r="K15" s="121" t="s">
        <v>430</v>
      </c>
      <c r="L15" s="121" t="s">
        <v>450</v>
      </c>
      <c r="M15" s="122" t="s">
        <v>711</v>
      </c>
      <c r="N15" s="313" t="s">
        <v>712</v>
      </c>
      <c r="O15" s="124"/>
      <c r="P15" s="124"/>
      <c r="Q15" s="328"/>
      <c r="R15" s="328">
        <v>8</v>
      </c>
      <c r="S15" s="328"/>
      <c r="T15" s="372" t="s">
        <v>433</v>
      </c>
      <c r="U15" s="245" t="s">
        <v>713</v>
      </c>
      <c r="V15" s="328"/>
      <c r="W15" s="328"/>
      <c r="X15" s="328">
        <v>2</v>
      </c>
      <c r="Y15" s="328"/>
      <c r="Z15" s="328"/>
      <c r="AA15" s="328">
        <v>2</v>
      </c>
      <c r="AB15" s="328"/>
      <c r="AC15" s="328"/>
      <c r="AD15" s="328">
        <v>2</v>
      </c>
      <c r="AE15" s="328"/>
      <c r="AF15" s="328"/>
      <c r="AG15" s="328">
        <v>2</v>
      </c>
      <c r="AH15" s="124"/>
      <c r="AI15" s="124"/>
      <c r="AJ15" s="124">
        <v>3</v>
      </c>
      <c r="AK15" s="124"/>
      <c r="AL15" s="124"/>
      <c r="AM15" s="484">
        <v>2</v>
      </c>
      <c r="AN15" s="124"/>
      <c r="AO15" s="124"/>
      <c r="AP15" s="124"/>
      <c r="AQ15" s="124"/>
      <c r="AR15" s="124"/>
      <c r="AS15" s="124"/>
      <c r="AT15" s="124">
        <f>SUM(AH15:AS15)</f>
        <v>5</v>
      </c>
      <c r="AU15" s="127">
        <f>+AT15/R15</f>
        <v>0.625</v>
      </c>
      <c r="AV15" s="504" t="s">
        <v>887</v>
      </c>
      <c r="AW15" s="481" t="s">
        <v>906</v>
      </c>
      <c r="AX15" s="412" t="s">
        <v>888</v>
      </c>
      <c r="AY15" s="412" t="s">
        <v>888</v>
      </c>
    </row>
    <row r="16" spans="1:51" ht="309.75" customHeight="1">
      <c r="A16" s="121"/>
      <c r="B16" s="121"/>
      <c r="C16" s="121"/>
      <c r="D16" s="121"/>
      <c r="E16" s="121" t="s">
        <v>425</v>
      </c>
      <c r="F16" s="121"/>
      <c r="G16" s="152" t="s">
        <v>700</v>
      </c>
      <c r="H16" s="122" t="s">
        <v>845</v>
      </c>
      <c r="I16" s="313" t="s">
        <v>701</v>
      </c>
      <c r="J16" s="313" t="s">
        <v>714</v>
      </c>
      <c r="K16" s="121" t="s">
        <v>430</v>
      </c>
      <c r="L16" s="121" t="s">
        <v>450</v>
      </c>
      <c r="M16" s="122" t="s">
        <v>431</v>
      </c>
      <c r="N16" s="313" t="s">
        <v>715</v>
      </c>
      <c r="O16" s="124"/>
      <c r="P16" s="124"/>
      <c r="Q16" s="375"/>
      <c r="R16" s="375">
        <v>1</v>
      </c>
      <c r="S16" s="328"/>
      <c r="T16" s="372" t="s">
        <v>433</v>
      </c>
      <c r="U16" s="245" t="s">
        <v>716</v>
      </c>
      <c r="V16" s="328"/>
      <c r="W16" s="328"/>
      <c r="X16" s="327">
        <v>0.25</v>
      </c>
      <c r="Y16" s="328"/>
      <c r="Z16" s="328"/>
      <c r="AA16" s="327">
        <v>0.25</v>
      </c>
      <c r="AB16" s="328"/>
      <c r="AC16" s="328"/>
      <c r="AD16" s="327">
        <v>0.25</v>
      </c>
      <c r="AE16" s="328"/>
      <c r="AF16" s="328"/>
      <c r="AG16" s="327">
        <v>0.25</v>
      </c>
      <c r="AH16" s="124"/>
      <c r="AI16" s="124"/>
      <c r="AJ16" s="127">
        <v>0.25</v>
      </c>
      <c r="AK16" s="124"/>
      <c r="AL16" s="124"/>
      <c r="AM16" s="465">
        <v>0.25</v>
      </c>
      <c r="AN16" s="124"/>
      <c r="AO16" s="124"/>
      <c r="AP16" s="124"/>
      <c r="AQ16" s="124"/>
      <c r="AR16" s="124"/>
      <c r="AS16" s="124"/>
      <c r="AT16" s="127">
        <f>SUM(AH16:AS16)</f>
        <v>0.5</v>
      </c>
      <c r="AU16" s="127">
        <f>+AT16/R16</f>
        <v>0.5</v>
      </c>
      <c r="AV16" s="504" t="s">
        <v>887</v>
      </c>
      <c r="AW16" s="482" t="s">
        <v>907</v>
      </c>
      <c r="AX16" s="412" t="s">
        <v>888</v>
      </c>
      <c r="AY16" s="412" t="s">
        <v>888</v>
      </c>
    </row>
    <row r="17" spans="1:51" ht="409.5" customHeight="1">
      <c r="A17" s="121"/>
      <c r="B17" s="121"/>
      <c r="C17" s="121"/>
      <c r="D17" s="121"/>
      <c r="E17" s="121" t="s">
        <v>425</v>
      </c>
      <c r="F17" s="121"/>
      <c r="G17" s="152" t="s">
        <v>700</v>
      </c>
      <c r="H17" s="122" t="s">
        <v>845</v>
      </c>
      <c r="I17" s="313" t="s">
        <v>701</v>
      </c>
      <c r="J17" s="313" t="s">
        <v>717</v>
      </c>
      <c r="K17" s="122" t="s">
        <v>430</v>
      </c>
      <c r="L17" s="121" t="s">
        <v>450</v>
      </c>
      <c r="M17" s="122" t="s">
        <v>431</v>
      </c>
      <c r="N17" s="313" t="s">
        <v>718</v>
      </c>
      <c r="O17" s="124"/>
      <c r="P17" s="124"/>
      <c r="Q17" s="375"/>
      <c r="R17" s="375">
        <v>1</v>
      </c>
      <c r="S17" s="328"/>
      <c r="T17" s="372" t="s">
        <v>433</v>
      </c>
      <c r="U17" s="245" t="s">
        <v>716</v>
      </c>
      <c r="V17" s="328"/>
      <c r="W17" s="328"/>
      <c r="X17" s="327">
        <v>0.25</v>
      </c>
      <c r="Y17" s="328"/>
      <c r="Z17" s="328"/>
      <c r="AA17" s="327">
        <v>0.25</v>
      </c>
      <c r="AB17" s="328"/>
      <c r="AC17" s="328"/>
      <c r="AD17" s="327">
        <v>0.25</v>
      </c>
      <c r="AE17" s="328"/>
      <c r="AF17" s="328"/>
      <c r="AG17" s="327">
        <v>0.25</v>
      </c>
      <c r="AH17" s="124"/>
      <c r="AI17" s="124"/>
      <c r="AJ17" s="327">
        <v>0.25</v>
      </c>
      <c r="AK17" s="124"/>
      <c r="AL17" s="124"/>
      <c r="AM17" s="465">
        <v>0.25</v>
      </c>
      <c r="AN17" s="124"/>
      <c r="AO17" s="124"/>
      <c r="AP17" s="124"/>
      <c r="AQ17" s="124"/>
      <c r="AR17" s="124"/>
      <c r="AS17" s="124"/>
      <c r="AT17" s="127">
        <f>SUM(AH17:AS17)</f>
        <v>0.5</v>
      </c>
      <c r="AU17" s="127">
        <f>+AT17/R17</f>
        <v>0.5</v>
      </c>
      <c r="AV17" s="504" t="s">
        <v>887</v>
      </c>
      <c r="AW17" s="482" t="s">
        <v>908</v>
      </c>
      <c r="AX17" s="412" t="s">
        <v>888</v>
      </c>
      <c r="AY17" s="412" t="s">
        <v>888</v>
      </c>
    </row>
    <row r="18" spans="1:51" ht="54" customHeight="1">
      <c r="A18" s="780" t="s">
        <v>64</v>
      </c>
      <c r="B18" s="780"/>
      <c r="C18" s="780"/>
      <c r="D18" s="776" t="s">
        <v>66</v>
      </c>
      <c r="E18" s="776"/>
      <c r="F18" s="776"/>
      <c r="G18" s="776"/>
      <c r="H18" s="776"/>
      <c r="I18" s="776"/>
      <c r="J18" s="781" t="s">
        <v>300</v>
      </c>
      <c r="K18" s="781"/>
      <c r="L18" s="781"/>
      <c r="M18" s="781"/>
      <c r="N18" s="781"/>
      <c r="O18" s="781"/>
      <c r="P18" s="776" t="s">
        <v>66</v>
      </c>
      <c r="Q18" s="776"/>
      <c r="R18" s="776"/>
      <c r="S18" s="776"/>
      <c r="T18" s="776"/>
      <c r="U18" s="776"/>
      <c r="V18" s="776" t="s">
        <v>66</v>
      </c>
      <c r="W18" s="776"/>
      <c r="X18" s="776"/>
      <c r="Y18" s="776"/>
      <c r="Z18" s="776"/>
      <c r="AA18" s="776"/>
      <c r="AB18" s="776"/>
      <c r="AC18" s="776"/>
      <c r="AD18" s="776" t="s">
        <v>66</v>
      </c>
      <c r="AE18" s="776"/>
      <c r="AF18" s="776"/>
      <c r="AG18" s="776"/>
      <c r="AH18" s="776"/>
      <c r="AI18" s="776"/>
      <c r="AJ18" s="776"/>
      <c r="AK18" s="776"/>
      <c r="AL18" s="776"/>
      <c r="AM18" s="776"/>
      <c r="AN18" s="776"/>
      <c r="AO18" s="776"/>
      <c r="AP18" s="781" t="s">
        <v>318</v>
      </c>
      <c r="AQ18" s="781"/>
      <c r="AR18" s="781"/>
      <c r="AS18" s="781"/>
      <c r="AT18" s="776" t="s">
        <v>13</v>
      </c>
      <c r="AU18" s="776"/>
      <c r="AV18" s="776"/>
      <c r="AW18" s="776"/>
      <c r="AX18" s="776"/>
      <c r="AY18" s="776"/>
    </row>
    <row r="19" spans="1:51" ht="30" customHeight="1">
      <c r="A19" s="780"/>
      <c r="B19" s="780"/>
      <c r="C19" s="780"/>
      <c r="D19" s="776" t="s">
        <v>815</v>
      </c>
      <c r="E19" s="776"/>
      <c r="F19" s="776"/>
      <c r="G19" s="776"/>
      <c r="H19" s="776"/>
      <c r="I19" s="776"/>
      <c r="J19" s="781"/>
      <c r="K19" s="781"/>
      <c r="L19" s="781"/>
      <c r="M19" s="781"/>
      <c r="N19" s="781"/>
      <c r="O19" s="781"/>
      <c r="P19" s="776" t="s">
        <v>848</v>
      </c>
      <c r="Q19" s="776"/>
      <c r="R19" s="776"/>
      <c r="S19" s="776"/>
      <c r="T19" s="776"/>
      <c r="U19" s="776"/>
      <c r="V19" s="776" t="s">
        <v>65</v>
      </c>
      <c r="W19" s="776"/>
      <c r="X19" s="776"/>
      <c r="Y19" s="776"/>
      <c r="Z19" s="776"/>
      <c r="AA19" s="776"/>
      <c r="AB19" s="776"/>
      <c r="AC19" s="776"/>
      <c r="AD19" s="776" t="s">
        <v>65</v>
      </c>
      <c r="AE19" s="776"/>
      <c r="AF19" s="776"/>
      <c r="AG19" s="776"/>
      <c r="AH19" s="776"/>
      <c r="AI19" s="776"/>
      <c r="AJ19" s="776"/>
      <c r="AK19" s="776"/>
      <c r="AL19" s="776"/>
      <c r="AM19" s="776"/>
      <c r="AN19" s="776"/>
      <c r="AO19" s="776"/>
      <c r="AP19" s="781"/>
      <c r="AQ19" s="781"/>
      <c r="AR19" s="781"/>
      <c r="AS19" s="781"/>
      <c r="AT19" s="776" t="s">
        <v>771</v>
      </c>
      <c r="AU19" s="776"/>
      <c r="AV19" s="776"/>
      <c r="AW19" s="776"/>
      <c r="AX19" s="776"/>
      <c r="AY19" s="776"/>
    </row>
    <row r="20" spans="1:51" ht="30" customHeight="1">
      <c r="A20" s="780"/>
      <c r="B20" s="780"/>
      <c r="C20" s="780"/>
      <c r="D20" s="776" t="s">
        <v>816</v>
      </c>
      <c r="E20" s="776"/>
      <c r="F20" s="776"/>
      <c r="G20" s="776"/>
      <c r="H20" s="776"/>
      <c r="I20" s="776"/>
      <c r="J20" s="781"/>
      <c r="K20" s="781"/>
      <c r="L20" s="781"/>
      <c r="M20" s="781"/>
      <c r="N20" s="781"/>
      <c r="O20" s="781"/>
      <c r="P20" s="776" t="s">
        <v>817</v>
      </c>
      <c r="Q20" s="776"/>
      <c r="R20" s="776"/>
      <c r="S20" s="776"/>
      <c r="T20" s="776"/>
      <c r="U20" s="776"/>
      <c r="V20" s="776" t="s">
        <v>297</v>
      </c>
      <c r="W20" s="776"/>
      <c r="X20" s="776"/>
      <c r="Y20" s="776"/>
      <c r="Z20" s="776"/>
      <c r="AA20" s="776"/>
      <c r="AB20" s="776"/>
      <c r="AC20" s="776"/>
      <c r="AD20" s="776" t="s">
        <v>297</v>
      </c>
      <c r="AE20" s="776"/>
      <c r="AF20" s="776"/>
      <c r="AG20" s="776"/>
      <c r="AH20" s="776"/>
      <c r="AI20" s="776"/>
      <c r="AJ20" s="776"/>
      <c r="AK20" s="776"/>
      <c r="AL20" s="776"/>
      <c r="AM20" s="776"/>
      <c r="AN20" s="776"/>
      <c r="AO20" s="776"/>
      <c r="AP20" s="781"/>
      <c r="AQ20" s="781"/>
      <c r="AR20" s="781"/>
      <c r="AS20" s="781"/>
      <c r="AT20" s="776" t="s">
        <v>75</v>
      </c>
      <c r="AU20" s="776"/>
      <c r="AV20" s="776"/>
      <c r="AW20" s="776"/>
      <c r="AX20" s="776"/>
      <c r="AY20" s="776"/>
    </row>
  </sheetData>
  <sheetProtection/>
  <mergeCells count="56">
    <mergeCell ref="D20:I20"/>
    <mergeCell ref="P20:U20"/>
    <mergeCell ref="V20:AC20"/>
    <mergeCell ref="AD20:AO20"/>
    <mergeCell ref="AT20:AY20"/>
    <mergeCell ref="AT18:AY18"/>
    <mergeCell ref="D19:I19"/>
    <mergeCell ref="P19:U19"/>
    <mergeCell ref="V19:AC19"/>
    <mergeCell ref="AD19:AO19"/>
    <mergeCell ref="AT19:AY19"/>
    <mergeCell ref="AH11:AS11"/>
    <mergeCell ref="AT11:AU11"/>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7" r:id="rId4"/>
  <drawing r:id="rId3"/>
  <legacyDrawing r:id="rId2"/>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AY26"/>
  <sheetViews>
    <sheetView view="pageBreakPreview" zoomScale="60" zoomScaleNormal="70" zoomScalePageLayoutView="0" workbookViewId="0" topLeftCell="N1">
      <selection activeCell="AT13" sqref="AT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17.57421875" style="113" customWidth="1"/>
    <col min="8" max="8" width="14.7109375" style="113" customWidth="1"/>
    <col min="9" max="9" width="39.7109375" style="113" customWidth="1"/>
    <col min="10" max="10" width="32.421875" style="113" customWidth="1"/>
    <col min="11" max="11" width="16.8515625" style="113" customWidth="1"/>
    <col min="12" max="13" width="15.28125" style="113" customWidth="1"/>
    <col min="14" max="14" width="47.57421875" style="113" customWidth="1"/>
    <col min="15" max="19" width="8.7109375" style="113" customWidth="1"/>
    <col min="20" max="20" width="22.28125" style="113" customWidth="1"/>
    <col min="21" max="21" width="35.57421875" style="113" customWidth="1"/>
    <col min="22" max="45" width="8.8515625" style="113" customWidth="1"/>
    <col min="46" max="46" width="17.140625" style="113" customWidth="1"/>
    <col min="47" max="47" width="15.8515625" style="217" customWidth="1"/>
    <col min="48" max="48" width="105.7109375" style="113" customWidth="1"/>
    <col min="49" max="49" width="132.00390625" style="113" customWidth="1"/>
    <col min="50" max="51" width="24.421875" style="113" customWidth="1"/>
    <col min="52" max="16384" width="10.8515625" style="113" customWidth="1"/>
  </cols>
  <sheetData>
    <row r="1" spans="1:51" ht="15.75" customHeight="1">
      <c r="A1" s="1109" t="s">
        <v>16</v>
      </c>
      <c r="B1" s="1110"/>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c r="AD1" s="1110"/>
      <c r="AE1" s="1110"/>
      <c r="AF1" s="1110"/>
      <c r="AG1" s="1110"/>
      <c r="AH1" s="1110"/>
      <c r="AI1" s="1110"/>
      <c r="AJ1" s="1110"/>
      <c r="AK1" s="1110"/>
      <c r="AL1" s="1110"/>
      <c r="AM1" s="1110"/>
      <c r="AN1" s="1110"/>
      <c r="AO1" s="1110"/>
      <c r="AP1" s="1110"/>
      <c r="AQ1" s="1110"/>
      <c r="AR1" s="1110"/>
      <c r="AS1" s="1110"/>
      <c r="AT1" s="1110"/>
      <c r="AU1" s="1110"/>
      <c r="AV1" s="1110"/>
      <c r="AW1" s="1111"/>
      <c r="AX1" s="1028" t="s">
        <v>423</v>
      </c>
      <c r="AY1" s="1029"/>
    </row>
    <row r="2" spans="1:51" ht="15.75" customHeight="1">
      <c r="A2" s="1109" t="s">
        <v>17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1"/>
      <c r="AX2" s="1028" t="s">
        <v>418</v>
      </c>
      <c r="AY2" s="1029"/>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1028" t="s">
        <v>424</v>
      </c>
      <c r="AY3" s="1029"/>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786</v>
      </c>
      <c r="AY4" s="758"/>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96" t="s">
        <v>71</v>
      </c>
      <c r="B6" s="796"/>
      <c r="C6" s="796"/>
      <c r="D6" s="1085">
        <v>45146</v>
      </c>
      <c r="E6" s="797"/>
      <c r="F6" s="787" t="s">
        <v>67</v>
      </c>
      <c r="G6" s="789"/>
      <c r="H6" s="1127" t="s">
        <v>70</v>
      </c>
      <c r="I6" s="1127"/>
      <c r="J6" s="121"/>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791"/>
      <c r="AJ6" s="791"/>
      <c r="AK6" s="791"/>
      <c r="AL6" s="791"/>
      <c r="AM6" s="791"/>
      <c r="AN6" s="791"/>
      <c r="AO6" s="791"/>
      <c r="AP6" s="791"/>
      <c r="AQ6" s="791"/>
      <c r="AR6" s="791"/>
      <c r="AS6" s="791"/>
      <c r="AT6" s="791"/>
      <c r="AU6" s="792"/>
      <c r="AV6" s="785"/>
      <c r="AW6" s="785"/>
      <c r="AX6" s="785"/>
      <c r="AY6" s="785"/>
    </row>
    <row r="7" spans="1:51" ht="15" customHeight="1">
      <c r="A7" s="796"/>
      <c r="B7" s="796"/>
      <c r="C7" s="796"/>
      <c r="D7" s="797"/>
      <c r="E7" s="797"/>
      <c r="F7" s="790"/>
      <c r="G7" s="792"/>
      <c r="H7" s="1127" t="s">
        <v>68</v>
      </c>
      <c r="I7" s="1127"/>
      <c r="J7" s="121"/>
      <c r="K7" s="790"/>
      <c r="L7" s="791"/>
      <c r="M7" s="791"/>
      <c r="N7" s="791"/>
      <c r="O7" s="791"/>
      <c r="P7" s="791"/>
      <c r="Q7" s="791"/>
      <c r="R7" s="791"/>
      <c r="S7" s="791"/>
      <c r="T7" s="791"/>
      <c r="U7" s="791"/>
      <c r="V7" s="116"/>
      <c r="W7" s="116"/>
      <c r="X7" s="116"/>
      <c r="Y7" s="116"/>
      <c r="Z7" s="116"/>
      <c r="AA7" s="116"/>
      <c r="AB7" s="116"/>
      <c r="AC7" s="116"/>
      <c r="AD7" s="116"/>
      <c r="AE7" s="116"/>
      <c r="AF7" s="116"/>
      <c r="AG7" s="117"/>
      <c r="AH7" s="790"/>
      <c r="AI7" s="791"/>
      <c r="AJ7" s="791"/>
      <c r="AK7" s="791"/>
      <c r="AL7" s="791"/>
      <c r="AM7" s="791"/>
      <c r="AN7" s="791"/>
      <c r="AO7" s="791"/>
      <c r="AP7" s="791"/>
      <c r="AQ7" s="791"/>
      <c r="AR7" s="791"/>
      <c r="AS7" s="791"/>
      <c r="AT7" s="791"/>
      <c r="AU7" s="792"/>
      <c r="AV7" s="785"/>
      <c r="AW7" s="785"/>
      <c r="AX7" s="785"/>
      <c r="AY7" s="785"/>
    </row>
    <row r="8" spans="1:51" ht="15" customHeight="1">
      <c r="A8" s="796"/>
      <c r="B8" s="796"/>
      <c r="C8" s="796"/>
      <c r="D8" s="797"/>
      <c r="E8" s="797"/>
      <c r="F8" s="793"/>
      <c r="G8" s="795"/>
      <c r="H8" s="1127" t="s">
        <v>69</v>
      </c>
      <c r="I8" s="1127"/>
      <c r="J8" s="121" t="s">
        <v>425</v>
      </c>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791"/>
      <c r="AJ8" s="791"/>
      <c r="AK8" s="791"/>
      <c r="AL8" s="791"/>
      <c r="AM8" s="791"/>
      <c r="AN8" s="791"/>
      <c r="AO8" s="791"/>
      <c r="AP8" s="791"/>
      <c r="AQ8" s="791"/>
      <c r="AR8" s="791"/>
      <c r="AS8" s="791"/>
      <c r="AT8" s="791"/>
      <c r="AU8" s="792"/>
      <c r="AV8" s="785"/>
      <c r="AW8" s="785"/>
      <c r="AX8" s="785"/>
      <c r="AY8" s="785"/>
    </row>
    <row r="9" spans="1:51" ht="15" customHeight="1">
      <c r="A9" s="765" t="s">
        <v>399</v>
      </c>
      <c r="B9" s="766"/>
      <c r="C9" s="767"/>
      <c r="D9" s="801"/>
      <c r="E9" s="802"/>
      <c r="F9" s="802"/>
      <c r="G9" s="802"/>
      <c r="H9" s="802"/>
      <c r="I9" s="802"/>
      <c r="J9" s="802"/>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791"/>
      <c r="AJ9" s="791"/>
      <c r="AK9" s="791"/>
      <c r="AL9" s="791"/>
      <c r="AM9" s="791"/>
      <c r="AN9" s="791"/>
      <c r="AO9" s="791"/>
      <c r="AP9" s="791"/>
      <c r="AQ9" s="791"/>
      <c r="AR9" s="791"/>
      <c r="AS9" s="791"/>
      <c r="AT9" s="791"/>
      <c r="AU9" s="792"/>
      <c r="AV9" s="785"/>
      <c r="AW9" s="785"/>
      <c r="AX9" s="785"/>
      <c r="AY9" s="785"/>
    </row>
    <row r="10" spans="1:51" ht="15" customHeight="1">
      <c r="A10" s="798" t="s">
        <v>287</v>
      </c>
      <c r="B10" s="799"/>
      <c r="C10" s="800"/>
      <c r="D10" s="805" t="s">
        <v>500</v>
      </c>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39.7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415" t="s">
        <v>169</v>
      </c>
      <c r="B12" s="415" t="s">
        <v>170</v>
      </c>
      <c r="C12" s="415" t="s">
        <v>171</v>
      </c>
      <c r="D12" s="415" t="s">
        <v>178</v>
      </c>
      <c r="E12" s="415" t="s">
        <v>185</v>
      </c>
      <c r="F12" s="415" t="s">
        <v>186</v>
      </c>
      <c r="G12" s="415" t="s">
        <v>277</v>
      </c>
      <c r="H12" s="415" t="s">
        <v>184</v>
      </c>
      <c r="I12" s="778"/>
      <c r="J12" s="778"/>
      <c r="K12" s="778"/>
      <c r="L12" s="778"/>
      <c r="M12" s="778"/>
      <c r="N12" s="778"/>
      <c r="O12" s="415">
        <v>2020</v>
      </c>
      <c r="P12" s="415">
        <v>2021</v>
      </c>
      <c r="Q12" s="415">
        <v>2022</v>
      </c>
      <c r="R12" s="415">
        <v>2023</v>
      </c>
      <c r="S12" s="415">
        <v>2024</v>
      </c>
      <c r="T12" s="778"/>
      <c r="U12" s="778"/>
      <c r="V12" s="414" t="s">
        <v>39</v>
      </c>
      <c r="W12" s="414" t="s">
        <v>40</v>
      </c>
      <c r="X12" s="414" t="s">
        <v>41</v>
      </c>
      <c r="Y12" s="414" t="s">
        <v>42</v>
      </c>
      <c r="Z12" s="414" t="s">
        <v>43</v>
      </c>
      <c r="AA12" s="414" t="s">
        <v>44</v>
      </c>
      <c r="AB12" s="414" t="s">
        <v>45</v>
      </c>
      <c r="AC12" s="414" t="s">
        <v>46</v>
      </c>
      <c r="AD12" s="414" t="s">
        <v>47</v>
      </c>
      <c r="AE12" s="414" t="s">
        <v>48</v>
      </c>
      <c r="AF12" s="414" t="s">
        <v>49</v>
      </c>
      <c r="AG12" s="414" t="s">
        <v>50</v>
      </c>
      <c r="AH12" s="414" t="s">
        <v>39</v>
      </c>
      <c r="AI12" s="414" t="s">
        <v>40</v>
      </c>
      <c r="AJ12" s="414" t="s">
        <v>41</v>
      </c>
      <c r="AK12" s="414" t="s">
        <v>42</v>
      </c>
      <c r="AL12" s="414" t="s">
        <v>43</v>
      </c>
      <c r="AM12" s="414" t="s">
        <v>44</v>
      </c>
      <c r="AN12" s="414" t="s">
        <v>45</v>
      </c>
      <c r="AO12" s="414" t="s">
        <v>46</v>
      </c>
      <c r="AP12" s="414" t="s">
        <v>47</v>
      </c>
      <c r="AQ12" s="414" t="s">
        <v>48</v>
      </c>
      <c r="AR12" s="414" t="s">
        <v>49</v>
      </c>
      <c r="AS12" s="414" t="s">
        <v>50</v>
      </c>
      <c r="AT12" s="415" t="s">
        <v>413</v>
      </c>
      <c r="AU12" s="216" t="s">
        <v>88</v>
      </c>
      <c r="AV12" s="778"/>
      <c r="AW12" s="778"/>
      <c r="AX12" s="778"/>
      <c r="AY12" s="778"/>
    </row>
    <row r="13" spans="1:51" ht="386.25" customHeight="1">
      <c r="A13" s="121"/>
      <c r="B13" s="121"/>
      <c r="C13" s="121"/>
      <c r="D13" s="121"/>
      <c r="E13" s="121" t="s">
        <v>425</v>
      </c>
      <c r="F13" s="121"/>
      <c r="G13" s="457" t="s">
        <v>602</v>
      </c>
      <c r="H13" s="121"/>
      <c r="I13" s="313" t="s">
        <v>603</v>
      </c>
      <c r="J13" s="313" t="s">
        <v>604</v>
      </c>
      <c r="K13" s="124" t="s">
        <v>430</v>
      </c>
      <c r="L13" s="121" t="s">
        <v>450</v>
      </c>
      <c r="M13" s="122" t="s">
        <v>431</v>
      </c>
      <c r="N13" s="313" t="s">
        <v>605</v>
      </c>
      <c r="O13" s="123"/>
      <c r="P13" s="123"/>
      <c r="Q13" s="123"/>
      <c r="R13" s="379">
        <v>1</v>
      </c>
      <c r="S13" s="123"/>
      <c r="T13" s="121" t="s">
        <v>460</v>
      </c>
      <c r="U13" s="122" t="s">
        <v>606</v>
      </c>
      <c r="V13" s="378">
        <v>0.08333333333333334</v>
      </c>
      <c r="W13" s="378">
        <v>0.08333333333333334</v>
      </c>
      <c r="X13" s="378">
        <v>0.08333333333333334</v>
      </c>
      <c r="Y13" s="378">
        <v>0.08333333333333334</v>
      </c>
      <c r="Z13" s="378">
        <v>0.08333333333333334</v>
      </c>
      <c r="AA13" s="378">
        <v>0.08333333333333334</v>
      </c>
      <c r="AB13" s="378">
        <v>0.08333333333333334</v>
      </c>
      <c r="AC13" s="378">
        <v>0.08333333333333334</v>
      </c>
      <c r="AD13" s="378">
        <v>0.08333333333333334</v>
      </c>
      <c r="AE13" s="378">
        <v>0.08333333333333334</v>
      </c>
      <c r="AF13" s="378">
        <v>0.08333333333333334</v>
      </c>
      <c r="AG13" s="378">
        <v>0.08333333333333334</v>
      </c>
      <c r="AH13" s="378">
        <v>0.08333333333333334</v>
      </c>
      <c r="AI13" s="378">
        <v>0.08333333333333334</v>
      </c>
      <c r="AJ13" s="378">
        <v>0.08333333333333334</v>
      </c>
      <c r="AK13" s="453">
        <v>0.0833</v>
      </c>
      <c r="AL13" s="453">
        <v>0.0833</v>
      </c>
      <c r="AM13" s="453">
        <v>0.0833333333333333</v>
      </c>
      <c r="AN13" s="511">
        <v>0.0833333333333333</v>
      </c>
      <c r="AO13" s="124"/>
      <c r="AP13" s="124"/>
      <c r="AQ13" s="124"/>
      <c r="AR13" s="124"/>
      <c r="AS13" s="124"/>
      <c r="AT13" s="411">
        <f>SUM(AH13:AS13)</f>
        <v>0.5832666666666666</v>
      </c>
      <c r="AU13" s="127">
        <f>+AT13/R13</f>
        <v>0.5832666666666666</v>
      </c>
      <c r="AV13" s="512" t="s">
        <v>909</v>
      </c>
      <c r="AW13" s="513" t="s">
        <v>916</v>
      </c>
      <c r="AX13" s="445" t="s">
        <v>858</v>
      </c>
      <c r="AY13" s="412" t="s">
        <v>888</v>
      </c>
    </row>
    <row r="14" spans="1:51" ht="177.75" customHeight="1">
      <c r="A14" s="121"/>
      <c r="B14" s="121"/>
      <c r="C14" s="121"/>
      <c r="D14" s="121"/>
      <c r="E14" s="121" t="s">
        <v>425</v>
      </c>
      <c r="F14" s="121"/>
      <c r="G14" s="457" t="s">
        <v>602</v>
      </c>
      <c r="H14" s="121"/>
      <c r="I14" s="313" t="s">
        <v>607</v>
      </c>
      <c r="J14" s="313" t="s">
        <v>608</v>
      </c>
      <c r="K14" s="124" t="s">
        <v>430</v>
      </c>
      <c r="L14" s="124" t="s">
        <v>450</v>
      </c>
      <c r="M14" s="121" t="s">
        <v>431</v>
      </c>
      <c r="N14" s="313" t="s">
        <v>609</v>
      </c>
      <c r="O14" s="124"/>
      <c r="P14" s="124"/>
      <c r="Q14" s="124"/>
      <c r="R14" s="379">
        <v>1</v>
      </c>
      <c r="S14" s="124"/>
      <c r="T14" s="122" t="s">
        <v>610</v>
      </c>
      <c r="U14" s="122" t="s">
        <v>611</v>
      </c>
      <c r="V14" s="380">
        <v>0.25</v>
      </c>
      <c r="W14" s="381"/>
      <c r="X14" s="381"/>
      <c r="Y14" s="380">
        <v>0.25</v>
      </c>
      <c r="Z14" s="381"/>
      <c r="AA14" s="381"/>
      <c r="AB14" s="380">
        <v>0.5</v>
      </c>
      <c r="AC14" s="327"/>
      <c r="AD14" s="328"/>
      <c r="AE14" s="124"/>
      <c r="AF14" s="124"/>
      <c r="AG14" s="124"/>
      <c r="AH14" s="379">
        <v>0.25</v>
      </c>
      <c r="AI14" s="124"/>
      <c r="AJ14" s="124"/>
      <c r="AK14" s="127">
        <v>0.25</v>
      </c>
      <c r="AL14" s="124"/>
      <c r="AM14" s="124"/>
      <c r="AN14" s="327">
        <v>0.5</v>
      </c>
      <c r="AO14" s="124"/>
      <c r="AP14" s="124"/>
      <c r="AQ14" s="124"/>
      <c r="AR14" s="124"/>
      <c r="AS14" s="124"/>
      <c r="AT14" s="127">
        <f>SUM(AH14:AS14)</f>
        <v>1</v>
      </c>
      <c r="AU14" s="127">
        <f>+AT14/R14</f>
        <v>1</v>
      </c>
      <c r="AV14" s="514" t="s">
        <v>910</v>
      </c>
      <c r="AW14" s="486" t="s">
        <v>911</v>
      </c>
      <c r="AX14" s="445" t="s">
        <v>858</v>
      </c>
      <c r="AY14" s="412" t="s">
        <v>888</v>
      </c>
    </row>
    <row r="15" spans="1:51" ht="107.25" customHeight="1">
      <c r="A15" s="121"/>
      <c r="B15" s="121"/>
      <c r="C15" s="121"/>
      <c r="D15" s="121"/>
      <c r="E15" s="121" t="s">
        <v>425</v>
      </c>
      <c r="F15" s="121"/>
      <c r="G15" s="457" t="s">
        <v>602</v>
      </c>
      <c r="H15" s="121"/>
      <c r="I15" s="313" t="s">
        <v>612</v>
      </c>
      <c r="J15" s="313" t="s">
        <v>613</v>
      </c>
      <c r="K15" s="124" t="s">
        <v>453</v>
      </c>
      <c r="L15" s="124" t="s">
        <v>450</v>
      </c>
      <c r="M15" s="122" t="s">
        <v>614</v>
      </c>
      <c r="N15" s="313" t="s">
        <v>615</v>
      </c>
      <c r="O15" s="124"/>
      <c r="P15" s="124"/>
      <c r="Q15" s="124"/>
      <c r="R15" s="379">
        <v>1</v>
      </c>
      <c r="S15" s="124"/>
      <c r="T15" s="121" t="s">
        <v>460</v>
      </c>
      <c r="U15" s="122" t="s">
        <v>616</v>
      </c>
      <c r="V15" s="382">
        <v>1</v>
      </c>
      <c r="W15" s="382">
        <v>1</v>
      </c>
      <c r="X15" s="382">
        <v>1</v>
      </c>
      <c r="Y15" s="382">
        <v>1</v>
      </c>
      <c r="Z15" s="382">
        <v>1</v>
      </c>
      <c r="AA15" s="382">
        <v>1</v>
      </c>
      <c r="AB15" s="382">
        <v>1</v>
      </c>
      <c r="AC15" s="382">
        <v>1</v>
      </c>
      <c r="AD15" s="382">
        <v>1</v>
      </c>
      <c r="AE15" s="382">
        <v>1</v>
      </c>
      <c r="AF15" s="382">
        <v>1</v>
      </c>
      <c r="AG15" s="382">
        <v>1</v>
      </c>
      <c r="AH15" s="380">
        <v>1</v>
      </c>
      <c r="AI15" s="380">
        <v>1</v>
      </c>
      <c r="AJ15" s="380">
        <v>1</v>
      </c>
      <c r="AK15" s="307">
        <v>1</v>
      </c>
      <c r="AL15" s="307">
        <v>1</v>
      </c>
      <c r="AM15" s="469">
        <v>1</v>
      </c>
      <c r="AN15" s="327">
        <v>1</v>
      </c>
      <c r="AO15" s="124"/>
      <c r="AP15" s="124"/>
      <c r="AQ15" s="124"/>
      <c r="AR15" s="124"/>
      <c r="AS15" s="124"/>
      <c r="AT15" s="127">
        <f>AVERAGE(AH15:AS15)</f>
        <v>1</v>
      </c>
      <c r="AU15" s="379">
        <f>+(SUM(AH15:AS15)/+SUM(V15:AG15))</f>
        <v>0.5833333333333334</v>
      </c>
      <c r="AV15" s="515" t="s">
        <v>912</v>
      </c>
      <c r="AW15" s="515" t="s">
        <v>913</v>
      </c>
      <c r="AX15" s="445" t="s">
        <v>858</v>
      </c>
      <c r="AY15" s="412" t="s">
        <v>888</v>
      </c>
    </row>
    <row r="16" spans="1:51" ht="107.25" customHeight="1">
      <c r="A16" s="121"/>
      <c r="B16" s="121"/>
      <c r="C16" s="121"/>
      <c r="D16" s="121"/>
      <c r="E16" s="121" t="s">
        <v>425</v>
      </c>
      <c r="F16" s="121"/>
      <c r="G16" s="457" t="s">
        <v>602</v>
      </c>
      <c r="H16" s="121"/>
      <c r="I16" s="313" t="s">
        <v>617</v>
      </c>
      <c r="J16" s="313" t="s">
        <v>618</v>
      </c>
      <c r="K16" s="124" t="s">
        <v>430</v>
      </c>
      <c r="L16" s="124" t="s">
        <v>450</v>
      </c>
      <c r="M16" s="122" t="s">
        <v>619</v>
      </c>
      <c r="N16" s="313" t="s">
        <v>620</v>
      </c>
      <c r="O16" s="124"/>
      <c r="P16" s="124"/>
      <c r="Q16" s="124"/>
      <c r="R16" s="379">
        <v>1</v>
      </c>
      <c r="S16" s="124"/>
      <c r="T16" s="121" t="s">
        <v>460</v>
      </c>
      <c r="U16" s="122" t="s">
        <v>621</v>
      </c>
      <c r="V16" s="378">
        <v>0.08333333333333334</v>
      </c>
      <c r="W16" s="378">
        <v>0.08333333333333334</v>
      </c>
      <c r="X16" s="378">
        <v>0.08333333333333334</v>
      </c>
      <c r="Y16" s="378">
        <v>0.08333333333333334</v>
      </c>
      <c r="Z16" s="378">
        <v>0.08333333333333334</v>
      </c>
      <c r="AA16" s="378">
        <v>0.08333333333333334</v>
      </c>
      <c r="AB16" s="378">
        <v>0.08333333333333334</v>
      </c>
      <c r="AC16" s="378">
        <v>0.08333333333333334</v>
      </c>
      <c r="AD16" s="378">
        <v>0.08333333333333334</v>
      </c>
      <c r="AE16" s="378">
        <v>0.08333333333333334</v>
      </c>
      <c r="AF16" s="378">
        <v>0.08333333333333334</v>
      </c>
      <c r="AG16" s="378">
        <v>0.08333333333333334</v>
      </c>
      <c r="AH16" s="378">
        <v>0.0833</v>
      </c>
      <c r="AI16" s="378">
        <v>0.0833</v>
      </c>
      <c r="AJ16" s="378">
        <v>0.0833</v>
      </c>
      <c r="AK16" s="453">
        <v>0.0833</v>
      </c>
      <c r="AL16" s="453">
        <v>0.0833</v>
      </c>
      <c r="AM16" s="453">
        <v>0.0833</v>
      </c>
      <c r="AN16" s="511">
        <v>0.0833</v>
      </c>
      <c r="AO16" s="124"/>
      <c r="AP16" s="124"/>
      <c r="AQ16" s="124"/>
      <c r="AR16" s="124"/>
      <c r="AS16" s="124"/>
      <c r="AT16" s="411">
        <f>SUM(AH16:AS16)</f>
        <v>0.5831</v>
      </c>
      <c r="AU16" s="127">
        <f>+AT16/R16</f>
        <v>0.5831</v>
      </c>
      <c r="AV16" s="515" t="s">
        <v>914</v>
      </c>
      <c r="AW16" s="515" t="s">
        <v>915</v>
      </c>
      <c r="AX16" s="445" t="s">
        <v>858</v>
      </c>
      <c r="AY16" s="412" t="s">
        <v>888</v>
      </c>
    </row>
    <row r="17" spans="1:51" ht="54" customHeight="1">
      <c r="A17" s="780" t="s">
        <v>64</v>
      </c>
      <c r="B17" s="780"/>
      <c r="C17" s="780"/>
      <c r="D17" s="776" t="s">
        <v>66</v>
      </c>
      <c r="E17" s="776"/>
      <c r="F17" s="776"/>
      <c r="G17" s="776"/>
      <c r="H17" s="776"/>
      <c r="I17" s="776"/>
      <c r="J17" s="781" t="s">
        <v>300</v>
      </c>
      <c r="K17" s="781"/>
      <c r="L17" s="781"/>
      <c r="M17" s="781"/>
      <c r="N17" s="781"/>
      <c r="O17" s="781"/>
      <c r="P17" s="776" t="s">
        <v>66</v>
      </c>
      <c r="Q17" s="776"/>
      <c r="R17" s="776"/>
      <c r="S17" s="776"/>
      <c r="T17" s="776"/>
      <c r="U17" s="776"/>
      <c r="V17" s="776" t="s">
        <v>66</v>
      </c>
      <c r="W17" s="776"/>
      <c r="X17" s="776"/>
      <c r="Y17" s="776"/>
      <c r="Z17" s="776"/>
      <c r="AA17" s="776"/>
      <c r="AB17" s="776"/>
      <c r="AC17" s="776"/>
      <c r="AD17" s="776" t="s">
        <v>66</v>
      </c>
      <c r="AE17" s="776"/>
      <c r="AF17" s="776"/>
      <c r="AG17" s="776"/>
      <c r="AH17" s="776"/>
      <c r="AI17" s="776"/>
      <c r="AJ17" s="776"/>
      <c r="AK17" s="776"/>
      <c r="AL17" s="776"/>
      <c r="AM17" s="776"/>
      <c r="AN17" s="776"/>
      <c r="AO17" s="776"/>
      <c r="AP17" s="781" t="s">
        <v>318</v>
      </c>
      <c r="AQ17" s="781"/>
      <c r="AR17" s="781"/>
      <c r="AS17" s="781"/>
      <c r="AT17" s="776" t="s">
        <v>13</v>
      </c>
      <c r="AU17" s="776"/>
      <c r="AV17" s="776"/>
      <c r="AW17" s="776"/>
      <c r="AX17" s="776"/>
      <c r="AY17" s="776"/>
    </row>
    <row r="18" spans="1:51" ht="30" customHeight="1">
      <c r="A18" s="780"/>
      <c r="B18" s="780"/>
      <c r="C18" s="780"/>
      <c r="D18" s="776" t="s">
        <v>815</v>
      </c>
      <c r="E18" s="776"/>
      <c r="F18" s="776"/>
      <c r="G18" s="776"/>
      <c r="H18" s="776"/>
      <c r="I18" s="776"/>
      <c r="J18" s="781"/>
      <c r="K18" s="781"/>
      <c r="L18" s="781"/>
      <c r="M18" s="781"/>
      <c r="N18" s="781"/>
      <c r="O18" s="781"/>
      <c r="P18" s="776" t="s">
        <v>848</v>
      </c>
      <c r="Q18" s="776"/>
      <c r="R18" s="776"/>
      <c r="S18" s="776"/>
      <c r="T18" s="776"/>
      <c r="U18" s="776"/>
      <c r="V18" s="776" t="s">
        <v>65</v>
      </c>
      <c r="W18" s="776"/>
      <c r="X18" s="776"/>
      <c r="Y18" s="776"/>
      <c r="Z18" s="776"/>
      <c r="AA18" s="776"/>
      <c r="AB18" s="776"/>
      <c r="AC18" s="776"/>
      <c r="AD18" s="776" t="s">
        <v>65</v>
      </c>
      <c r="AE18" s="776"/>
      <c r="AF18" s="776"/>
      <c r="AG18" s="776"/>
      <c r="AH18" s="776"/>
      <c r="AI18" s="776"/>
      <c r="AJ18" s="776"/>
      <c r="AK18" s="776"/>
      <c r="AL18" s="776"/>
      <c r="AM18" s="776"/>
      <c r="AN18" s="776"/>
      <c r="AO18" s="776"/>
      <c r="AP18" s="781"/>
      <c r="AQ18" s="781"/>
      <c r="AR18" s="781"/>
      <c r="AS18" s="781"/>
      <c r="AT18" s="776" t="s">
        <v>771</v>
      </c>
      <c r="AU18" s="776"/>
      <c r="AV18" s="776"/>
      <c r="AW18" s="776"/>
      <c r="AX18" s="776"/>
      <c r="AY18" s="776"/>
    </row>
    <row r="19" spans="1:51" ht="30" customHeight="1">
      <c r="A19" s="780"/>
      <c r="B19" s="780"/>
      <c r="C19" s="780"/>
      <c r="D19" s="776" t="s">
        <v>816</v>
      </c>
      <c r="E19" s="776"/>
      <c r="F19" s="776"/>
      <c r="G19" s="776"/>
      <c r="H19" s="776"/>
      <c r="I19" s="776"/>
      <c r="J19" s="781"/>
      <c r="K19" s="781"/>
      <c r="L19" s="781"/>
      <c r="M19" s="781"/>
      <c r="N19" s="781"/>
      <c r="O19" s="781"/>
      <c r="P19" s="776" t="s">
        <v>817</v>
      </c>
      <c r="Q19" s="776"/>
      <c r="R19" s="776"/>
      <c r="S19" s="776"/>
      <c r="T19" s="776"/>
      <c r="U19" s="776"/>
      <c r="V19" s="776" t="s">
        <v>297</v>
      </c>
      <c r="W19" s="776"/>
      <c r="X19" s="776"/>
      <c r="Y19" s="776"/>
      <c r="Z19" s="776"/>
      <c r="AA19" s="776"/>
      <c r="AB19" s="776"/>
      <c r="AC19" s="776"/>
      <c r="AD19" s="776" t="s">
        <v>297</v>
      </c>
      <c r="AE19" s="776"/>
      <c r="AF19" s="776"/>
      <c r="AG19" s="776"/>
      <c r="AH19" s="776"/>
      <c r="AI19" s="776"/>
      <c r="AJ19" s="776"/>
      <c r="AK19" s="776"/>
      <c r="AL19" s="776"/>
      <c r="AM19" s="776"/>
      <c r="AN19" s="776"/>
      <c r="AO19" s="776"/>
      <c r="AP19" s="781"/>
      <c r="AQ19" s="781"/>
      <c r="AR19" s="781"/>
      <c r="AS19" s="781"/>
      <c r="AT19" s="776" t="s">
        <v>75</v>
      </c>
      <c r="AU19" s="776"/>
      <c r="AV19" s="776"/>
      <c r="AW19" s="776"/>
      <c r="AX19" s="776"/>
      <c r="AY19" s="776"/>
    </row>
    <row r="26" ht="15">
      <c r="S26"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7:C19"/>
    <mergeCell ref="D17:I17"/>
    <mergeCell ref="J17:O19"/>
    <mergeCell ref="P17:U17"/>
    <mergeCell ref="V17:AC17"/>
    <mergeCell ref="AD17:AO17"/>
    <mergeCell ref="D19:I19"/>
    <mergeCell ref="AP17:AS19"/>
    <mergeCell ref="AT19:AY19"/>
    <mergeCell ref="AT17:AY17"/>
    <mergeCell ref="D18:I18"/>
    <mergeCell ref="P18:U18"/>
    <mergeCell ref="V18:AC18"/>
    <mergeCell ref="AD18:AO18"/>
    <mergeCell ref="AT18:AY18"/>
    <mergeCell ref="P19:U19"/>
    <mergeCell ref="V19:AC19"/>
    <mergeCell ref="AD19:AO19"/>
  </mergeCells>
  <printOptions/>
  <pageMargins left="0.7" right="0.7" top="0.75" bottom="0.75" header="0.3" footer="0.3"/>
  <pageSetup fitToHeight="0" fitToWidth="1" horizontalDpi="600" verticalDpi="600" orientation="landscape" scale="13" r:id="rId3"/>
  <legacyDrawing r:id="rId2"/>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734"/>
      <c r="B1" s="711" t="s">
        <v>16</v>
      </c>
      <c r="C1" s="712"/>
      <c r="D1" s="712"/>
      <c r="E1" s="712"/>
      <c r="F1" s="712"/>
      <c r="G1" s="712"/>
      <c r="H1" s="712"/>
      <c r="I1" s="712"/>
      <c r="J1" s="712"/>
      <c r="K1" s="712"/>
      <c r="L1" s="712"/>
      <c r="M1" s="712"/>
      <c r="N1" s="712"/>
      <c r="O1" s="712"/>
      <c r="P1" s="712"/>
      <c r="Q1" s="712"/>
      <c r="R1" s="712"/>
      <c r="S1" s="712"/>
      <c r="T1" s="712"/>
      <c r="U1" s="712"/>
      <c r="V1" s="712"/>
      <c r="W1" s="712"/>
      <c r="X1" s="712"/>
      <c r="Y1" s="713"/>
      <c r="Z1" s="708" t="s">
        <v>18</v>
      </c>
      <c r="AA1" s="709"/>
      <c r="AB1" s="710"/>
    </row>
    <row r="2" spans="1:28" ht="30.75" customHeight="1">
      <c r="A2" s="735"/>
      <c r="B2" s="714" t="s">
        <v>17</v>
      </c>
      <c r="C2" s="715"/>
      <c r="D2" s="715"/>
      <c r="E2" s="715"/>
      <c r="F2" s="715"/>
      <c r="G2" s="715"/>
      <c r="H2" s="715"/>
      <c r="I2" s="715"/>
      <c r="J2" s="715"/>
      <c r="K2" s="715"/>
      <c r="L2" s="715"/>
      <c r="M2" s="715"/>
      <c r="N2" s="715"/>
      <c r="O2" s="715"/>
      <c r="P2" s="715"/>
      <c r="Q2" s="715"/>
      <c r="R2" s="715"/>
      <c r="S2" s="715"/>
      <c r="T2" s="715"/>
      <c r="U2" s="715"/>
      <c r="V2" s="715"/>
      <c r="W2" s="715"/>
      <c r="X2" s="715"/>
      <c r="Y2" s="716"/>
      <c r="Z2" s="737" t="s">
        <v>180</v>
      </c>
      <c r="AA2" s="738"/>
      <c r="AB2" s="739"/>
    </row>
    <row r="3" spans="1:28" ht="24" customHeight="1">
      <c r="A3" s="735"/>
      <c r="B3" s="717" t="s">
        <v>295</v>
      </c>
      <c r="C3" s="718"/>
      <c r="D3" s="718"/>
      <c r="E3" s="718"/>
      <c r="F3" s="718"/>
      <c r="G3" s="718"/>
      <c r="H3" s="718"/>
      <c r="I3" s="718"/>
      <c r="J3" s="718"/>
      <c r="K3" s="718"/>
      <c r="L3" s="718"/>
      <c r="M3" s="718"/>
      <c r="N3" s="718"/>
      <c r="O3" s="718"/>
      <c r="P3" s="718"/>
      <c r="Q3" s="718"/>
      <c r="R3" s="718"/>
      <c r="S3" s="718"/>
      <c r="T3" s="718"/>
      <c r="U3" s="718"/>
      <c r="V3" s="718"/>
      <c r="W3" s="718"/>
      <c r="X3" s="718"/>
      <c r="Y3" s="719"/>
      <c r="Z3" s="737" t="s">
        <v>181</v>
      </c>
      <c r="AA3" s="738"/>
      <c r="AB3" s="739"/>
    </row>
    <row r="4" spans="1:28" ht="15.75" customHeight="1" thickBot="1">
      <c r="A4" s="736"/>
      <c r="B4" s="720"/>
      <c r="C4" s="721"/>
      <c r="D4" s="721"/>
      <c r="E4" s="721"/>
      <c r="F4" s="721"/>
      <c r="G4" s="721"/>
      <c r="H4" s="721"/>
      <c r="I4" s="721"/>
      <c r="J4" s="721"/>
      <c r="K4" s="721"/>
      <c r="L4" s="721"/>
      <c r="M4" s="721"/>
      <c r="N4" s="721"/>
      <c r="O4" s="721"/>
      <c r="P4" s="721"/>
      <c r="Q4" s="721"/>
      <c r="R4" s="721"/>
      <c r="S4" s="721"/>
      <c r="T4" s="721"/>
      <c r="U4" s="721"/>
      <c r="V4" s="721"/>
      <c r="W4" s="721"/>
      <c r="X4" s="721"/>
      <c r="Y4" s="722"/>
      <c r="Z4" s="740" t="s">
        <v>175</v>
      </c>
      <c r="AA4" s="741"/>
      <c r="AB4" s="742"/>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629" t="s">
        <v>0</v>
      </c>
      <c r="B7" s="630"/>
      <c r="C7" s="660"/>
      <c r="D7" s="661"/>
      <c r="E7" s="661"/>
      <c r="F7" s="661"/>
      <c r="G7" s="661"/>
      <c r="H7" s="661"/>
      <c r="I7" s="661"/>
      <c r="J7" s="661"/>
      <c r="K7" s="662"/>
      <c r="L7" s="64"/>
      <c r="M7" s="65"/>
      <c r="N7" s="65"/>
      <c r="O7" s="65"/>
      <c r="P7" s="65"/>
      <c r="Q7" s="66"/>
      <c r="R7" s="693" t="s">
        <v>71</v>
      </c>
      <c r="S7" s="743"/>
      <c r="T7" s="694"/>
      <c r="U7" s="638" t="s">
        <v>74</v>
      </c>
      <c r="V7" s="639"/>
      <c r="W7" s="693" t="s">
        <v>67</v>
      </c>
      <c r="X7" s="694"/>
      <c r="Y7" s="605" t="s">
        <v>70</v>
      </c>
      <c r="Z7" s="606"/>
      <c r="AA7" s="644"/>
      <c r="AB7" s="645"/>
    </row>
    <row r="8" spans="1:28" ht="15" customHeight="1">
      <c r="A8" s="631"/>
      <c r="B8" s="632"/>
      <c r="C8" s="663"/>
      <c r="D8" s="664"/>
      <c r="E8" s="664"/>
      <c r="F8" s="664"/>
      <c r="G8" s="664"/>
      <c r="H8" s="664"/>
      <c r="I8" s="664"/>
      <c r="J8" s="664"/>
      <c r="K8" s="665"/>
      <c r="L8" s="64"/>
      <c r="M8" s="65"/>
      <c r="N8" s="65"/>
      <c r="O8" s="65"/>
      <c r="P8" s="65"/>
      <c r="Q8" s="66"/>
      <c r="R8" s="695"/>
      <c r="S8" s="744"/>
      <c r="T8" s="696"/>
      <c r="U8" s="640"/>
      <c r="V8" s="641"/>
      <c r="W8" s="695"/>
      <c r="X8" s="696"/>
      <c r="Y8" s="646" t="s">
        <v>68</v>
      </c>
      <c r="Z8" s="647"/>
      <c r="AA8" s="648"/>
      <c r="AB8" s="649"/>
    </row>
    <row r="9" spans="1:28" ht="15" customHeight="1" thickBot="1">
      <c r="A9" s="633"/>
      <c r="B9" s="634"/>
      <c r="C9" s="666"/>
      <c r="D9" s="667"/>
      <c r="E9" s="667"/>
      <c r="F9" s="667"/>
      <c r="G9" s="667"/>
      <c r="H9" s="667"/>
      <c r="I9" s="667"/>
      <c r="J9" s="667"/>
      <c r="K9" s="668"/>
      <c r="L9" s="64"/>
      <c r="M9" s="65"/>
      <c r="N9" s="65"/>
      <c r="O9" s="65"/>
      <c r="P9" s="65"/>
      <c r="Q9" s="66"/>
      <c r="R9" s="697"/>
      <c r="S9" s="745"/>
      <c r="T9" s="698"/>
      <c r="U9" s="642"/>
      <c r="V9" s="643"/>
      <c r="W9" s="697"/>
      <c r="X9" s="698"/>
      <c r="Y9" s="601" t="s">
        <v>69</v>
      </c>
      <c r="Z9" s="602"/>
      <c r="AA9" s="603"/>
      <c r="AB9" s="604"/>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599" t="s">
        <v>77</v>
      </c>
      <c r="B11" s="600"/>
      <c r="C11" s="699"/>
      <c r="D11" s="700"/>
      <c r="E11" s="700"/>
      <c r="F11" s="700"/>
      <c r="G11" s="700"/>
      <c r="H11" s="700"/>
      <c r="I11" s="700"/>
      <c r="J11" s="700"/>
      <c r="K11" s="701"/>
      <c r="L11" s="74"/>
      <c r="M11" s="593" t="s">
        <v>73</v>
      </c>
      <c r="N11" s="669"/>
      <c r="O11" s="669"/>
      <c r="P11" s="669"/>
      <c r="Q11" s="594"/>
      <c r="R11" s="590"/>
      <c r="S11" s="591"/>
      <c r="T11" s="591"/>
      <c r="U11" s="591"/>
      <c r="V11" s="592"/>
      <c r="W11" s="593" t="s">
        <v>72</v>
      </c>
      <c r="X11" s="594"/>
      <c r="Y11" s="613"/>
      <c r="Z11" s="614"/>
      <c r="AA11" s="614"/>
      <c r="AB11" s="615"/>
    </row>
    <row r="12" spans="1:28" ht="9" customHeight="1" thickBot="1">
      <c r="A12" s="61"/>
      <c r="B12" s="56"/>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75"/>
      <c r="AB12" s="76"/>
    </row>
    <row r="13" spans="1:28" s="78" customFormat="1" ht="37.5" customHeight="1" thickBot="1">
      <c r="A13" s="599" t="s">
        <v>79</v>
      </c>
      <c r="B13" s="600"/>
      <c r="C13" s="617"/>
      <c r="D13" s="618"/>
      <c r="E13" s="618"/>
      <c r="F13" s="618"/>
      <c r="G13" s="618"/>
      <c r="H13" s="618"/>
      <c r="I13" s="618"/>
      <c r="J13" s="618"/>
      <c r="K13" s="618"/>
      <c r="L13" s="618"/>
      <c r="M13" s="618"/>
      <c r="N13" s="618"/>
      <c r="O13" s="618"/>
      <c r="P13" s="618"/>
      <c r="Q13" s="619"/>
      <c r="R13" s="56"/>
      <c r="S13" s="702" t="s">
        <v>14</v>
      </c>
      <c r="T13" s="702"/>
      <c r="U13" s="77"/>
      <c r="V13" s="726" t="s">
        <v>15</v>
      </c>
      <c r="W13" s="702"/>
      <c r="X13" s="702"/>
      <c r="Y13" s="702"/>
      <c r="Z13" s="56"/>
      <c r="AA13" s="688"/>
      <c r="AB13" s="689"/>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650" t="s">
        <v>293</v>
      </c>
      <c r="B15" s="651"/>
      <c r="C15" s="732" t="s">
        <v>321</v>
      </c>
      <c r="D15" s="82"/>
      <c r="E15" s="82"/>
      <c r="F15" s="82"/>
      <c r="G15" s="82"/>
      <c r="H15" s="82"/>
      <c r="I15" s="82"/>
      <c r="J15" s="83"/>
      <c r="K15" s="84"/>
      <c r="L15" s="83"/>
      <c r="M15" s="62"/>
      <c r="N15" s="62"/>
      <c r="O15" s="62"/>
      <c r="P15" s="62"/>
      <c r="Q15" s="727" t="s">
        <v>1</v>
      </c>
      <c r="R15" s="728"/>
      <c r="S15" s="728"/>
      <c r="T15" s="728"/>
      <c r="U15" s="728"/>
      <c r="V15" s="728"/>
      <c r="W15" s="728"/>
      <c r="X15" s="728"/>
      <c r="Y15" s="728"/>
      <c r="Z15" s="728"/>
      <c r="AA15" s="728"/>
      <c r="AB15" s="729"/>
    </row>
    <row r="16" spans="1:28" ht="35.25" customHeight="1" thickBot="1">
      <c r="A16" s="654"/>
      <c r="B16" s="655"/>
      <c r="C16" s="733"/>
      <c r="D16" s="82"/>
      <c r="E16" s="82"/>
      <c r="F16" s="82"/>
      <c r="G16" s="82"/>
      <c r="H16" s="82"/>
      <c r="I16" s="82"/>
      <c r="J16" s="83"/>
      <c r="K16" s="83"/>
      <c r="L16" s="83"/>
      <c r="M16" s="62"/>
      <c r="N16" s="62"/>
      <c r="O16" s="62"/>
      <c r="P16" s="62"/>
      <c r="Q16" s="706" t="s">
        <v>2</v>
      </c>
      <c r="R16" s="691"/>
      <c r="S16" s="691"/>
      <c r="T16" s="691"/>
      <c r="U16" s="691"/>
      <c r="V16" s="707"/>
      <c r="W16" s="690" t="s">
        <v>3</v>
      </c>
      <c r="X16" s="691"/>
      <c r="Y16" s="691"/>
      <c r="Z16" s="691"/>
      <c r="AA16" s="691"/>
      <c r="AB16" s="692"/>
    </row>
    <row r="17" spans="1:30" ht="27" customHeight="1">
      <c r="A17" s="85"/>
      <c r="B17" s="62"/>
      <c r="C17" s="62"/>
      <c r="D17" s="82"/>
      <c r="E17" s="82"/>
      <c r="F17" s="82"/>
      <c r="G17" s="82"/>
      <c r="H17" s="82"/>
      <c r="I17" s="82"/>
      <c r="J17" s="82"/>
      <c r="K17" s="82"/>
      <c r="L17" s="82"/>
      <c r="M17" s="62"/>
      <c r="N17" s="62"/>
      <c r="O17" s="62"/>
      <c r="P17" s="62"/>
      <c r="Q17" s="752" t="s">
        <v>4</v>
      </c>
      <c r="R17" s="753"/>
      <c r="S17" s="749"/>
      <c r="T17" s="703" t="s">
        <v>188</v>
      </c>
      <c r="U17" s="704"/>
      <c r="V17" s="705"/>
      <c r="W17" s="748" t="s">
        <v>4</v>
      </c>
      <c r="X17" s="749"/>
      <c r="Y17" s="748" t="s">
        <v>5</v>
      </c>
      <c r="Z17" s="749"/>
      <c r="AA17" s="703" t="s">
        <v>89</v>
      </c>
      <c r="AB17" s="750"/>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703"/>
      <c r="U18" s="704"/>
      <c r="V18" s="705"/>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751"/>
      <c r="R19" s="724"/>
      <c r="S19" s="725"/>
      <c r="T19" s="723"/>
      <c r="U19" s="724"/>
      <c r="V19" s="725"/>
      <c r="W19" s="730"/>
      <c r="X19" s="731"/>
      <c r="Y19" s="746"/>
      <c r="Z19" s="747"/>
      <c r="AA19" s="754"/>
      <c r="AB19" s="755"/>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607" t="s">
        <v>76</v>
      </c>
      <c r="B21" s="608"/>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10"/>
    </row>
    <row r="22" spans="1:28" ht="15" customHeight="1">
      <c r="A22" s="585" t="s">
        <v>189</v>
      </c>
      <c r="B22" s="587" t="s">
        <v>6</v>
      </c>
      <c r="C22" s="588"/>
      <c r="D22" s="548" t="s">
        <v>7</v>
      </c>
      <c r="E22" s="549"/>
      <c r="F22" s="549"/>
      <c r="G22" s="549"/>
      <c r="H22" s="549"/>
      <c r="I22" s="549"/>
      <c r="J22" s="549"/>
      <c r="K22" s="549"/>
      <c r="L22" s="549"/>
      <c r="M22" s="549"/>
      <c r="N22" s="549"/>
      <c r="O22" s="589"/>
      <c r="P22" s="571" t="s">
        <v>8</v>
      </c>
      <c r="Q22" s="571" t="s">
        <v>84</v>
      </c>
      <c r="R22" s="571"/>
      <c r="S22" s="571"/>
      <c r="T22" s="571"/>
      <c r="U22" s="571"/>
      <c r="V22" s="571"/>
      <c r="W22" s="571"/>
      <c r="X22" s="571"/>
      <c r="Y22" s="571"/>
      <c r="Z22" s="571"/>
      <c r="AA22" s="571"/>
      <c r="AB22" s="580"/>
    </row>
    <row r="23" spans="1:28" ht="27" customHeight="1">
      <c r="A23" s="586"/>
      <c r="B23" s="581"/>
      <c r="C23" s="583"/>
      <c r="D23" s="156" t="s">
        <v>39</v>
      </c>
      <c r="E23" s="156" t="s">
        <v>40</v>
      </c>
      <c r="F23" s="156" t="s">
        <v>41</v>
      </c>
      <c r="G23" s="156" t="s">
        <v>42</v>
      </c>
      <c r="H23" s="156" t="s">
        <v>43</v>
      </c>
      <c r="I23" s="156" t="s">
        <v>44</v>
      </c>
      <c r="J23" s="156" t="s">
        <v>45</v>
      </c>
      <c r="K23" s="156" t="s">
        <v>46</v>
      </c>
      <c r="L23" s="156" t="s">
        <v>47</v>
      </c>
      <c r="M23" s="156" t="s">
        <v>48</v>
      </c>
      <c r="N23" s="156" t="s">
        <v>49</v>
      </c>
      <c r="O23" s="156" t="s">
        <v>50</v>
      </c>
      <c r="P23" s="589"/>
      <c r="Q23" s="571"/>
      <c r="R23" s="571"/>
      <c r="S23" s="571"/>
      <c r="T23" s="571"/>
      <c r="U23" s="571"/>
      <c r="V23" s="571"/>
      <c r="W23" s="571"/>
      <c r="X23" s="571"/>
      <c r="Y23" s="571"/>
      <c r="Z23" s="571"/>
      <c r="AA23" s="571"/>
      <c r="AB23" s="580"/>
    </row>
    <row r="24" spans="1:28" ht="42" customHeight="1" thickBot="1">
      <c r="A24" s="88"/>
      <c r="B24" s="572"/>
      <c r="C24" s="573"/>
      <c r="D24" s="92"/>
      <c r="E24" s="92"/>
      <c r="F24" s="92"/>
      <c r="G24" s="92"/>
      <c r="H24" s="92"/>
      <c r="I24" s="92"/>
      <c r="J24" s="92"/>
      <c r="K24" s="92"/>
      <c r="L24" s="92"/>
      <c r="M24" s="92"/>
      <c r="N24" s="92"/>
      <c r="O24" s="92"/>
      <c r="P24" s="89">
        <f>SUM(D24:O24)</f>
        <v>0</v>
      </c>
      <c r="Q24" s="574" t="s">
        <v>296</v>
      </c>
      <c r="R24" s="574"/>
      <c r="S24" s="574"/>
      <c r="T24" s="574"/>
      <c r="U24" s="574"/>
      <c r="V24" s="574"/>
      <c r="W24" s="574"/>
      <c r="X24" s="574"/>
      <c r="Y24" s="574"/>
      <c r="Z24" s="574"/>
      <c r="AA24" s="574"/>
      <c r="AB24" s="575"/>
    </row>
    <row r="25" spans="1:28" ht="21.75" customHeight="1">
      <c r="A25" s="576" t="s">
        <v>292</v>
      </c>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8"/>
    </row>
    <row r="26" spans="1:39" ht="22.5" customHeight="1">
      <c r="A26" s="541" t="s">
        <v>190</v>
      </c>
      <c r="B26" s="571" t="s">
        <v>62</v>
      </c>
      <c r="C26" s="571" t="s">
        <v>6</v>
      </c>
      <c r="D26" s="571" t="s">
        <v>60</v>
      </c>
      <c r="E26" s="571"/>
      <c r="F26" s="571"/>
      <c r="G26" s="571"/>
      <c r="H26" s="571"/>
      <c r="I26" s="571"/>
      <c r="J26" s="571"/>
      <c r="K26" s="571"/>
      <c r="L26" s="571"/>
      <c r="M26" s="571"/>
      <c r="N26" s="571"/>
      <c r="O26" s="571"/>
      <c r="P26" s="571"/>
      <c r="Q26" s="571" t="s">
        <v>85</v>
      </c>
      <c r="R26" s="571"/>
      <c r="S26" s="571"/>
      <c r="T26" s="571"/>
      <c r="U26" s="571"/>
      <c r="V26" s="571"/>
      <c r="W26" s="571"/>
      <c r="X26" s="571"/>
      <c r="Y26" s="571"/>
      <c r="Z26" s="571"/>
      <c r="AA26" s="571"/>
      <c r="AB26" s="580"/>
      <c r="AE26" s="90"/>
      <c r="AF26" s="90"/>
      <c r="AG26" s="90"/>
      <c r="AH26" s="90"/>
      <c r="AI26" s="90"/>
      <c r="AJ26" s="90"/>
      <c r="AK26" s="90"/>
      <c r="AL26" s="90"/>
      <c r="AM26" s="90"/>
    </row>
    <row r="27" spans="1:39" ht="22.5" customHeight="1">
      <c r="A27" s="541"/>
      <c r="B27" s="571"/>
      <c r="C27" s="579"/>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81" t="s">
        <v>80</v>
      </c>
      <c r="R27" s="582"/>
      <c r="S27" s="582"/>
      <c r="T27" s="583"/>
      <c r="U27" s="581" t="s">
        <v>81</v>
      </c>
      <c r="V27" s="582"/>
      <c r="W27" s="582"/>
      <c r="X27" s="583"/>
      <c r="Y27" s="581" t="s">
        <v>82</v>
      </c>
      <c r="Z27" s="582"/>
      <c r="AA27" s="582"/>
      <c r="AB27" s="584"/>
      <c r="AE27" s="90"/>
      <c r="AF27" s="90"/>
      <c r="AG27" s="90"/>
      <c r="AH27" s="90"/>
      <c r="AI27" s="90"/>
      <c r="AJ27" s="90"/>
      <c r="AK27" s="90"/>
      <c r="AL27" s="90"/>
      <c r="AM27" s="90"/>
    </row>
    <row r="28" spans="1:39" ht="33" customHeight="1">
      <c r="A28" s="559"/>
      <c r="B28" s="561"/>
      <c r="C28" s="93" t="s">
        <v>9</v>
      </c>
      <c r="D28" s="92"/>
      <c r="E28" s="92"/>
      <c r="F28" s="92"/>
      <c r="G28" s="92"/>
      <c r="H28" s="92"/>
      <c r="I28" s="92"/>
      <c r="J28" s="92"/>
      <c r="K28" s="92"/>
      <c r="L28" s="92"/>
      <c r="M28" s="92"/>
      <c r="N28" s="92"/>
      <c r="O28" s="92"/>
      <c r="P28" s="177">
        <f>SUM(D28:O28)</f>
        <v>0</v>
      </c>
      <c r="Q28" s="563" t="s">
        <v>192</v>
      </c>
      <c r="R28" s="564"/>
      <c r="S28" s="564"/>
      <c r="T28" s="565"/>
      <c r="U28" s="563" t="s">
        <v>193</v>
      </c>
      <c r="V28" s="564"/>
      <c r="W28" s="564"/>
      <c r="X28" s="565"/>
      <c r="Y28" s="563" t="s">
        <v>194</v>
      </c>
      <c r="Z28" s="564"/>
      <c r="AA28" s="564"/>
      <c r="AB28" s="569"/>
      <c r="AE28" s="90"/>
      <c r="AF28" s="90"/>
      <c r="AG28" s="90"/>
      <c r="AH28" s="90"/>
      <c r="AI28" s="90"/>
      <c r="AJ28" s="90"/>
      <c r="AK28" s="90"/>
      <c r="AL28" s="90"/>
      <c r="AM28" s="90"/>
    </row>
    <row r="29" spans="1:39" ht="33.75" customHeight="1" thickBot="1">
      <c r="A29" s="560"/>
      <c r="B29" s="562"/>
      <c r="C29" s="94" t="s">
        <v>10</v>
      </c>
      <c r="D29" s="95"/>
      <c r="E29" s="95"/>
      <c r="F29" s="95"/>
      <c r="G29" s="96"/>
      <c r="H29" s="96"/>
      <c r="I29" s="96"/>
      <c r="J29" s="96"/>
      <c r="K29" s="96"/>
      <c r="L29" s="96"/>
      <c r="M29" s="96"/>
      <c r="N29" s="96"/>
      <c r="O29" s="96"/>
      <c r="P29" s="178">
        <f>SUM(D29:O29)</f>
        <v>0</v>
      </c>
      <c r="Q29" s="566"/>
      <c r="R29" s="567"/>
      <c r="S29" s="567"/>
      <c r="T29" s="568"/>
      <c r="U29" s="566"/>
      <c r="V29" s="567"/>
      <c r="W29" s="567"/>
      <c r="X29" s="568"/>
      <c r="Y29" s="566"/>
      <c r="Z29" s="567"/>
      <c r="AA29" s="567"/>
      <c r="AB29" s="570"/>
      <c r="AC29" s="50"/>
      <c r="AD29" s="97"/>
      <c r="AE29" s="90"/>
      <c r="AF29" s="90"/>
      <c r="AG29" s="90"/>
      <c r="AH29" s="90"/>
      <c r="AI29" s="90"/>
      <c r="AJ29" s="90"/>
      <c r="AK29" s="90"/>
      <c r="AL29" s="90"/>
      <c r="AM29" s="90"/>
    </row>
    <row r="30" spans="1:39" ht="25.5" customHeight="1">
      <c r="A30" s="540" t="s">
        <v>191</v>
      </c>
      <c r="B30" s="542" t="s">
        <v>61</v>
      </c>
      <c r="C30" s="544" t="s">
        <v>11</v>
      </c>
      <c r="D30" s="544"/>
      <c r="E30" s="544"/>
      <c r="F30" s="544"/>
      <c r="G30" s="544"/>
      <c r="H30" s="544"/>
      <c r="I30" s="544"/>
      <c r="J30" s="544"/>
      <c r="K30" s="544"/>
      <c r="L30" s="544"/>
      <c r="M30" s="544"/>
      <c r="N30" s="544"/>
      <c r="O30" s="544"/>
      <c r="P30" s="544"/>
      <c r="Q30" s="545" t="s">
        <v>78</v>
      </c>
      <c r="R30" s="546"/>
      <c r="S30" s="546"/>
      <c r="T30" s="546"/>
      <c r="U30" s="546"/>
      <c r="V30" s="546"/>
      <c r="W30" s="546"/>
      <c r="X30" s="546"/>
      <c r="Y30" s="546"/>
      <c r="Z30" s="546"/>
      <c r="AA30" s="546"/>
      <c r="AB30" s="547"/>
      <c r="AE30" s="90"/>
      <c r="AF30" s="90"/>
      <c r="AG30" s="90"/>
      <c r="AH30" s="90"/>
      <c r="AI30" s="90"/>
      <c r="AJ30" s="90"/>
      <c r="AK30" s="90"/>
      <c r="AL30" s="90"/>
      <c r="AM30" s="90"/>
    </row>
    <row r="31" spans="1:39" ht="25.5" customHeight="1">
      <c r="A31" s="541"/>
      <c r="B31" s="543"/>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548" t="s">
        <v>83</v>
      </c>
      <c r="R31" s="549"/>
      <c r="S31" s="549"/>
      <c r="T31" s="549"/>
      <c r="U31" s="549"/>
      <c r="V31" s="549"/>
      <c r="W31" s="549"/>
      <c r="X31" s="549"/>
      <c r="Y31" s="549"/>
      <c r="Z31" s="549"/>
      <c r="AA31" s="549"/>
      <c r="AB31" s="550"/>
      <c r="AE31" s="98"/>
      <c r="AF31" s="98"/>
      <c r="AG31" s="98"/>
      <c r="AH31" s="98"/>
      <c r="AI31" s="98"/>
      <c r="AJ31" s="98"/>
      <c r="AK31" s="98"/>
      <c r="AL31" s="98"/>
      <c r="AM31" s="98"/>
    </row>
    <row r="32" spans="1:39" ht="28.5" customHeight="1">
      <c r="A32" s="551"/>
      <c r="B32" s="552"/>
      <c r="C32" s="93" t="s">
        <v>9</v>
      </c>
      <c r="D32" s="99"/>
      <c r="E32" s="99"/>
      <c r="F32" s="99"/>
      <c r="G32" s="99"/>
      <c r="H32" s="99"/>
      <c r="I32" s="99"/>
      <c r="J32" s="99"/>
      <c r="K32" s="99"/>
      <c r="L32" s="99"/>
      <c r="M32" s="99"/>
      <c r="N32" s="99"/>
      <c r="O32" s="99"/>
      <c r="P32" s="100">
        <f aca="true" t="shared" si="0" ref="P32:P39">SUM(D32:O32)</f>
        <v>0</v>
      </c>
      <c r="Q32" s="553" t="s">
        <v>286</v>
      </c>
      <c r="R32" s="554"/>
      <c r="S32" s="554"/>
      <c r="T32" s="554"/>
      <c r="U32" s="554"/>
      <c r="V32" s="554"/>
      <c r="W32" s="554"/>
      <c r="X32" s="554"/>
      <c r="Y32" s="554"/>
      <c r="Z32" s="554"/>
      <c r="AA32" s="554"/>
      <c r="AB32" s="555"/>
      <c r="AC32" s="101"/>
      <c r="AE32" s="102"/>
      <c r="AF32" s="102"/>
      <c r="AG32" s="102"/>
      <c r="AH32" s="102"/>
      <c r="AI32" s="102"/>
      <c r="AJ32" s="102"/>
      <c r="AK32" s="102"/>
      <c r="AL32" s="102"/>
      <c r="AM32" s="102"/>
    </row>
    <row r="33" spans="1:29" ht="28.5" customHeight="1">
      <c r="A33" s="533"/>
      <c r="B33" s="534"/>
      <c r="C33" s="103" t="s">
        <v>10</v>
      </c>
      <c r="D33" s="104"/>
      <c r="E33" s="104"/>
      <c r="F33" s="104"/>
      <c r="G33" s="104"/>
      <c r="H33" s="104"/>
      <c r="I33" s="104"/>
      <c r="J33" s="104"/>
      <c r="K33" s="104"/>
      <c r="L33" s="104"/>
      <c r="M33" s="104"/>
      <c r="N33" s="104"/>
      <c r="O33" s="104"/>
      <c r="P33" s="105">
        <f t="shared" si="0"/>
        <v>0</v>
      </c>
      <c r="Q33" s="556"/>
      <c r="R33" s="557"/>
      <c r="S33" s="557"/>
      <c r="T33" s="557"/>
      <c r="U33" s="557"/>
      <c r="V33" s="557"/>
      <c r="W33" s="557"/>
      <c r="X33" s="557"/>
      <c r="Y33" s="557"/>
      <c r="Z33" s="557"/>
      <c r="AA33" s="557"/>
      <c r="AB33" s="558"/>
      <c r="AC33" s="101"/>
    </row>
    <row r="34" spans="1:29" ht="28.5" customHeight="1">
      <c r="A34" s="533"/>
      <c r="B34" s="525"/>
      <c r="C34" s="106" t="s">
        <v>9</v>
      </c>
      <c r="D34" s="107"/>
      <c r="E34" s="107"/>
      <c r="F34" s="107"/>
      <c r="G34" s="107"/>
      <c r="H34" s="107"/>
      <c r="I34" s="107"/>
      <c r="J34" s="107"/>
      <c r="K34" s="107"/>
      <c r="L34" s="107"/>
      <c r="M34" s="107"/>
      <c r="N34" s="107"/>
      <c r="O34" s="107"/>
      <c r="P34" s="105">
        <f t="shared" si="0"/>
        <v>0</v>
      </c>
      <c r="Q34" s="527"/>
      <c r="R34" s="528"/>
      <c r="S34" s="528"/>
      <c r="T34" s="528"/>
      <c r="U34" s="528"/>
      <c r="V34" s="528"/>
      <c r="W34" s="528"/>
      <c r="X34" s="528"/>
      <c r="Y34" s="528"/>
      <c r="Z34" s="528"/>
      <c r="AA34" s="528"/>
      <c r="AB34" s="529"/>
      <c r="AC34" s="101"/>
    </row>
    <row r="35" spans="1:29" ht="28.5" customHeight="1">
      <c r="A35" s="533"/>
      <c r="B35" s="534"/>
      <c r="C35" s="103" t="s">
        <v>10</v>
      </c>
      <c r="D35" s="104"/>
      <c r="E35" s="104"/>
      <c r="F35" s="104"/>
      <c r="G35" s="104"/>
      <c r="H35" s="104"/>
      <c r="I35" s="104"/>
      <c r="J35" s="104"/>
      <c r="K35" s="104"/>
      <c r="L35" s="108"/>
      <c r="M35" s="108"/>
      <c r="N35" s="108"/>
      <c r="O35" s="108"/>
      <c r="P35" s="105">
        <f t="shared" si="0"/>
        <v>0</v>
      </c>
      <c r="Q35" s="535"/>
      <c r="R35" s="536"/>
      <c r="S35" s="536"/>
      <c r="T35" s="536"/>
      <c r="U35" s="536"/>
      <c r="V35" s="536"/>
      <c r="W35" s="536"/>
      <c r="X35" s="536"/>
      <c r="Y35" s="536"/>
      <c r="Z35" s="536"/>
      <c r="AA35" s="536"/>
      <c r="AB35" s="537"/>
      <c r="AC35" s="101"/>
    </row>
    <row r="36" spans="1:29" ht="28.5" customHeight="1">
      <c r="A36" s="538"/>
      <c r="B36" s="525"/>
      <c r="C36" s="106" t="s">
        <v>9</v>
      </c>
      <c r="D36" s="107"/>
      <c r="E36" s="107"/>
      <c r="F36" s="107"/>
      <c r="G36" s="107"/>
      <c r="H36" s="107"/>
      <c r="I36" s="107"/>
      <c r="J36" s="107"/>
      <c r="K36" s="107"/>
      <c r="L36" s="107"/>
      <c r="M36" s="107"/>
      <c r="N36" s="107"/>
      <c r="O36" s="107"/>
      <c r="P36" s="105">
        <f t="shared" si="0"/>
        <v>0</v>
      </c>
      <c r="Q36" s="527"/>
      <c r="R36" s="528"/>
      <c r="S36" s="528"/>
      <c r="T36" s="528"/>
      <c r="U36" s="528"/>
      <c r="V36" s="528"/>
      <c r="W36" s="528"/>
      <c r="X36" s="528"/>
      <c r="Y36" s="528"/>
      <c r="Z36" s="528"/>
      <c r="AA36" s="528"/>
      <c r="AB36" s="529"/>
      <c r="AC36" s="101"/>
    </row>
    <row r="37" spans="1:29" ht="28.5" customHeight="1">
      <c r="A37" s="539"/>
      <c r="B37" s="534"/>
      <c r="C37" s="103" t="s">
        <v>10</v>
      </c>
      <c r="D37" s="104"/>
      <c r="E37" s="104"/>
      <c r="F37" s="104"/>
      <c r="G37" s="109"/>
      <c r="H37" s="104"/>
      <c r="I37" s="104"/>
      <c r="J37" s="104"/>
      <c r="K37" s="104"/>
      <c r="L37" s="108"/>
      <c r="M37" s="108"/>
      <c r="N37" s="108"/>
      <c r="O37" s="108"/>
      <c r="P37" s="105">
        <f t="shared" si="0"/>
        <v>0</v>
      </c>
      <c r="Q37" s="535"/>
      <c r="R37" s="536"/>
      <c r="S37" s="536"/>
      <c r="T37" s="536"/>
      <c r="U37" s="536"/>
      <c r="V37" s="536"/>
      <c r="W37" s="536"/>
      <c r="X37" s="536"/>
      <c r="Y37" s="536"/>
      <c r="Z37" s="536"/>
      <c r="AA37" s="536"/>
      <c r="AB37" s="537"/>
      <c r="AC37" s="101"/>
    </row>
    <row r="38" spans="1:29" ht="28.5" customHeight="1">
      <c r="A38" s="523"/>
      <c r="B38" s="525"/>
      <c r="C38" s="106" t="s">
        <v>9</v>
      </c>
      <c r="D38" s="107"/>
      <c r="E38" s="107"/>
      <c r="F38" s="107"/>
      <c r="G38" s="107"/>
      <c r="H38" s="107"/>
      <c r="I38" s="107"/>
      <c r="J38" s="107"/>
      <c r="K38" s="107"/>
      <c r="L38" s="107"/>
      <c r="M38" s="107"/>
      <c r="N38" s="107"/>
      <c r="O38" s="107"/>
      <c r="P38" s="105">
        <f t="shared" si="0"/>
        <v>0</v>
      </c>
      <c r="Q38" s="527"/>
      <c r="R38" s="528"/>
      <c r="S38" s="528"/>
      <c r="T38" s="528"/>
      <c r="U38" s="528"/>
      <c r="V38" s="528"/>
      <c r="W38" s="528"/>
      <c r="X38" s="528"/>
      <c r="Y38" s="528"/>
      <c r="Z38" s="528"/>
      <c r="AA38" s="528"/>
      <c r="AB38" s="529"/>
      <c r="AC38" s="101"/>
    </row>
    <row r="39" spans="1:29" ht="28.5" customHeight="1" thickBot="1">
      <c r="A39" s="524"/>
      <c r="B39" s="526"/>
      <c r="C39" s="94" t="s">
        <v>10</v>
      </c>
      <c r="D39" s="110"/>
      <c r="E39" s="110"/>
      <c r="F39" s="110"/>
      <c r="G39" s="110"/>
      <c r="H39" s="110"/>
      <c r="I39" s="110"/>
      <c r="J39" s="110"/>
      <c r="K39" s="110"/>
      <c r="L39" s="111"/>
      <c r="M39" s="111"/>
      <c r="N39" s="111"/>
      <c r="O39" s="111"/>
      <c r="P39" s="112">
        <f t="shared" si="0"/>
        <v>0</v>
      </c>
      <c r="Q39" s="530"/>
      <c r="R39" s="531"/>
      <c r="S39" s="531"/>
      <c r="T39" s="531"/>
      <c r="U39" s="531"/>
      <c r="V39" s="531"/>
      <c r="W39" s="531"/>
      <c r="X39" s="531"/>
      <c r="Y39" s="531"/>
      <c r="Z39" s="531"/>
      <c r="AA39" s="531"/>
      <c r="AB39" s="532"/>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AY27"/>
  <sheetViews>
    <sheetView view="pageBreakPreview" zoomScale="60" zoomScaleNormal="70" zoomScalePageLayoutView="0" workbookViewId="0" topLeftCell="Q1">
      <selection activeCell="AT13" sqref="AT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9" width="39.7109375" style="113" customWidth="1"/>
    <col min="10" max="10" width="39.8515625" style="113" customWidth="1"/>
    <col min="11" max="11" width="18.421875" style="113" customWidth="1"/>
    <col min="12" max="12" width="11.8515625" style="113" customWidth="1"/>
    <col min="13" max="13" width="12.421875" style="113" customWidth="1"/>
    <col min="14" max="14" width="33.28125" style="113" customWidth="1"/>
    <col min="15" max="17" width="8.7109375" style="113" customWidth="1"/>
    <col min="18" max="18" width="8.7109375" style="131" customWidth="1"/>
    <col min="19" max="19" width="8.7109375" style="113" customWidth="1"/>
    <col min="20" max="20" width="16.7109375" style="113" customWidth="1"/>
    <col min="21" max="21" width="24.7109375" style="113" customWidth="1"/>
    <col min="22" max="45" width="8.28125" style="113" customWidth="1"/>
    <col min="46" max="46" width="17.140625" style="113" customWidth="1"/>
    <col min="47" max="47" width="15.8515625" style="217" customWidth="1"/>
    <col min="48" max="48" width="68.28125" style="113" customWidth="1"/>
    <col min="49" max="49" width="68.7109375" style="113" customWidth="1"/>
    <col min="50" max="51" width="52.140625" style="113" customWidth="1"/>
    <col min="52" max="16384" width="10.8515625" style="113" customWidth="1"/>
  </cols>
  <sheetData>
    <row r="1" spans="1:51" ht="15.75" customHeight="1">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1025" t="s">
        <v>423</v>
      </c>
      <c r="AY1" s="1026"/>
    </row>
    <row r="2" spans="1:51" ht="15.75" customHeight="1">
      <c r="A2" s="1109" t="s">
        <v>17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1"/>
      <c r="AX2" s="1028" t="s">
        <v>418</v>
      </c>
      <c r="AY2" s="1029"/>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1028" t="s">
        <v>424</v>
      </c>
      <c r="AY3" s="1029"/>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787</v>
      </c>
      <c r="AY4" s="758"/>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96" t="s">
        <v>71</v>
      </c>
      <c r="B6" s="796"/>
      <c r="C6" s="796"/>
      <c r="D6" s="1085">
        <v>45146</v>
      </c>
      <c r="E6" s="797"/>
      <c r="F6" s="787" t="s">
        <v>67</v>
      </c>
      <c r="G6" s="789"/>
      <c r="H6" s="1127" t="s">
        <v>70</v>
      </c>
      <c r="I6" s="1127"/>
      <c r="J6" s="121"/>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1126"/>
      <c r="AJ6" s="1126"/>
      <c r="AK6" s="1126"/>
      <c r="AL6" s="1126"/>
      <c r="AM6" s="1126"/>
      <c r="AN6" s="1126"/>
      <c r="AO6" s="1126"/>
      <c r="AP6" s="1126"/>
      <c r="AQ6" s="1126"/>
      <c r="AR6" s="1126"/>
      <c r="AS6" s="1126"/>
      <c r="AT6" s="1126"/>
      <c r="AU6" s="792"/>
      <c r="AV6" s="785"/>
      <c r="AW6" s="785"/>
      <c r="AX6" s="785"/>
      <c r="AY6" s="785"/>
    </row>
    <row r="7" spans="1:51" ht="15" customHeight="1">
      <c r="A7" s="796"/>
      <c r="B7" s="796"/>
      <c r="C7" s="796"/>
      <c r="D7" s="797"/>
      <c r="E7" s="797"/>
      <c r="F7" s="790"/>
      <c r="G7" s="792"/>
      <c r="H7" s="1127" t="s">
        <v>68</v>
      </c>
      <c r="I7" s="1127"/>
      <c r="J7" s="121"/>
      <c r="K7" s="790"/>
      <c r="L7" s="1126"/>
      <c r="M7" s="1126"/>
      <c r="N7" s="1126"/>
      <c r="O7" s="1126"/>
      <c r="P7" s="1126"/>
      <c r="Q7" s="1126"/>
      <c r="R7" s="1126"/>
      <c r="S7" s="1126"/>
      <c r="T7" s="1126"/>
      <c r="U7" s="1126"/>
      <c r="V7" s="231"/>
      <c r="W7" s="231"/>
      <c r="X7" s="231"/>
      <c r="Y7" s="231"/>
      <c r="Z7" s="231"/>
      <c r="AA7" s="231"/>
      <c r="AB7" s="231"/>
      <c r="AC7" s="231"/>
      <c r="AD7" s="231"/>
      <c r="AE7" s="231"/>
      <c r="AF7" s="231"/>
      <c r="AG7" s="117"/>
      <c r="AH7" s="790"/>
      <c r="AI7" s="1126"/>
      <c r="AJ7" s="1126"/>
      <c r="AK7" s="1126"/>
      <c r="AL7" s="1126"/>
      <c r="AM7" s="1126"/>
      <c r="AN7" s="1126"/>
      <c r="AO7" s="1126"/>
      <c r="AP7" s="1126"/>
      <c r="AQ7" s="1126"/>
      <c r="AR7" s="1126"/>
      <c r="AS7" s="1126"/>
      <c r="AT7" s="1126"/>
      <c r="AU7" s="792"/>
      <c r="AV7" s="785"/>
      <c r="AW7" s="785"/>
      <c r="AX7" s="785"/>
      <c r="AY7" s="785"/>
    </row>
    <row r="8" spans="1:51" ht="15" customHeight="1">
      <c r="A8" s="796"/>
      <c r="B8" s="796"/>
      <c r="C8" s="796"/>
      <c r="D8" s="797"/>
      <c r="E8" s="797"/>
      <c r="F8" s="793"/>
      <c r="G8" s="795"/>
      <c r="H8" s="1127" t="s">
        <v>69</v>
      </c>
      <c r="I8" s="1127"/>
      <c r="J8" s="121" t="s">
        <v>425</v>
      </c>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1126"/>
      <c r="AJ8" s="1126"/>
      <c r="AK8" s="1126"/>
      <c r="AL8" s="1126"/>
      <c r="AM8" s="1126"/>
      <c r="AN8" s="1126"/>
      <c r="AO8" s="1126"/>
      <c r="AP8" s="1126"/>
      <c r="AQ8" s="1126"/>
      <c r="AR8" s="1126"/>
      <c r="AS8" s="1126"/>
      <c r="AT8" s="1126"/>
      <c r="AU8" s="792"/>
      <c r="AV8" s="785"/>
      <c r="AW8" s="785"/>
      <c r="AX8" s="785"/>
      <c r="AY8" s="785"/>
    </row>
    <row r="9" spans="1:51" ht="15" customHeight="1">
      <c r="A9" s="765" t="s">
        <v>399</v>
      </c>
      <c r="B9" s="766"/>
      <c r="C9" s="767"/>
      <c r="D9" s="801"/>
      <c r="E9" s="802"/>
      <c r="F9" s="802"/>
      <c r="G9" s="802"/>
      <c r="H9" s="802"/>
      <c r="I9" s="802"/>
      <c r="J9" s="802"/>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1126"/>
      <c r="AJ9" s="1126"/>
      <c r="AK9" s="1126"/>
      <c r="AL9" s="1126"/>
      <c r="AM9" s="1126"/>
      <c r="AN9" s="1126"/>
      <c r="AO9" s="1126"/>
      <c r="AP9" s="1126"/>
      <c r="AQ9" s="1126"/>
      <c r="AR9" s="1126"/>
      <c r="AS9" s="1126"/>
      <c r="AT9" s="1126"/>
      <c r="AU9" s="792"/>
      <c r="AV9" s="785"/>
      <c r="AW9" s="785"/>
      <c r="AX9" s="785"/>
      <c r="AY9" s="785"/>
    </row>
    <row r="10" spans="1:51" ht="15" customHeight="1">
      <c r="A10" s="798" t="s">
        <v>287</v>
      </c>
      <c r="B10" s="799"/>
      <c r="C10" s="800"/>
      <c r="D10" s="805" t="s">
        <v>500</v>
      </c>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39.7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120" t="s">
        <v>169</v>
      </c>
      <c r="B12" s="120" t="s">
        <v>170</v>
      </c>
      <c r="C12" s="120" t="s">
        <v>171</v>
      </c>
      <c r="D12" s="120" t="s">
        <v>178</v>
      </c>
      <c r="E12" s="120" t="s">
        <v>185</v>
      </c>
      <c r="F12" s="120" t="s">
        <v>186</v>
      </c>
      <c r="G12" s="120" t="s">
        <v>277</v>
      </c>
      <c r="H12" s="120" t="s">
        <v>184</v>
      </c>
      <c r="I12" s="778"/>
      <c r="J12" s="778"/>
      <c r="K12" s="778"/>
      <c r="L12" s="778"/>
      <c r="M12" s="778"/>
      <c r="N12" s="778"/>
      <c r="O12" s="120">
        <v>2020</v>
      </c>
      <c r="P12" s="120">
        <v>2021</v>
      </c>
      <c r="Q12" s="120">
        <v>2022</v>
      </c>
      <c r="R12" s="393">
        <v>2023</v>
      </c>
      <c r="S12" s="120">
        <v>2024</v>
      </c>
      <c r="T12" s="778"/>
      <c r="U12" s="778"/>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8"/>
      <c r="AW12" s="778"/>
      <c r="AX12" s="778"/>
      <c r="AY12" s="778"/>
    </row>
    <row r="13" spans="1:51" ht="152.25" customHeight="1">
      <c r="A13" s="121"/>
      <c r="B13" s="121"/>
      <c r="C13" s="121"/>
      <c r="D13" s="121"/>
      <c r="E13" s="121" t="s">
        <v>425</v>
      </c>
      <c r="F13" s="121"/>
      <c r="G13" s="122" t="s">
        <v>719</v>
      </c>
      <c r="H13" s="121"/>
      <c r="I13" s="313" t="s">
        <v>583</v>
      </c>
      <c r="J13" s="313" t="s">
        <v>584</v>
      </c>
      <c r="K13" s="124" t="s">
        <v>430</v>
      </c>
      <c r="L13" s="314" t="s">
        <v>450</v>
      </c>
      <c r="M13" s="308" t="s">
        <v>585</v>
      </c>
      <c r="N13" s="313" t="s">
        <v>586</v>
      </c>
      <c r="O13" s="123"/>
      <c r="P13" s="123"/>
      <c r="Q13" s="123"/>
      <c r="R13" s="399">
        <v>6</v>
      </c>
      <c r="S13" s="123"/>
      <c r="T13" s="121" t="s">
        <v>433</v>
      </c>
      <c r="U13" s="122" t="s">
        <v>587</v>
      </c>
      <c r="V13" s="315">
        <v>1</v>
      </c>
      <c r="W13" s="315">
        <v>1</v>
      </c>
      <c r="X13" s="315"/>
      <c r="Y13" s="315">
        <v>1</v>
      </c>
      <c r="Z13" s="315"/>
      <c r="AA13" s="315"/>
      <c r="AB13" s="315">
        <v>1</v>
      </c>
      <c r="AC13" s="315">
        <v>1</v>
      </c>
      <c r="AD13" s="315"/>
      <c r="AE13" s="315">
        <v>1</v>
      </c>
      <c r="AF13" s="316"/>
      <c r="AG13" s="316"/>
      <c r="AH13" s="466">
        <v>1</v>
      </c>
      <c r="AI13" s="459">
        <v>0</v>
      </c>
      <c r="AJ13" s="459"/>
      <c r="AK13" s="459">
        <v>0</v>
      </c>
      <c r="AL13" s="459"/>
      <c r="AM13" s="459"/>
      <c r="AN13" s="372">
        <v>1</v>
      </c>
      <c r="AO13" s="459"/>
      <c r="AP13" s="459"/>
      <c r="AQ13" s="459"/>
      <c r="AR13" s="459"/>
      <c r="AS13" s="459"/>
      <c r="AT13" s="487">
        <f>SUM(AH13:AS13)</f>
        <v>2</v>
      </c>
      <c r="AU13" s="379">
        <f>+AT13/R13</f>
        <v>0.3333333333333333</v>
      </c>
      <c r="AV13" s="474" t="s">
        <v>917</v>
      </c>
      <c r="AW13" s="520" t="s">
        <v>925</v>
      </c>
      <c r="AX13" s="445" t="s">
        <v>858</v>
      </c>
      <c r="AY13" s="412" t="s">
        <v>888</v>
      </c>
    </row>
    <row r="14" spans="1:51" s="324" customFormat="1" ht="69.75" customHeight="1">
      <c r="A14" s="397"/>
      <c r="B14" s="317"/>
      <c r="C14" s="317"/>
      <c r="D14" s="317"/>
      <c r="E14" s="121" t="s">
        <v>425</v>
      </c>
      <c r="F14" s="317"/>
      <c r="G14" s="122" t="s">
        <v>719</v>
      </c>
      <c r="H14" s="317"/>
      <c r="I14" s="318" t="s">
        <v>588</v>
      </c>
      <c r="J14" s="318" t="s">
        <v>589</v>
      </c>
      <c r="K14" s="319" t="s">
        <v>430</v>
      </c>
      <c r="L14" s="320" t="s">
        <v>450</v>
      </c>
      <c r="M14" s="321" t="s">
        <v>590</v>
      </c>
      <c r="N14" s="318" t="s">
        <v>589</v>
      </c>
      <c r="O14" s="322"/>
      <c r="P14" s="322"/>
      <c r="Q14" s="322"/>
      <c r="R14" s="399">
        <v>1</v>
      </c>
      <c r="S14" s="322"/>
      <c r="T14" s="232" t="s">
        <v>591</v>
      </c>
      <c r="U14" s="232" t="s">
        <v>592</v>
      </c>
      <c r="V14" s="315"/>
      <c r="W14" s="315"/>
      <c r="X14" s="315"/>
      <c r="Y14" s="315"/>
      <c r="Z14" s="315"/>
      <c r="AA14" s="315"/>
      <c r="AB14" s="315"/>
      <c r="AC14" s="315"/>
      <c r="AD14" s="315">
        <v>1</v>
      </c>
      <c r="AE14" s="315"/>
      <c r="AF14" s="316"/>
      <c r="AG14" s="316"/>
      <c r="AH14" s="416"/>
      <c r="AI14" s="323"/>
      <c r="AJ14" s="323"/>
      <c r="AK14" s="323"/>
      <c r="AL14" s="323"/>
      <c r="AM14" s="323"/>
      <c r="AN14" s="516"/>
      <c r="AO14" s="323"/>
      <c r="AP14" s="323"/>
      <c r="AQ14" s="323"/>
      <c r="AR14" s="323"/>
      <c r="AS14" s="323"/>
      <c r="AT14" s="124">
        <f>SUM(AH14:AS14)</f>
        <v>0</v>
      </c>
      <c r="AU14" s="379">
        <f>+AT14/R14</f>
        <v>0</v>
      </c>
      <c r="AV14" s="474" t="s">
        <v>856</v>
      </c>
      <c r="AW14" s="443" t="s">
        <v>918</v>
      </c>
      <c r="AX14" s="412" t="s">
        <v>888</v>
      </c>
      <c r="AY14" s="412" t="s">
        <v>888</v>
      </c>
    </row>
    <row r="15" spans="1:51" s="326" customFormat="1" ht="250.5" customHeight="1">
      <c r="A15" s="398"/>
      <c r="B15" s="325"/>
      <c r="C15" s="325"/>
      <c r="D15" s="325"/>
      <c r="E15" s="121" t="s">
        <v>425</v>
      </c>
      <c r="F15" s="325"/>
      <c r="G15" s="122" t="s">
        <v>719</v>
      </c>
      <c r="H15" s="325"/>
      <c r="I15" s="318" t="s">
        <v>766</v>
      </c>
      <c r="J15" s="318" t="s">
        <v>593</v>
      </c>
      <c r="K15" s="319" t="s">
        <v>453</v>
      </c>
      <c r="L15" s="320" t="s">
        <v>450</v>
      </c>
      <c r="M15" s="321" t="s">
        <v>431</v>
      </c>
      <c r="N15" s="318" t="s">
        <v>594</v>
      </c>
      <c r="O15" s="319"/>
      <c r="P15" s="319"/>
      <c r="Q15" s="319"/>
      <c r="R15" s="400">
        <v>1</v>
      </c>
      <c r="S15" s="319"/>
      <c r="T15" s="325" t="s">
        <v>460</v>
      </c>
      <c r="U15" s="232" t="s">
        <v>595</v>
      </c>
      <c r="V15" s="392">
        <v>1</v>
      </c>
      <c r="W15" s="392">
        <v>1</v>
      </c>
      <c r="X15" s="392">
        <v>1</v>
      </c>
      <c r="Y15" s="392">
        <v>1</v>
      </c>
      <c r="Z15" s="392">
        <v>1</v>
      </c>
      <c r="AA15" s="392">
        <v>1</v>
      </c>
      <c r="AB15" s="392">
        <v>1</v>
      </c>
      <c r="AC15" s="392">
        <v>1</v>
      </c>
      <c r="AD15" s="392">
        <v>1</v>
      </c>
      <c r="AE15" s="392">
        <v>1</v>
      </c>
      <c r="AF15" s="392">
        <v>1</v>
      </c>
      <c r="AG15" s="392">
        <v>1</v>
      </c>
      <c r="AH15" s="392">
        <v>0.8444</v>
      </c>
      <c r="AI15" s="444">
        <v>1.16</v>
      </c>
      <c r="AJ15" s="444">
        <v>1</v>
      </c>
      <c r="AK15" s="444">
        <v>1</v>
      </c>
      <c r="AL15" s="444">
        <v>1</v>
      </c>
      <c r="AM15" s="444">
        <v>1</v>
      </c>
      <c r="AN15" s="517">
        <v>1</v>
      </c>
      <c r="AO15" s="319"/>
      <c r="AP15" s="319"/>
      <c r="AQ15" s="319"/>
      <c r="AR15" s="319"/>
      <c r="AS15" s="319"/>
      <c r="AT15" s="127">
        <f>AVERAGE(AH15:AS15)</f>
        <v>1.0006285714285714</v>
      </c>
      <c r="AU15" s="379">
        <f>+(SUM(AH15:AS15)/+SUM(V15:AG15))</f>
        <v>0.5837</v>
      </c>
      <c r="AV15" s="488" t="s">
        <v>919</v>
      </c>
      <c r="AW15" s="519" t="s">
        <v>920</v>
      </c>
      <c r="AX15" s="445" t="s">
        <v>858</v>
      </c>
      <c r="AY15" s="412" t="s">
        <v>888</v>
      </c>
    </row>
    <row r="16" spans="1:51" s="326" customFormat="1" ht="210" customHeight="1">
      <c r="A16" s="398"/>
      <c r="B16" s="325"/>
      <c r="C16" s="325"/>
      <c r="D16" s="325"/>
      <c r="E16" s="121" t="s">
        <v>425</v>
      </c>
      <c r="F16" s="325"/>
      <c r="G16" s="122" t="s">
        <v>719</v>
      </c>
      <c r="H16" s="325"/>
      <c r="I16" s="318" t="s">
        <v>767</v>
      </c>
      <c r="J16" s="318" t="s">
        <v>768</v>
      </c>
      <c r="K16" s="319" t="s">
        <v>453</v>
      </c>
      <c r="L16" s="320" t="s">
        <v>450</v>
      </c>
      <c r="M16" s="321" t="s">
        <v>431</v>
      </c>
      <c r="N16" s="318" t="s">
        <v>769</v>
      </c>
      <c r="O16" s="319"/>
      <c r="P16" s="319"/>
      <c r="Q16" s="319"/>
      <c r="R16" s="400">
        <v>0.7</v>
      </c>
      <c r="S16" s="319"/>
      <c r="T16" s="325" t="s">
        <v>460</v>
      </c>
      <c r="U16" s="232" t="s">
        <v>595</v>
      </c>
      <c r="V16" s="392">
        <v>0.7</v>
      </c>
      <c r="W16" s="392">
        <v>0.7</v>
      </c>
      <c r="X16" s="392">
        <v>0.7</v>
      </c>
      <c r="Y16" s="392">
        <v>0.7</v>
      </c>
      <c r="Z16" s="392">
        <v>0.7</v>
      </c>
      <c r="AA16" s="392">
        <v>0.7</v>
      </c>
      <c r="AB16" s="392">
        <v>0.7</v>
      </c>
      <c r="AC16" s="392">
        <v>0.7</v>
      </c>
      <c r="AD16" s="392">
        <v>0.7</v>
      </c>
      <c r="AE16" s="392">
        <v>0.7</v>
      </c>
      <c r="AF16" s="392">
        <v>0.7</v>
      </c>
      <c r="AG16" s="392">
        <v>0.7</v>
      </c>
      <c r="AH16" s="382">
        <v>0.4651</v>
      </c>
      <c r="AI16" s="444">
        <v>0.79</v>
      </c>
      <c r="AJ16" s="444">
        <v>0.92</v>
      </c>
      <c r="AK16" s="444">
        <v>0.91</v>
      </c>
      <c r="AL16" s="444">
        <v>0.92</v>
      </c>
      <c r="AM16" s="382">
        <v>0.89</v>
      </c>
      <c r="AN16" s="518">
        <v>0.89</v>
      </c>
      <c r="AO16" s="319"/>
      <c r="AP16" s="319"/>
      <c r="AQ16" s="319"/>
      <c r="AR16" s="319"/>
      <c r="AS16" s="319"/>
      <c r="AT16" s="127">
        <f>AVERAGE(AH16:AS16)</f>
        <v>0.8264428571428571</v>
      </c>
      <c r="AU16" s="379">
        <f>+(SUM(AH16:AS16)/+SUM(V16:AG16))</f>
        <v>0.6887023809523809</v>
      </c>
      <c r="AV16" s="489" t="s">
        <v>921</v>
      </c>
      <c r="AW16" s="488" t="s">
        <v>922</v>
      </c>
      <c r="AX16" s="445" t="s">
        <v>858</v>
      </c>
      <c r="AY16" s="412" t="s">
        <v>888</v>
      </c>
    </row>
    <row r="17" spans="1:51" s="326" customFormat="1" ht="294" customHeight="1">
      <c r="A17" s="325"/>
      <c r="B17" s="325"/>
      <c r="C17" s="325"/>
      <c r="D17" s="325"/>
      <c r="E17" s="121" t="s">
        <v>425</v>
      </c>
      <c r="F17" s="325"/>
      <c r="G17" s="122" t="s">
        <v>719</v>
      </c>
      <c r="H17" s="325"/>
      <c r="I17" s="318" t="s">
        <v>596</v>
      </c>
      <c r="J17" s="318" t="s">
        <v>597</v>
      </c>
      <c r="K17" s="319" t="s">
        <v>430</v>
      </c>
      <c r="L17" s="325" t="s">
        <v>450</v>
      </c>
      <c r="M17" s="321" t="s">
        <v>598</v>
      </c>
      <c r="N17" s="318" t="s">
        <v>599</v>
      </c>
      <c r="O17" s="319"/>
      <c r="P17" s="319"/>
      <c r="Q17" s="319"/>
      <c r="R17" s="401">
        <v>2</v>
      </c>
      <c r="S17" s="319"/>
      <c r="T17" s="325" t="s">
        <v>455</v>
      </c>
      <c r="U17" s="232" t="s">
        <v>600</v>
      </c>
      <c r="V17" s="316"/>
      <c r="W17" s="316"/>
      <c r="X17" s="316"/>
      <c r="Y17" s="316"/>
      <c r="Z17" s="316"/>
      <c r="AA17" s="316"/>
      <c r="AB17" s="316">
        <v>1</v>
      </c>
      <c r="AC17" s="316"/>
      <c r="AD17" s="316"/>
      <c r="AE17" s="316"/>
      <c r="AF17" s="316"/>
      <c r="AG17" s="316">
        <v>1</v>
      </c>
      <c r="AH17" s="417"/>
      <c r="AI17" s="319"/>
      <c r="AJ17" s="319"/>
      <c r="AK17" s="319"/>
      <c r="AL17" s="319"/>
      <c r="AM17" s="319"/>
      <c r="AN17" s="319">
        <v>1</v>
      </c>
      <c r="AO17" s="319"/>
      <c r="AP17" s="319"/>
      <c r="AQ17" s="319"/>
      <c r="AR17" s="319"/>
      <c r="AS17" s="319"/>
      <c r="AT17" s="124">
        <f>SUM(AH17:AS17)</f>
        <v>1</v>
      </c>
      <c r="AU17" s="379">
        <f>+AT17/R17</f>
        <v>0.5</v>
      </c>
      <c r="AV17" s="474" t="s">
        <v>923</v>
      </c>
      <c r="AW17" s="443" t="s">
        <v>924</v>
      </c>
      <c r="AX17" s="445" t="s">
        <v>858</v>
      </c>
      <c r="AY17" s="412" t="s">
        <v>888</v>
      </c>
    </row>
    <row r="18" spans="1:51" ht="54" customHeight="1">
      <c r="A18" s="780" t="s">
        <v>64</v>
      </c>
      <c r="B18" s="780"/>
      <c r="C18" s="780"/>
      <c r="D18" s="776" t="s">
        <v>66</v>
      </c>
      <c r="E18" s="776"/>
      <c r="F18" s="776"/>
      <c r="G18" s="776"/>
      <c r="H18" s="776"/>
      <c r="I18" s="776"/>
      <c r="J18" s="781" t="s">
        <v>300</v>
      </c>
      <c r="K18" s="781"/>
      <c r="L18" s="781"/>
      <c r="M18" s="781"/>
      <c r="N18" s="781"/>
      <c r="O18" s="781"/>
      <c r="P18" s="776" t="s">
        <v>66</v>
      </c>
      <c r="Q18" s="776"/>
      <c r="R18" s="776"/>
      <c r="S18" s="776"/>
      <c r="T18" s="776"/>
      <c r="U18" s="776"/>
      <c r="V18" s="776" t="s">
        <v>66</v>
      </c>
      <c r="W18" s="776"/>
      <c r="X18" s="776"/>
      <c r="Y18" s="776"/>
      <c r="Z18" s="776"/>
      <c r="AA18" s="776"/>
      <c r="AB18" s="776"/>
      <c r="AC18" s="776"/>
      <c r="AD18" s="776" t="s">
        <v>66</v>
      </c>
      <c r="AE18" s="776"/>
      <c r="AF18" s="776"/>
      <c r="AG18" s="776"/>
      <c r="AH18" s="776"/>
      <c r="AI18" s="776"/>
      <c r="AJ18" s="776"/>
      <c r="AK18" s="776"/>
      <c r="AL18" s="776"/>
      <c r="AM18" s="776"/>
      <c r="AN18" s="776"/>
      <c r="AO18" s="776"/>
      <c r="AP18" s="781" t="s">
        <v>318</v>
      </c>
      <c r="AQ18" s="781"/>
      <c r="AR18" s="781"/>
      <c r="AS18" s="781"/>
      <c r="AT18" s="776" t="s">
        <v>13</v>
      </c>
      <c r="AU18" s="776"/>
      <c r="AV18" s="776"/>
      <c r="AW18" s="776"/>
      <c r="AX18" s="776"/>
      <c r="AY18" s="776"/>
    </row>
    <row r="19" spans="1:51" ht="30" customHeight="1">
      <c r="A19" s="780"/>
      <c r="B19" s="780"/>
      <c r="C19" s="780"/>
      <c r="D19" s="776" t="s">
        <v>815</v>
      </c>
      <c r="E19" s="776"/>
      <c r="F19" s="776"/>
      <c r="G19" s="776"/>
      <c r="H19" s="776"/>
      <c r="I19" s="776"/>
      <c r="J19" s="781"/>
      <c r="K19" s="781"/>
      <c r="L19" s="781"/>
      <c r="M19" s="781"/>
      <c r="N19" s="781"/>
      <c r="O19" s="781"/>
      <c r="P19" s="776" t="s">
        <v>848</v>
      </c>
      <c r="Q19" s="776"/>
      <c r="R19" s="776"/>
      <c r="S19" s="776"/>
      <c r="T19" s="776"/>
      <c r="U19" s="776"/>
      <c r="V19" s="776" t="s">
        <v>65</v>
      </c>
      <c r="W19" s="776"/>
      <c r="X19" s="776"/>
      <c r="Y19" s="776"/>
      <c r="Z19" s="776"/>
      <c r="AA19" s="776"/>
      <c r="AB19" s="776"/>
      <c r="AC19" s="776"/>
      <c r="AD19" s="776" t="s">
        <v>65</v>
      </c>
      <c r="AE19" s="776"/>
      <c r="AF19" s="776"/>
      <c r="AG19" s="776"/>
      <c r="AH19" s="776"/>
      <c r="AI19" s="776"/>
      <c r="AJ19" s="776"/>
      <c r="AK19" s="776"/>
      <c r="AL19" s="776"/>
      <c r="AM19" s="776"/>
      <c r="AN19" s="776"/>
      <c r="AO19" s="776"/>
      <c r="AP19" s="781"/>
      <c r="AQ19" s="781"/>
      <c r="AR19" s="781"/>
      <c r="AS19" s="781"/>
      <c r="AT19" s="776" t="s">
        <v>771</v>
      </c>
      <c r="AU19" s="776"/>
      <c r="AV19" s="776"/>
      <c r="AW19" s="776"/>
      <c r="AX19" s="776"/>
      <c r="AY19" s="776"/>
    </row>
    <row r="20" spans="1:51" ht="30" customHeight="1">
      <c r="A20" s="780"/>
      <c r="B20" s="780"/>
      <c r="C20" s="780"/>
      <c r="D20" s="776" t="s">
        <v>816</v>
      </c>
      <c r="E20" s="776"/>
      <c r="F20" s="776"/>
      <c r="G20" s="776"/>
      <c r="H20" s="776"/>
      <c r="I20" s="776"/>
      <c r="J20" s="781"/>
      <c r="K20" s="781"/>
      <c r="L20" s="781"/>
      <c r="M20" s="781"/>
      <c r="N20" s="781"/>
      <c r="O20" s="781"/>
      <c r="P20" s="776" t="s">
        <v>817</v>
      </c>
      <c r="Q20" s="776"/>
      <c r="R20" s="776"/>
      <c r="S20" s="776"/>
      <c r="T20" s="776"/>
      <c r="U20" s="776"/>
      <c r="V20" s="776" t="s">
        <v>297</v>
      </c>
      <c r="W20" s="776"/>
      <c r="X20" s="776"/>
      <c r="Y20" s="776"/>
      <c r="Z20" s="776"/>
      <c r="AA20" s="776"/>
      <c r="AB20" s="776"/>
      <c r="AC20" s="776"/>
      <c r="AD20" s="776" t="s">
        <v>297</v>
      </c>
      <c r="AE20" s="776"/>
      <c r="AF20" s="776"/>
      <c r="AG20" s="776"/>
      <c r="AH20" s="776"/>
      <c r="AI20" s="776"/>
      <c r="AJ20" s="776"/>
      <c r="AK20" s="776"/>
      <c r="AL20" s="776"/>
      <c r="AM20" s="776"/>
      <c r="AN20" s="776"/>
      <c r="AO20" s="776"/>
      <c r="AP20" s="781"/>
      <c r="AQ20" s="781"/>
      <c r="AR20" s="781"/>
      <c r="AS20" s="781"/>
      <c r="AT20" s="776" t="s">
        <v>75</v>
      </c>
      <c r="AU20" s="776"/>
      <c r="AV20" s="776"/>
      <c r="AW20" s="776"/>
      <c r="AX20" s="776"/>
      <c r="AY20" s="776"/>
    </row>
    <row r="27" ht="15">
      <c r="S27" s="113" t="s">
        <v>601</v>
      </c>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T19:AY19"/>
    <mergeCell ref="AH11:AS11"/>
    <mergeCell ref="AT11:AU11"/>
    <mergeCell ref="A18:C20"/>
    <mergeCell ref="D18:I18"/>
    <mergeCell ref="J18:O20"/>
    <mergeCell ref="P18:U18"/>
    <mergeCell ref="V18:AC18"/>
    <mergeCell ref="AD18:AO18"/>
    <mergeCell ref="AP18:AS20"/>
    <mergeCell ref="D20:I20"/>
    <mergeCell ref="P20:U20"/>
    <mergeCell ref="V20:AC20"/>
    <mergeCell ref="AD20:AO20"/>
    <mergeCell ref="AT20:AY20"/>
    <mergeCell ref="AT18:AY18"/>
    <mergeCell ref="D19:I19"/>
    <mergeCell ref="P19:U19"/>
    <mergeCell ref="V19:AC19"/>
    <mergeCell ref="AD19:AO19"/>
  </mergeCells>
  <printOptions/>
  <pageMargins left="0.7" right="0.7" top="0.75" bottom="0.75" header="0.3" footer="0.3"/>
  <pageSetup fitToHeight="1" fitToWidth="1" horizontalDpi="600" verticalDpi="600" orientation="landscape" scale="15" r:id="rId3"/>
  <legacyDrawing r:id="rId2"/>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Y18"/>
  <sheetViews>
    <sheetView view="pageBreakPreview" zoomScale="60" zoomScaleNormal="70" zoomScalePageLayoutView="0" workbookViewId="0" topLeftCell="N1">
      <selection activeCell="AT13" sqref="AT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7" width="36.7109375" style="113" customWidth="1"/>
    <col min="8" max="8" width="14.7109375" style="113" customWidth="1"/>
    <col min="9" max="9" width="40.7109375" style="113" customWidth="1"/>
    <col min="10" max="10" width="32.1406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22.57421875" style="113" customWidth="1"/>
    <col min="22" max="45" width="8.28125" style="113" customWidth="1"/>
    <col min="46" max="46" width="17.140625" style="113" customWidth="1"/>
    <col min="47" max="47" width="15.8515625" style="217" customWidth="1"/>
    <col min="48" max="49" width="57.28125" style="113" customWidth="1"/>
    <col min="50" max="51" width="33.8515625" style="113" customWidth="1"/>
    <col min="52" max="16384" width="10.8515625" style="113" customWidth="1"/>
  </cols>
  <sheetData>
    <row r="1" spans="1:51" ht="15.75" customHeight="1">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1025" t="s">
        <v>423</v>
      </c>
      <c r="AY1" s="1026"/>
    </row>
    <row r="2" spans="1:51" ht="15.75" customHeight="1">
      <c r="A2" s="1109" t="s">
        <v>17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1"/>
      <c r="AX2" s="1028" t="s">
        <v>418</v>
      </c>
      <c r="AY2" s="1029"/>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1028" t="s">
        <v>424</v>
      </c>
      <c r="AY3" s="1029"/>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788</v>
      </c>
      <c r="AY4" s="758"/>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96" t="s">
        <v>71</v>
      </c>
      <c r="B6" s="796"/>
      <c r="C6" s="796"/>
      <c r="D6" s="1085">
        <v>45146</v>
      </c>
      <c r="E6" s="797"/>
      <c r="F6" s="787" t="s">
        <v>67</v>
      </c>
      <c r="G6" s="789"/>
      <c r="H6" s="1127" t="s">
        <v>70</v>
      </c>
      <c r="I6" s="1127"/>
      <c r="J6" s="121"/>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1126"/>
      <c r="AJ6" s="1126"/>
      <c r="AK6" s="1126"/>
      <c r="AL6" s="1126"/>
      <c r="AM6" s="1126"/>
      <c r="AN6" s="1126"/>
      <c r="AO6" s="1126"/>
      <c r="AP6" s="1126"/>
      <c r="AQ6" s="1126"/>
      <c r="AR6" s="1126"/>
      <c r="AS6" s="1126"/>
      <c r="AT6" s="1126"/>
      <c r="AU6" s="792"/>
      <c r="AV6" s="785"/>
      <c r="AW6" s="785"/>
      <c r="AX6" s="785"/>
      <c r="AY6" s="785"/>
    </row>
    <row r="7" spans="1:51" ht="15" customHeight="1">
      <c r="A7" s="796"/>
      <c r="B7" s="796"/>
      <c r="C7" s="796"/>
      <c r="D7" s="797"/>
      <c r="E7" s="797"/>
      <c r="F7" s="790"/>
      <c r="G7" s="792"/>
      <c r="H7" s="1127" t="s">
        <v>68</v>
      </c>
      <c r="I7" s="1127"/>
      <c r="J7" s="121"/>
      <c r="K7" s="790"/>
      <c r="L7" s="1126"/>
      <c r="M7" s="1126"/>
      <c r="N7" s="1126"/>
      <c r="O7" s="1126"/>
      <c r="P7" s="1126"/>
      <c r="Q7" s="1126"/>
      <c r="R7" s="1126"/>
      <c r="S7" s="1126"/>
      <c r="T7" s="1126"/>
      <c r="U7" s="1126"/>
      <c r="V7" s="231"/>
      <c r="W7" s="231"/>
      <c r="X7" s="231"/>
      <c r="Y7" s="231"/>
      <c r="Z7" s="231"/>
      <c r="AA7" s="231"/>
      <c r="AB7" s="231"/>
      <c r="AC7" s="231"/>
      <c r="AD7" s="231"/>
      <c r="AE7" s="231"/>
      <c r="AF7" s="231"/>
      <c r="AG7" s="117"/>
      <c r="AH7" s="790"/>
      <c r="AI7" s="1126"/>
      <c r="AJ7" s="1126"/>
      <c r="AK7" s="1126"/>
      <c r="AL7" s="1126"/>
      <c r="AM7" s="1126"/>
      <c r="AN7" s="1126"/>
      <c r="AO7" s="1126"/>
      <c r="AP7" s="1126"/>
      <c r="AQ7" s="1126"/>
      <c r="AR7" s="1126"/>
      <c r="AS7" s="1126"/>
      <c r="AT7" s="1126"/>
      <c r="AU7" s="792"/>
      <c r="AV7" s="785"/>
      <c r="AW7" s="785"/>
      <c r="AX7" s="785"/>
      <c r="AY7" s="785"/>
    </row>
    <row r="8" spans="1:51" ht="15" customHeight="1">
      <c r="A8" s="796"/>
      <c r="B8" s="796"/>
      <c r="C8" s="796"/>
      <c r="D8" s="797"/>
      <c r="E8" s="797"/>
      <c r="F8" s="793"/>
      <c r="G8" s="795"/>
      <c r="H8" s="1127" t="s">
        <v>69</v>
      </c>
      <c r="I8" s="1127"/>
      <c r="J8" s="121" t="s">
        <v>425</v>
      </c>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1126"/>
      <c r="AJ8" s="1126"/>
      <c r="AK8" s="1126"/>
      <c r="AL8" s="1126"/>
      <c r="AM8" s="1126"/>
      <c r="AN8" s="1126"/>
      <c r="AO8" s="1126"/>
      <c r="AP8" s="1126"/>
      <c r="AQ8" s="1126"/>
      <c r="AR8" s="1126"/>
      <c r="AS8" s="1126"/>
      <c r="AT8" s="1126"/>
      <c r="AU8" s="792"/>
      <c r="AV8" s="785"/>
      <c r="AW8" s="785"/>
      <c r="AX8" s="785"/>
      <c r="AY8" s="785"/>
    </row>
    <row r="9" spans="1:51" ht="15" customHeight="1">
      <c r="A9" s="765" t="s">
        <v>399</v>
      </c>
      <c r="B9" s="766"/>
      <c r="C9" s="767"/>
      <c r="D9" s="801"/>
      <c r="E9" s="802"/>
      <c r="F9" s="802"/>
      <c r="G9" s="802"/>
      <c r="H9" s="802"/>
      <c r="I9" s="802"/>
      <c r="J9" s="802"/>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1126"/>
      <c r="AJ9" s="1126"/>
      <c r="AK9" s="1126"/>
      <c r="AL9" s="1126"/>
      <c r="AM9" s="1126"/>
      <c r="AN9" s="1126"/>
      <c r="AO9" s="1126"/>
      <c r="AP9" s="1126"/>
      <c r="AQ9" s="1126"/>
      <c r="AR9" s="1126"/>
      <c r="AS9" s="1126"/>
      <c r="AT9" s="1126"/>
      <c r="AU9" s="792"/>
      <c r="AV9" s="785"/>
      <c r="AW9" s="785"/>
      <c r="AX9" s="785"/>
      <c r="AY9" s="785"/>
    </row>
    <row r="10" spans="1:51" ht="15" customHeight="1">
      <c r="A10" s="798" t="s">
        <v>287</v>
      </c>
      <c r="B10" s="799"/>
      <c r="C10" s="800"/>
      <c r="D10" s="805" t="s">
        <v>500</v>
      </c>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39.7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120" t="s">
        <v>169</v>
      </c>
      <c r="B12" s="120" t="s">
        <v>170</v>
      </c>
      <c r="C12" s="120" t="s">
        <v>171</v>
      </c>
      <c r="D12" s="120" t="s">
        <v>178</v>
      </c>
      <c r="E12" s="120" t="s">
        <v>185</v>
      </c>
      <c r="F12" s="120" t="s">
        <v>186</v>
      </c>
      <c r="G12" s="120" t="s">
        <v>277</v>
      </c>
      <c r="H12" s="120" t="s">
        <v>184</v>
      </c>
      <c r="I12" s="778"/>
      <c r="J12" s="778"/>
      <c r="K12" s="778"/>
      <c r="L12" s="778"/>
      <c r="M12" s="778"/>
      <c r="N12" s="778"/>
      <c r="O12" s="120">
        <v>2020</v>
      </c>
      <c r="P12" s="120">
        <v>2021</v>
      </c>
      <c r="Q12" s="120">
        <v>2022</v>
      </c>
      <c r="R12" s="120">
        <v>2023</v>
      </c>
      <c r="S12" s="120">
        <v>2024</v>
      </c>
      <c r="T12" s="778"/>
      <c r="U12" s="778"/>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8"/>
      <c r="AW12" s="778"/>
      <c r="AX12" s="778"/>
      <c r="AY12" s="778"/>
    </row>
    <row r="13" spans="1:51" ht="115.5" customHeight="1">
      <c r="A13" s="121"/>
      <c r="B13" s="121"/>
      <c r="C13" s="121"/>
      <c r="D13" s="121"/>
      <c r="E13" s="121" t="s">
        <v>425</v>
      </c>
      <c r="F13" s="121"/>
      <c r="G13" s="121" t="s">
        <v>519</v>
      </c>
      <c r="H13" s="121"/>
      <c r="I13" s="294" t="s">
        <v>520</v>
      </c>
      <c r="J13" s="294" t="s">
        <v>521</v>
      </c>
      <c r="K13" s="122" t="s">
        <v>430</v>
      </c>
      <c r="L13" s="122">
        <v>140</v>
      </c>
      <c r="M13" s="122" t="s">
        <v>523</v>
      </c>
      <c r="N13" s="122" t="s">
        <v>524</v>
      </c>
      <c r="O13" s="123"/>
      <c r="P13" s="123"/>
      <c r="Q13" s="123"/>
      <c r="R13" s="121">
        <v>50</v>
      </c>
      <c r="S13" s="123"/>
      <c r="T13" s="123" t="s">
        <v>455</v>
      </c>
      <c r="U13" s="122" t="s">
        <v>525</v>
      </c>
      <c r="V13" s="124"/>
      <c r="W13" s="124"/>
      <c r="X13" s="124"/>
      <c r="Y13" s="124"/>
      <c r="Z13" s="124"/>
      <c r="AA13" s="121">
        <v>25</v>
      </c>
      <c r="AB13" s="121"/>
      <c r="AC13" s="121"/>
      <c r="AD13" s="121"/>
      <c r="AE13" s="121"/>
      <c r="AF13" s="121"/>
      <c r="AG13" s="121">
        <v>25</v>
      </c>
      <c r="AH13" s="124"/>
      <c r="AI13" s="124"/>
      <c r="AJ13" s="124"/>
      <c r="AK13" s="124"/>
      <c r="AL13" s="124"/>
      <c r="AM13" s="124">
        <v>44</v>
      </c>
      <c r="AN13" s="124"/>
      <c r="AO13" s="124"/>
      <c r="AP13" s="124"/>
      <c r="AQ13" s="124"/>
      <c r="AR13" s="124"/>
      <c r="AS13" s="124"/>
      <c r="AT13" s="124">
        <f>SUM(AH13:AS13)</f>
        <v>44</v>
      </c>
      <c r="AU13" s="127">
        <f>+AT13/R13</f>
        <v>0.88</v>
      </c>
      <c r="AV13" s="504" t="s">
        <v>887</v>
      </c>
      <c r="AW13" s="474" t="s">
        <v>930</v>
      </c>
      <c r="AX13" s="412" t="s">
        <v>450</v>
      </c>
      <c r="AY13" s="412" t="s">
        <v>450</v>
      </c>
    </row>
    <row r="14" spans="1:51" ht="186.75" customHeight="1">
      <c r="A14" s="121"/>
      <c r="B14" s="121"/>
      <c r="C14" s="121"/>
      <c r="D14" s="121"/>
      <c r="E14" s="121" t="s">
        <v>425</v>
      </c>
      <c r="F14" s="121"/>
      <c r="G14" s="121" t="s">
        <v>519</v>
      </c>
      <c r="H14" s="121"/>
      <c r="I14" s="294" t="s">
        <v>526</v>
      </c>
      <c r="J14" s="294" t="s">
        <v>527</v>
      </c>
      <c r="K14" s="122" t="s">
        <v>430</v>
      </c>
      <c r="L14" s="121">
        <v>30</v>
      </c>
      <c r="M14" s="121" t="s">
        <v>528</v>
      </c>
      <c r="N14" s="122" t="s">
        <v>529</v>
      </c>
      <c r="O14" s="124"/>
      <c r="P14" s="124"/>
      <c r="Q14" s="124"/>
      <c r="R14" s="121">
        <v>20</v>
      </c>
      <c r="S14" s="124"/>
      <c r="T14" s="121" t="s">
        <v>460</v>
      </c>
      <c r="U14" s="122" t="s">
        <v>530</v>
      </c>
      <c r="V14" s="124"/>
      <c r="W14" s="121">
        <v>2</v>
      </c>
      <c r="X14" s="121">
        <v>2</v>
      </c>
      <c r="Y14" s="121">
        <v>2</v>
      </c>
      <c r="Z14" s="121">
        <v>2</v>
      </c>
      <c r="AA14" s="121">
        <v>2</v>
      </c>
      <c r="AB14" s="121">
        <v>2</v>
      </c>
      <c r="AC14" s="121">
        <v>2</v>
      </c>
      <c r="AD14" s="121">
        <v>2</v>
      </c>
      <c r="AE14" s="121">
        <v>2</v>
      </c>
      <c r="AF14" s="121">
        <v>2</v>
      </c>
      <c r="AG14" s="124"/>
      <c r="AH14" s="124"/>
      <c r="AI14" s="459">
        <v>2</v>
      </c>
      <c r="AJ14" s="459">
        <v>2</v>
      </c>
      <c r="AK14" s="459">
        <v>2</v>
      </c>
      <c r="AL14" s="459">
        <v>2</v>
      </c>
      <c r="AM14" s="459">
        <v>2</v>
      </c>
      <c r="AN14" s="459">
        <v>2</v>
      </c>
      <c r="AO14" s="124"/>
      <c r="AP14" s="124"/>
      <c r="AQ14" s="124"/>
      <c r="AR14" s="124"/>
      <c r="AS14" s="124"/>
      <c r="AT14" s="124">
        <f>SUM(AH14:AS14)</f>
        <v>12</v>
      </c>
      <c r="AU14" s="127">
        <f>+AT14/R14</f>
        <v>0.6</v>
      </c>
      <c r="AV14" s="474" t="s">
        <v>926</v>
      </c>
      <c r="AW14" s="474" t="s">
        <v>927</v>
      </c>
      <c r="AX14" s="412" t="s">
        <v>858</v>
      </c>
      <c r="AY14" s="412" t="s">
        <v>888</v>
      </c>
    </row>
    <row r="15" spans="1:51" ht="198" customHeight="1">
      <c r="A15" s="121"/>
      <c r="B15" s="121"/>
      <c r="C15" s="121"/>
      <c r="D15" s="121"/>
      <c r="E15" s="121" t="s">
        <v>425</v>
      </c>
      <c r="F15" s="121"/>
      <c r="G15" s="121" t="s">
        <v>519</v>
      </c>
      <c r="H15" s="121"/>
      <c r="I15" s="294" t="s">
        <v>531</v>
      </c>
      <c r="J15" s="294" t="s">
        <v>532</v>
      </c>
      <c r="K15" s="122" t="s">
        <v>430</v>
      </c>
      <c r="L15" s="121">
        <v>2</v>
      </c>
      <c r="M15" s="124" t="s">
        <v>533</v>
      </c>
      <c r="N15" s="122" t="s">
        <v>465</v>
      </c>
      <c r="O15" s="124"/>
      <c r="P15" s="124"/>
      <c r="Q15" s="124"/>
      <c r="R15" s="121">
        <v>2</v>
      </c>
      <c r="S15" s="124"/>
      <c r="T15" s="122" t="s">
        <v>770</v>
      </c>
      <c r="U15" s="121" t="s">
        <v>465</v>
      </c>
      <c r="V15" s="124"/>
      <c r="W15" s="124"/>
      <c r="X15" s="124"/>
      <c r="Y15" s="124"/>
      <c r="Z15" s="124"/>
      <c r="AA15" s="121">
        <v>1</v>
      </c>
      <c r="AB15" s="121"/>
      <c r="AC15" s="121"/>
      <c r="AD15" s="121"/>
      <c r="AE15" s="121"/>
      <c r="AF15" s="121">
        <v>1</v>
      </c>
      <c r="AG15" s="124"/>
      <c r="AH15" s="124"/>
      <c r="AI15" s="124"/>
      <c r="AJ15" s="124"/>
      <c r="AK15" s="124"/>
      <c r="AL15" s="124"/>
      <c r="AM15" s="124"/>
      <c r="AN15" s="124">
        <v>1</v>
      </c>
      <c r="AO15" s="124"/>
      <c r="AP15" s="124"/>
      <c r="AQ15" s="124"/>
      <c r="AR15" s="124"/>
      <c r="AS15" s="124"/>
      <c r="AT15" s="124">
        <f>SUM(AH15:AS15)</f>
        <v>1</v>
      </c>
      <c r="AU15" s="127">
        <f>+AT15/R15</f>
        <v>0.5</v>
      </c>
      <c r="AV15" s="474" t="s">
        <v>928</v>
      </c>
      <c r="AW15" s="474" t="s">
        <v>929</v>
      </c>
      <c r="AX15" s="412" t="s">
        <v>450</v>
      </c>
      <c r="AY15" s="412" t="s">
        <v>450</v>
      </c>
    </row>
    <row r="16" spans="1:51" ht="54" customHeight="1">
      <c r="A16" s="780" t="s">
        <v>64</v>
      </c>
      <c r="B16" s="780"/>
      <c r="C16" s="780"/>
      <c r="D16" s="776" t="s">
        <v>66</v>
      </c>
      <c r="E16" s="776"/>
      <c r="F16" s="776"/>
      <c r="G16" s="776"/>
      <c r="H16" s="776"/>
      <c r="I16" s="776"/>
      <c r="J16" s="781" t="s">
        <v>300</v>
      </c>
      <c r="K16" s="781"/>
      <c r="L16" s="781"/>
      <c r="M16" s="781"/>
      <c r="N16" s="781"/>
      <c r="O16" s="781"/>
      <c r="P16" s="776" t="s">
        <v>66</v>
      </c>
      <c r="Q16" s="776"/>
      <c r="R16" s="776"/>
      <c r="S16" s="776"/>
      <c r="T16" s="776"/>
      <c r="U16" s="776"/>
      <c r="V16" s="776" t="s">
        <v>66</v>
      </c>
      <c r="W16" s="776"/>
      <c r="X16" s="776"/>
      <c r="Y16" s="776"/>
      <c r="Z16" s="776"/>
      <c r="AA16" s="776"/>
      <c r="AB16" s="776"/>
      <c r="AC16" s="776"/>
      <c r="AD16" s="776" t="s">
        <v>66</v>
      </c>
      <c r="AE16" s="776"/>
      <c r="AF16" s="776"/>
      <c r="AG16" s="776"/>
      <c r="AH16" s="776"/>
      <c r="AI16" s="776"/>
      <c r="AJ16" s="776"/>
      <c r="AK16" s="776"/>
      <c r="AL16" s="776"/>
      <c r="AM16" s="776"/>
      <c r="AN16" s="776"/>
      <c r="AO16" s="776"/>
      <c r="AP16" s="781" t="s">
        <v>318</v>
      </c>
      <c r="AQ16" s="781"/>
      <c r="AR16" s="781"/>
      <c r="AS16" s="781"/>
      <c r="AT16" s="776" t="s">
        <v>13</v>
      </c>
      <c r="AU16" s="776"/>
      <c r="AV16" s="776"/>
      <c r="AW16" s="776"/>
      <c r="AX16" s="776"/>
      <c r="AY16" s="776"/>
    </row>
    <row r="17" spans="1:51" ht="30" customHeight="1">
      <c r="A17" s="780"/>
      <c r="B17" s="780"/>
      <c r="C17" s="780"/>
      <c r="D17" s="776" t="s">
        <v>801</v>
      </c>
      <c r="E17" s="776"/>
      <c r="F17" s="776"/>
      <c r="G17" s="776"/>
      <c r="H17" s="776"/>
      <c r="I17" s="776"/>
      <c r="J17" s="781"/>
      <c r="K17" s="781"/>
      <c r="L17" s="781"/>
      <c r="M17" s="781"/>
      <c r="N17" s="781"/>
      <c r="O17" s="781"/>
      <c r="P17" s="776" t="s">
        <v>801</v>
      </c>
      <c r="Q17" s="776"/>
      <c r="R17" s="776"/>
      <c r="S17" s="776"/>
      <c r="T17" s="776"/>
      <c r="U17" s="776"/>
      <c r="V17" s="776" t="s">
        <v>65</v>
      </c>
      <c r="W17" s="776"/>
      <c r="X17" s="776"/>
      <c r="Y17" s="776"/>
      <c r="Z17" s="776"/>
      <c r="AA17" s="776"/>
      <c r="AB17" s="776"/>
      <c r="AC17" s="776"/>
      <c r="AD17" s="776" t="s">
        <v>65</v>
      </c>
      <c r="AE17" s="776"/>
      <c r="AF17" s="776"/>
      <c r="AG17" s="776"/>
      <c r="AH17" s="776"/>
      <c r="AI17" s="776"/>
      <c r="AJ17" s="776"/>
      <c r="AK17" s="776"/>
      <c r="AL17" s="776"/>
      <c r="AM17" s="776"/>
      <c r="AN17" s="776"/>
      <c r="AO17" s="776"/>
      <c r="AP17" s="781"/>
      <c r="AQ17" s="781"/>
      <c r="AR17" s="781"/>
      <c r="AS17" s="781"/>
      <c r="AT17" s="776" t="s">
        <v>771</v>
      </c>
      <c r="AU17" s="776"/>
      <c r="AV17" s="776"/>
      <c r="AW17" s="776"/>
      <c r="AX17" s="776"/>
      <c r="AY17" s="776"/>
    </row>
    <row r="18" spans="1:51" ht="30" customHeight="1">
      <c r="A18" s="780"/>
      <c r="B18" s="780"/>
      <c r="C18" s="780"/>
      <c r="D18" s="776" t="s">
        <v>802</v>
      </c>
      <c r="E18" s="776"/>
      <c r="F18" s="776"/>
      <c r="G18" s="776"/>
      <c r="H18" s="776"/>
      <c r="I18" s="776"/>
      <c r="J18" s="781"/>
      <c r="K18" s="781"/>
      <c r="L18" s="781"/>
      <c r="M18" s="781"/>
      <c r="N18" s="781"/>
      <c r="O18" s="781"/>
      <c r="P18" s="776" t="s">
        <v>802</v>
      </c>
      <c r="Q18" s="776"/>
      <c r="R18" s="776"/>
      <c r="S18" s="776"/>
      <c r="T18" s="776"/>
      <c r="U18" s="776"/>
      <c r="V18" s="776" t="s">
        <v>297</v>
      </c>
      <c r="W18" s="776"/>
      <c r="X18" s="776"/>
      <c r="Y18" s="776"/>
      <c r="Z18" s="776"/>
      <c r="AA18" s="776"/>
      <c r="AB18" s="776"/>
      <c r="AC18" s="776"/>
      <c r="AD18" s="776" t="s">
        <v>297</v>
      </c>
      <c r="AE18" s="776"/>
      <c r="AF18" s="776"/>
      <c r="AG18" s="776"/>
      <c r="AH18" s="776"/>
      <c r="AI18" s="776"/>
      <c r="AJ18" s="776"/>
      <c r="AK18" s="776"/>
      <c r="AL18" s="776"/>
      <c r="AM18" s="776"/>
      <c r="AN18" s="776"/>
      <c r="AO18" s="776"/>
      <c r="AP18" s="781"/>
      <c r="AQ18" s="781"/>
      <c r="AR18" s="781"/>
      <c r="AS18" s="781"/>
      <c r="AT18" s="776" t="s">
        <v>75</v>
      </c>
      <c r="AU18" s="776"/>
      <c r="AV18" s="776"/>
      <c r="AW18" s="776"/>
      <c r="AX18" s="776"/>
      <c r="AY18" s="77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16:C18"/>
    <mergeCell ref="D16:I16"/>
    <mergeCell ref="J16:O18"/>
    <mergeCell ref="P16:U16"/>
    <mergeCell ref="V16:AC16"/>
    <mergeCell ref="AD16:AO16"/>
    <mergeCell ref="D18:I18"/>
    <mergeCell ref="AP16:AS18"/>
    <mergeCell ref="AT18:AY18"/>
    <mergeCell ref="AT16:AY16"/>
    <mergeCell ref="D17:I17"/>
    <mergeCell ref="P17:U17"/>
    <mergeCell ref="V17:AC17"/>
    <mergeCell ref="AD17:AO17"/>
    <mergeCell ref="AT17:AY17"/>
    <mergeCell ref="P18:U18"/>
    <mergeCell ref="V18:AC18"/>
    <mergeCell ref="AD18:AO18"/>
  </mergeCells>
  <printOptions/>
  <pageMargins left="0.7" right="0.7" top="0.75" bottom="0.75" header="0.3" footer="0.3"/>
  <pageSetup fitToHeight="1" fitToWidth="1" horizontalDpi="600" verticalDpi="600" orientation="landscape" scale="16" r:id="rId3"/>
  <legacyDrawing r:id="rId2"/>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AY23"/>
  <sheetViews>
    <sheetView view="pageBreakPreview" zoomScale="60" zoomScaleNormal="85" zoomScalePageLayoutView="0" workbookViewId="0" topLeftCell="Q1">
      <selection activeCell="AT13" sqref="AT13"/>
    </sheetView>
  </sheetViews>
  <sheetFormatPr defaultColWidth="11.421875" defaultRowHeight="15"/>
  <cols>
    <col min="7" max="8" width="17.421875" style="0" customWidth="1"/>
    <col min="9" max="10" width="28.28125" style="0" customWidth="1"/>
    <col min="14" max="14" width="26.28125" style="0" customWidth="1"/>
    <col min="21" max="21" width="28.00390625" style="0" customWidth="1"/>
    <col min="22" max="47" width="8.8515625" style="0" customWidth="1"/>
    <col min="48" max="49" width="43.28125" style="0" customWidth="1"/>
    <col min="50" max="51" width="27.00390625" style="0" customWidth="1"/>
  </cols>
  <sheetData>
    <row r="1" spans="1:51" ht="15">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1025" t="s">
        <v>423</v>
      </c>
      <c r="AY1" s="1026"/>
    </row>
    <row r="2" spans="1:51" ht="15">
      <c r="A2" s="1109" t="s">
        <v>17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1"/>
      <c r="AX2" s="1028" t="s">
        <v>418</v>
      </c>
      <c r="AY2" s="1029"/>
    </row>
    <row r="3" spans="1:51" ht="15">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1028" t="s">
        <v>424</v>
      </c>
      <c r="AY3" s="1029"/>
    </row>
    <row r="4" spans="1:51" ht="15">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789</v>
      </c>
      <c r="AY4" s="758"/>
    </row>
    <row r="5" spans="1:51" ht="15">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 r="A6" s="796" t="s">
        <v>71</v>
      </c>
      <c r="B6" s="796"/>
      <c r="C6" s="796"/>
      <c r="D6" s="1085">
        <v>45146</v>
      </c>
      <c r="E6" s="797"/>
      <c r="F6" s="787" t="s">
        <v>67</v>
      </c>
      <c r="G6" s="789"/>
      <c r="H6" s="1127" t="s">
        <v>70</v>
      </c>
      <c r="I6" s="1127"/>
      <c r="J6" s="121"/>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1126"/>
      <c r="AJ6" s="1126"/>
      <c r="AK6" s="1126"/>
      <c r="AL6" s="1126"/>
      <c r="AM6" s="1126"/>
      <c r="AN6" s="1126"/>
      <c r="AO6" s="1126"/>
      <c r="AP6" s="1126"/>
      <c r="AQ6" s="1126"/>
      <c r="AR6" s="1126"/>
      <c r="AS6" s="1126"/>
      <c r="AT6" s="1126"/>
      <c r="AU6" s="792"/>
      <c r="AV6" s="785"/>
      <c r="AW6" s="785"/>
      <c r="AX6" s="785"/>
      <c r="AY6" s="785"/>
    </row>
    <row r="7" spans="1:51" ht="15">
      <c r="A7" s="796"/>
      <c r="B7" s="796"/>
      <c r="C7" s="796"/>
      <c r="D7" s="797"/>
      <c r="E7" s="797"/>
      <c r="F7" s="790"/>
      <c r="G7" s="792"/>
      <c r="H7" s="1127" t="s">
        <v>68</v>
      </c>
      <c r="I7" s="1127"/>
      <c r="J7" s="121"/>
      <c r="K7" s="790"/>
      <c r="L7" s="1126"/>
      <c r="M7" s="1126"/>
      <c r="N7" s="1126"/>
      <c r="O7" s="1126"/>
      <c r="P7" s="1126"/>
      <c r="Q7" s="1126"/>
      <c r="R7" s="1126"/>
      <c r="S7" s="1126"/>
      <c r="T7" s="1126"/>
      <c r="U7" s="1126"/>
      <c r="V7" s="231"/>
      <c r="W7" s="231"/>
      <c r="X7" s="231"/>
      <c r="Y7" s="231"/>
      <c r="Z7" s="231"/>
      <c r="AA7" s="231"/>
      <c r="AB7" s="231"/>
      <c r="AC7" s="231"/>
      <c r="AD7" s="231"/>
      <c r="AE7" s="231"/>
      <c r="AF7" s="231"/>
      <c r="AG7" s="117"/>
      <c r="AH7" s="790"/>
      <c r="AI7" s="1126"/>
      <c r="AJ7" s="1126"/>
      <c r="AK7" s="1126"/>
      <c r="AL7" s="1126"/>
      <c r="AM7" s="1126"/>
      <c r="AN7" s="1126"/>
      <c r="AO7" s="1126"/>
      <c r="AP7" s="1126"/>
      <c r="AQ7" s="1126"/>
      <c r="AR7" s="1126"/>
      <c r="AS7" s="1126"/>
      <c r="AT7" s="1126"/>
      <c r="AU7" s="792"/>
      <c r="AV7" s="785"/>
      <c r="AW7" s="785"/>
      <c r="AX7" s="785"/>
      <c r="AY7" s="785"/>
    </row>
    <row r="8" spans="1:51" ht="15">
      <c r="A8" s="796"/>
      <c r="B8" s="796"/>
      <c r="C8" s="796"/>
      <c r="D8" s="797"/>
      <c r="E8" s="797"/>
      <c r="F8" s="793"/>
      <c r="G8" s="795"/>
      <c r="H8" s="1127" t="s">
        <v>69</v>
      </c>
      <c r="I8" s="1127"/>
      <c r="J8" s="121" t="s">
        <v>425</v>
      </c>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1126"/>
      <c r="AJ8" s="1126"/>
      <c r="AK8" s="1126"/>
      <c r="AL8" s="1126"/>
      <c r="AM8" s="1126"/>
      <c r="AN8" s="1126"/>
      <c r="AO8" s="1126"/>
      <c r="AP8" s="1126"/>
      <c r="AQ8" s="1126"/>
      <c r="AR8" s="1126"/>
      <c r="AS8" s="1126"/>
      <c r="AT8" s="1126"/>
      <c r="AU8" s="792"/>
      <c r="AV8" s="785"/>
      <c r="AW8" s="785"/>
      <c r="AX8" s="785"/>
      <c r="AY8" s="785"/>
    </row>
    <row r="9" spans="1:51" ht="15">
      <c r="A9" s="765" t="s">
        <v>399</v>
      </c>
      <c r="B9" s="766"/>
      <c r="C9" s="767"/>
      <c r="D9" s="801"/>
      <c r="E9" s="802"/>
      <c r="F9" s="802"/>
      <c r="G9" s="802"/>
      <c r="H9" s="802"/>
      <c r="I9" s="802"/>
      <c r="J9" s="802"/>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1126"/>
      <c r="AJ9" s="1126"/>
      <c r="AK9" s="1126"/>
      <c r="AL9" s="1126"/>
      <c r="AM9" s="1126"/>
      <c r="AN9" s="1126"/>
      <c r="AO9" s="1126"/>
      <c r="AP9" s="1126"/>
      <c r="AQ9" s="1126"/>
      <c r="AR9" s="1126"/>
      <c r="AS9" s="1126"/>
      <c r="AT9" s="1126"/>
      <c r="AU9" s="792"/>
      <c r="AV9" s="785"/>
      <c r="AW9" s="785"/>
      <c r="AX9" s="785"/>
      <c r="AY9" s="785"/>
    </row>
    <row r="10" spans="1:51" ht="15">
      <c r="A10" s="798" t="s">
        <v>287</v>
      </c>
      <c r="B10" s="799"/>
      <c r="C10" s="800"/>
      <c r="D10" s="805" t="s">
        <v>500</v>
      </c>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15">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57">
      <c r="A12" s="120" t="s">
        <v>169</v>
      </c>
      <c r="B12" s="120" t="s">
        <v>170</v>
      </c>
      <c r="C12" s="120" t="s">
        <v>171</v>
      </c>
      <c r="D12" s="120" t="s">
        <v>178</v>
      </c>
      <c r="E12" s="120" t="s">
        <v>185</v>
      </c>
      <c r="F12" s="120" t="s">
        <v>186</v>
      </c>
      <c r="G12" s="120" t="s">
        <v>277</v>
      </c>
      <c r="H12" s="120" t="s">
        <v>184</v>
      </c>
      <c r="I12" s="778"/>
      <c r="J12" s="778"/>
      <c r="K12" s="778"/>
      <c r="L12" s="778"/>
      <c r="M12" s="778"/>
      <c r="N12" s="778"/>
      <c r="O12" s="120">
        <v>2020</v>
      </c>
      <c r="P12" s="120">
        <v>2021</v>
      </c>
      <c r="Q12" s="120">
        <v>2022</v>
      </c>
      <c r="R12" s="120">
        <v>2023</v>
      </c>
      <c r="S12" s="120">
        <v>2024</v>
      </c>
      <c r="T12" s="778"/>
      <c r="U12" s="778"/>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8"/>
      <c r="AW12" s="778"/>
      <c r="AX12" s="778"/>
      <c r="AY12" s="778"/>
    </row>
    <row r="13" spans="1:51" ht="126.75" customHeight="1">
      <c r="A13" s="121"/>
      <c r="B13" s="121"/>
      <c r="C13" s="121"/>
      <c r="D13" s="121"/>
      <c r="E13" s="121" t="s">
        <v>425</v>
      </c>
      <c r="F13" s="121"/>
      <c r="G13" s="122" t="s">
        <v>553</v>
      </c>
      <c r="H13" s="122"/>
      <c r="I13" s="152" t="s">
        <v>554</v>
      </c>
      <c r="J13" s="152" t="s">
        <v>555</v>
      </c>
      <c r="K13" s="122" t="s">
        <v>430</v>
      </c>
      <c r="L13" s="122"/>
      <c r="M13" s="122" t="s">
        <v>431</v>
      </c>
      <c r="N13" s="152" t="s">
        <v>556</v>
      </c>
      <c r="O13" s="123"/>
      <c r="P13" s="123"/>
      <c r="Q13" s="123"/>
      <c r="R13" s="293">
        <v>1</v>
      </c>
      <c r="S13" s="123"/>
      <c r="T13" s="123" t="s">
        <v>433</v>
      </c>
      <c r="U13" s="306" t="s">
        <v>557</v>
      </c>
      <c r="V13" s="124"/>
      <c r="W13" s="124"/>
      <c r="X13" s="307">
        <v>0.65</v>
      </c>
      <c r="Y13" s="124"/>
      <c r="Z13" s="124"/>
      <c r="AA13" s="307">
        <v>0.09</v>
      </c>
      <c r="AB13" s="124"/>
      <c r="AC13" s="124"/>
      <c r="AD13" s="236">
        <v>0.11</v>
      </c>
      <c r="AE13" s="124"/>
      <c r="AF13" s="124"/>
      <c r="AG13" s="236">
        <v>0.15</v>
      </c>
      <c r="AH13" s="124"/>
      <c r="AI13" s="124"/>
      <c r="AJ13" s="458">
        <v>0.65</v>
      </c>
      <c r="AK13" s="124"/>
      <c r="AL13" s="124"/>
      <c r="AM13" s="471">
        <v>0.09</v>
      </c>
      <c r="AN13" s="472"/>
      <c r="AO13" s="472"/>
      <c r="AP13" s="454"/>
      <c r="AQ13" s="472"/>
      <c r="AR13" s="472"/>
      <c r="AS13" s="454"/>
      <c r="AT13" s="470">
        <f>SUM(AH13:AS13)</f>
        <v>0.74</v>
      </c>
      <c r="AU13" s="470">
        <f>+AT13/R13</f>
        <v>0.74</v>
      </c>
      <c r="AV13" s="496" t="s">
        <v>856</v>
      </c>
      <c r="AW13" s="496" t="s">
        <v>931</v>
      </c>
      <c r="AX13" s="412" t="s">
        <v>450</v>
      </c>
      <c r="AY13" s="412" t="s">
        <v>450</v>
      </c>
    </row>
    <row r="14" spans="1:51" ht="126.75" customHeight="1">
      <c r="A14" s="121"/>
      <c r="B14" s="121"/>
      <c r="C14" s="121"/>
      <c r="D14" s="121"/>
      <c r="E14" s="121" t="s">
        <v>425</v>
      </c>
      <c r="F14" s="121"/>
      <c r="G14" s="122" t="s">
        <v>553</v>
      </c>
      <c r="H14" s="122"/>
      <c r="I14" s="152" t="s">
        <v>554</v>
      </c>
      <c r="J14" s="308" t="s">
        <v>558</v>
      </c>
      <c r="K14" s="122" t="s">
        <v>430</v>
      </c>
      <c r="L14" s="124"/>
      <c r="M14" s="122" t="s">
        <v>431</v>
      </c>
      <c r="N14" s="309" t="s">
        <v>559</v>
      </c>
      <c r="O14" s="124"/>
      <c r="P14" s="124"/>
      <c r="Q14" s="124"/>
      <c r="R14" s="293">
        <v>1</v>
      </c>
      <c r="S14" s="124"/>
      <c r="T14" s="123" t="s">
        <v>433</v>
      </c>
      <c r="U14" s="310" t="s">
        <v>560</v>
      </c>
      <c r="V14" s="124"/>
      <c r="W14" s="124"/>
      <c r="X14" s="307">
        <v>0.65</v>
      </c>
      <c r="Y14" s="124"/>
      <c r="Z14" s="124"/>
      <c r="AA14" s="307">
        <v>0.09</v>
      </c>
      <c r="AB14" s="124"/>
      <c r="AC14" s="124"/>
      <c r="AD14" s="236">
        <v>0.11</v>
      </c>
      <c r="AE14" s="124"/>
      <c r="AF14" s="124"/>
      <c r="AG14" s="236">
        <v>0.15</v>
      </c>
      <c r="AH14" s="124"/>
      <c r="AI14" s="124"/>
      <c r="AJ14" s="458">
        <v>0.65</v>
      </c>
      <c r="AK14" s="124"/>
      <c r="AL14" s="124"/>
      <c r="AM14" s="471">
        <v>0.09</v>
      </c>
      <c r="AN14" s="472"/>
      <c r="AO14" s="472"/>
      <c r="AP14" s="454"/>
      <c r="AQ14" s="472"/>
      <c r="AR14" s="472"/>
      <c r="AS14" s="454"/>
      <c r="AT14" s="470">
        <f aca="true" t="shared" si="0" ref="AT14:AT20">SUM(AH14:AS14)</f>
        <v>0.74</v>
      </c>
      <c r="AU14" s="470">
        <f aca="true" t="shared" si="1" ref="AU14:AU20">+AT14/R14</f>
        <v>0.74</v>
      </c>
      <c r="AV14" s="496" t="s">
        <v>932</v>
      </c>
      <c r="AW14" s="496" t="s">
        <v>931</v>
      </c>
      <c r="AX14" s="412" t="s">
        <v>450</v>
      </c>
      <c r="AY14" s="412" t="s">
        <v>450</v>
      </c>
    </row>
    <row r="15" spans="1:51" ht="126.75" customHeight="1">
      <c r="A15" s="121"/>
      <c r="B15" s="121"/>
      <c r="C15" s="121"/>
      <c r="D15" s="121"/>
      <c r="E15" s="121" t="s">
        <v>425</v>
      </c>
      <c r="F15" s="121"/>
      <c r="G15" s="122" t="s">
        <v>553</v>
      </c>
      <c r="H15" s="122"/>
      <c r="I15" s="152" t="s">
        <v>554</v>
      </c>
      <c r="J15" s="308" t="s">
        <v>561</v>
      </c>
      <c r="K15" s="122" t="s">
        <v>430</v>
      </c>
      <c r="L15" s="124"/>
      <c r="M15" s="122" t="s">
        <v>431</v>
      </c>
      <c r="N15" s="309" t="s">
        <v>562</v>
      </c>
      <c r="O15" s="124"/>
      <c r="P15" s="124"/>
      <c r="Q15" s="124"/>
      <c r="R15" s="293">
        <v>1</v>
      </c>
      <c r="S15" s="124"/>
      <c r="T15" s="123" t="s">
        <v>433</v>
      </c>
      <c r="U15" s="152" t="s">
        <v>563</v>
      </c>
      <c r="V15" s="124"/>
      <c r="W15" s="124"/>
      <c r="X15" s="307">
        <v>0.65</v>
      </c>
      <c r="Y15" s="124"/>
      <c r="Z15" s="124"/>
      <c r="AA15" s="307">
        <v>0.09</v>
      </c>
      <c r="AB15" s="124"/>
      <c r="AC15" s="124"/>
      <c r="AD15" s="236">
        <v>0.11</v>
      </c>
      <c r="AE15" s="124"/>
      <c r="AF15" s="124"/>
      <c r="AG15" s="236">
        <v>0.15</v>
      </c>
      <c r="AH15" s="124"/>
      <c r="AI15" s="124"/>
      <c r="AJ15" s="458">
        <v>0.63</v>
      </c>
      <c r="AK15" s="124"/>
      <c r="AL15" s="124"/>
      <c r="AM15" s="471">
        <v>0.09</v>
      </c>
      <c r="AN15" s="472"/>
      <c r="AO15" s="472"/>
      <c r="AP15" s="454"/>
      <c r="AQ15" s="472"/>
      <c r="AR15" s="472"/>
      <c r="AS15" s="454"/>
      <c r="AT15" s="470">
        <f t="shared" si="0"/>
        <v>0.72</v>
      </c>
      <c r="AU15" s="470">
        <f t="shared" si="1"/>
        <v>0.72</v>
      </c>
      <c r="AV15" s="496" t="s">
        <v>856</v>
      </c>
      <c r="AW15" s="496" t="s">
        <v>933</v>
      </c>
      <c r="AX15" s="412" t="s">
        <v>450</v>
      </c>
      <c r="AY15" s="412" t="s">
        <v>450</v>
      </c>
    </row>
    <row r="16" spans="1:51" ht="126.75" customHeight="1">
      <c r="A16" s="121"/>
      <c r="B16" s="121"/>
      <c r="C16" s="121"/>
      <c r="D16" s="121"/>
      <c r="E16" s="121" t="s">
        <v>425</v>
      </c>
      <c r="F16" s="121"/>
      <c r="G16" s="122" t="s">
        <v>553</v>
      </c>
      <c r="H16" s="122" t="s">
        <v>307</v>
      </c>
      <c r="I16" s="152" t="s">
        <v>554</v>
      </c>
      <c r="J16" s="308" t="s">
        <v>564</v>
      </c>
      <c r="K16" s="122" t="s">
        <v>430</v>
      </c>
      <c r="L16" s="124"/>
      <c r="M16" s="122" t="s">
        <v>431</v>
      </c>
      <c r="N16" s="309" t="s">
        <v>565</v>
      </c>
      <c r="O16" s="124"/>
      <c r="P16" s="124"/>
      <c r="Q16" s="124"/>
      <c r="R16" s="293">
        <v>1</v>
      </c>
      <c r="S16" s="124"/>
      <c r="T16" s="123" t="s">
        <v>433</v>
      </c>
      <c r="U16" s="310" t="s">
        <v>566</v>
      </c>
      <c r="V16" s="124"/>
      <c r="W16" s="124"/>
      <c r="X16" s="236">
        <v>0.25</v>
      </c>
      <c r="Y16" s="124"/>
      <c r="Z16" s="124"/>
      <c r="AA16" s="236">
        <v>0.25</v>
      </c>
      <c r="AB16" s="124"/>
      <c r="AC16" s="124"/>
      <c r="AD16" s="236">
        <v>0.25</v>
      </c>
      <c r="AE16" s="124"/>
      <c r="AF16" s="124"/>
      <c r="AG16" s="236">
        <v>0.25</v>
      </c>
      <c r="AH16" s="124"/>
      <c r="AI16" s="124"/>
      <c r="AJ16" s="458">
        <v>0.25</v>
      </c>
      <c r="AK16" s="124"/>
      <c r="AL16" s="124"/>
      <c r="AM16" s="454">
        <v>0.25</v>
      </c>
      <c r="AN16" s="472"/>
      <c r="AO16" s="472"/>
      <c r="AP16" s="454"/>
      <c r="AQ16" s="472"/>
      <c r="AR16" s="472"/>
      <c r="AS16" s="454"/>
      <c r="AT16" s="470">
        <f t="shared" si="0"/>
        <v>0.5</v>
      </c>
      <c r="AU16" s="470">
        <f t="shared" si="1"/>
        <v>0.5</v>
      </c>
      <c r="AV16" s="496" t="s">
        <v>932</v>
      </c>
      <c r="AW16" s="496" t="s">
        <v>934</v>
      </c>
      <c r="AX16" s="412" t="s">
        <v>450</v>
      </c>
      <c r="AY16" s="412" t="s">
        <v>450</v>
      </c>
    </row>
    <row r="17" spans="1:51" ht="126.75" customHeight="1">
      <c r="A17" s="121"/>
      <c r="B17" s="121"/>
      <c r="C17" s="121"/>
      <c r="D17" s="121"/>
      <c r="E17" s="121" t="s">
        <v>425</v>
      </c>
      <c r="F17" s="121"/>
      <c r="G17" s="122" t="s">
        <v>553</v>
      </c>
      <c r="H17" s="122"/>
      <c r="I17" s="152" t="s">
        <v>554</v>
      </c>
      <c r="J17" s="308" t="s">
        <v>567</v>
      </c>
      <c r="K17" s="122" t="s">
        <v>430</v>
      </c>
      <c r="L17" s="124"/>
      <c r="M17" s="122" t="s">
        <v>431</v>
      </c>
      <c r="N17" s="308" t="s">
        <v>568</v>
      </c>
      <c r="O17" s="124"/>
      <c r="P17" s="124"/>
      <c r="Q17" s="124"/>
      <c r="R17" s="293">
        <v>1</v>
      </c>
      <c r="S17" s="124"/>
      <c r="T17" s="123" t="s">
        <v>433</v>
      </c>
      <c r="U17" s="310" t="s">
        <v>569</v>
      </c>
      <c r="V17" s="124"/>
      <c r="W17" s="124"/>
      <c r="X17" s="236">
        <v>0.25</v>
      </c>
      <c r="Y17" s="124"/>
      <c r="Z17" s="124"/>
      <c r="AA17" s="236">
        <v>0.25</v>
      </c>
      <c r="AB17" s="124"/>
      <c r="AC17" s="124"/>
      <c r="AD17" s="236">
        <v>0.25</v>
      </c>
      <c r="AE17" s="124"/>
      <c r="AF17" s="124"/>
      <c r="AG17" s="236">
        <v>0.25</v>
      </c>
      <c r="AH17" s="124"/>
      <c r="AI17" s="124"/>
      <c r="AJ17" s="458">
        <v>0.25</v>
      </c>
      <c r="AK17" s="124"/>
      <c r="AL17" s="124"/>
      <c r="AM17" s="454">
        <v>0.25</v>
      </c>
      <c r="AN17" s="472"/>
      <c r="AO17" s="472"/>
      <c r="AP17" s="454"/>
      <c r="AQ17" s="472"/>
      <c r="AR17" s="472"/>
      <c r="AS17" s="454"/>
      <c r="AT17" s="470">
        <f t="shared" si="0"/>
        <v>0.5</v>
      </c>
      <c r="AU17" s="470">
        <f t="shared" si="1"/>
        <v>0.5</v>
      </c>
      <c r="AV17" s="496" t="s">
        <v>932</v>
      </c>
      <c r="AW17" s="496" t="s">
        <v>935</v>
      </c>
      <c r="AX17" s="412" t="s">
        <v>450</v>
      </c>
      <c r="AY17" s="412" t="s">
        <v>450</v>
      </c>
    </row>
    <row r="18" spans="1:51" ht="126.75" customHeight="1">
      <c r="A18" s="121"/>
      <c r="B18" s="121"/>
      <c r="C18" s="121"/>
      <c r="D18" s="121"/>
      <c r="E18" s="121" t="s">
        <v>425</v>
      </c>
      <c r="F18" s="121"/>
      <c r="G18" s="122" t="s">
        <v>553</v>
      </c>
      <c r="H18" s="122"/>
      <c r="I18" s="152" t="s">
        <v>554</v>
      </c>
      <c r="J18" s="308" t="s">
        <v>570</v>
      </c>
      <c r="K18" s="122" t="s">
        <v>430</v>
      </c>
      <c r="L18" s="124"/>
      <c r="M18" s="122" t="s">
        <v>431</v>
      </c>
      <c r="N18" s="308" t="s">
        <v>571</v>
      </c>
      <c r="O18" s="124"/>
      <c r="P18" s="124"/>
      <c r="Q18" s="124"/>
      <c r="R18" s="293">
        <v>1</v>
      </c>
      <c r="S18" s="124"/>
      <c r="T18" s="123" t="s">
        <v>433</v>
      </c>
      <c r="U18" s="152" t="s">
        <v>572</v>
      </c>
      <c r="V18" s="124"/>
      <c r="W18" s="124"/>
      <c r="X18" s="236">
        <v>0.25</v>
      </c>
      <c r="Y18" s="124"/>
      <c r="Z18" s="124"/>
      <c r="AA18" s="236">
        <v>0.25</v>
      </c>
      <c r="AB18" s="124"/>
      <c r="AC18" s="124"/>
      <c r="AD18" s="236">
        <v>0.25</v>
      </c>
      <c r="AE18" s="124"/>
      <c r="AF18" s="124"/>
      <c r="AG18" s="236">
        <v>0.25</v>
      </c>
      <c r="AH18" s="124"/>
      <c r="AI18" s="124"/>
      <c r="AJ18" s="458">
        <v>0.25</v>
      </c>
      <c r="AK18" s="124"/>
      <c r="AL18" s="124"/>
      <c r="AM18" s="454">
        <v>0.25</v>
      </c>
      <c r="AN18" s="472"/>
      <c r="AO18" s="472"/>
      <c r="AP18" s="454"/>
      <c r="AQ18" s="472"/>
      <c r="AR18" s="472"/>
      <c r="AS18" s="454"/>
      <c r="AT18" s="470">
        <f t="shared" si="0"/>
        <v>0.5</v>
      </c>
      <c r="AU18" s="470">
        <f t="shared" si="1"/>
        <v>0.5</v>
      </c>
      <c r="AV18" s="496" t="s">
        <v>932</v>
      </c>
      <c r="AW18" s="496" t="s">
        <v>936</v>
      </c>
      <c r="AX18" s="412" t="s">
        <v>450</v>
      </c>
      <c r="AY18" s="412" t="s">
        <v>450</v>
      </c>
    </row>
    <row r="19" spans="1:51" ht="126.75" customHeight="1">
      <c r="A19" s="121"/>
      <c r="B19" s="121"/>
      <c r="C19" s="121"/>
      <c r="D19" s="121"/>
      <c r="E19" s="121" t="s">
        <v>425</v>
      </c>
      <c r="F19" s="121"/>
      <c r="G19" s="122" t="s">
        <v>553</v>
      </c>
      <c r="H19" s="122"/>
      <c r="I19" s="152" t="s">
        <v>554</v>
      </c>
      <c r="J19" s="308" t="s">
        <v>573</v>
      </c>
      <c r="K19" s="122" t="s">
        <v>430</v>
      </c>
      <c r="L19" s="124"/>
      <c r="M19" s="122" t="s">
        <v>431</v>
      </c>
      <c r="N19" s="309" t="s">
        <v>574</v>
      </c>
      <c r="O19" s="124"/>
      <c r="P19" s="124"/>
      <c r="Q19" s="124"/>
      <c r="R19" s="293">
        <v>1</v>
      </c>
      <c r="S19" s="124"/>
      <c r="T19" s="123" t="s">
        <v>433</v>
      </c>
      <c r="U19" s="310" t="s">
        <v>575</v>
      </c>
      <c r="V19" s="124"/>
      <c r="W19" s="124"/>
      <c r="X19" s="236">
        <v>0.14</v>
      </c>
      <c r="Y19" s="124"/>
      <c r="Z19" s="124"/>
      <c r="AA19" s="236">
        <v>0.21</v>
      </c>
      <c r="AB19" s="124"/>
      <c r="AC19" s="124"/>
      <c r="AD19" s="236">
        <v>0.23</v>
      </c>
      <c r="AE19" s="124"/>
      <c r="AF19" s="124"/>
      <c r="AG19" s="236">
        <v>0.42</v>
      </c>
      <c r="AH19" s="124"/>
      <c r="AI19" s="124"/>
      <c r="AJ19" s="458">
        <v>0.14</v>
      </c>
      <c r="AK19" s="124"/>
      <c r="AL19" s="124"/>
      <c r="AM19" s="454">
        <v>0.21</v>
      </c>
      <c r="AN19" s="472"/>
      <c r="AO19" s="472"/>
      <c r="AP19" s="454"/>
      <c r="AQ19" s="472"/>
      <c r="AR19" s="472"/>
      <c r="AS19" s="454"/>
      <c r="AT19" s="470">
        <f t="shared" si="0"/>
        <v>0.35</v>
      </c>
      <c r="AU19" s="470">
        <f t="shared" si="1"/>
        <v>0.35</v>
      </c>
      <c r="AV19" s="496" t="s">
        <v>856</v>
      </c>
      <c r="AW19" s="496" t="s">
        <v>937</v>
      </c>
      <c r="AX19" s="412" t="s">
        <v>450</v>
      </c>
      <c r="AY19" s="412" t="s">
        <v>450</v>
      </c>
    </row>
    <row r="20" spans="1:51" ht="126.75" customHeight="1">
      <c r="A20" s="121"/>
      <c r="B20" s="121"/>
      <c r="C20" s="121"/>
      <c r="D20" s="121"/>
      <c r="E20" s="121" t="s">
        <v>425</v>
      </c>
      <c r="F20" s="121"/>
      <c r="G20" s="122" t="s">
        <v>553</v>
      </c>
      <c r="H20" s="122"/>
      <c r="I20" s="152" t="s">
        <v>554</v>
      </c>
      <c r="J20" s="308" t="s">
        <v>576</v>
      </c>
      <c r="K20" s="122" t="s">
        <v>430</v>
      </c>
      <c r="L20" s="124"/>
      <c r="M20" s="122" t="s">
        <v>431</v>
      </c>
      <c r="N20" s="308" t="s">
        <v>577</v>
      </c>
      <c r="O20" s="124"/>
      <c r="P20" s="124"/>
      <c r="Q20" s="124"/>
      <c r="R20" s="293">
        <v>1</v>
      </c>
      <c r="S20" s="124"/>
      <c r="T20" s="123" t="s">
        <v>433</v>
      </c>
      <c r="U20" s="152" t="s">
        <v>578</v>
      </c>
      <c r="V20" s="124"/>
      <c r="W20" s="124"/>
      <c r="X20" s="236">
        <v>0.14</v>
      </c>
      <c r="Y20" s="124"/>
      <c r="Z20" s="124"/>
      <c r="AA20" s="236">
        <v>0.21</v>
      </c>
      <c r="AB20" s="124"/>
      <c r="AC20" s="124"/>
      <c r="AD20" s="236">
        <v>0.23</v>
      </c>
      <c r="AE20" s="124"/>
      <c r="AF20" s="124"/>
      <c r="AG20" s="236">
        <v>0.42</v>
      </c>
      <c r="AH20" s="124"/>
      <c r="AI20" s="124"/>
      <c r="AJ20" s="458">
        <v>0.14</v>
      </c>
      <c r="AK20" s="124"/>
      <c r="AL20" s="124"/>
      <c r="AM20" s="454">
        <v>0.21</v>
      </c>
      <c r="AN20" s="472"/>
      <c r="AO20" s="472"/>
      <c r="AP20" s="454"/>
      <c r="AQ20" s="472"/>
      <c r="AR20" s="472"/>
      <c r="AS20" s="454"/>
      <c r="AT20" s="470">
        <f t="shared" si="0"/>
        <v>0.35</v>
      </c>
      <c r="AU20" s="470">
        <f t="shared" si="1"/>
        <v>0.35</v>
      </c>
      <c r="AV20" s="496" t="s">
        <v>856</v>
      </c>
      <c r="AW20" s="496" t="s">
        <v>938</v>
      </c>
      <c r="AX20" s="412" t="s">
        <v>450</v>
      </c>
      <c r="AY20" s="412" t="s">
        <v>450</v>
      </c>
    </row>
    <row r="21" spans="1:51" s="113" customFormat="1" ht="54" customHeight="1">
      <c r="A21" s="780" t="s">
        <v>64</v>
      </c>
      <c r="B21" s="780"/>
      <c r="C21" s="780"/>
      <c r="D21" s="776" t="s">
        <v>66</v>
      </c>
      <c r="E21" s="776"/>
      <c r="F21" s="776"/>
      <c r="G21" s="776"/>
      <c r="H21" s="776"/>
      <c r="I21" s="776"/>
      <c r="J21" s="781" t="s">
        <v>300</v>
      </c>
      <c r="K21" s="781"/>
      <c r="L21" s="781"/>
      <c r="M21" s="781"/>
      <c r="N21" s="781"/>
      <c r="O21" s="781"/>
      <c r="P21" s="776" t="s">
        <v>66</v>
      </c>
      <c r="Q21" s="776"/>
      <c r="R21" s="776"/>
      <c r="S21" s="776"/>
      <c r="T21" s="776"/>
      <c r="U21" s="776"/>
      <c r="V21" s="776" t="s">
        <v>66</v>
      </c>
      <c r="W21" s="776"/>
      <c r="X21" s="776"/>
      <c r="Y21" s="776"/>
      <c r="Z21" s="776"/>
      <c r="AA21" s="776"/>
      <c r="AB21" s="776"/>
      <c r="AC21" s="776"/>
      <c r="AD21" s="776" t="s">
        <v>66</v>
      </c>
      <c r="AE21" s="776"/>
      <c r="AF21" s="776"/>
      <c r="AG21" s="776"/>
      <c r="AH21" s="776"/>
      <c r="AI21" s="776"/>
      <c r="AJ21" s="776"/>
      <c r="AK21" s="776"/>
      <c r="AL21" s="776"/>
      <c r="AM21" s="776"/>
      <c r="AN21" s="776"/>
      <c r="AO21" s="776"/>
      <c r="AP21" s="781" t="s">
        <v>318</v>
      </c>
      <c r="AQ21" s="781"/>
      <c r="AR21" s="781"/>
      <c r="AS21" s="781"/>
      <c r="AT21" s="776" t="s">
        <v>13</v>
      </c>
      <c r="AU21" s="776"/>
      <c r="AV21" s="776"/>
      <c r="AW21" s="776"/>
      <c r="AX21" s="776"/>
      <c r="AY21" s="776"/>
    </row>
    <row r="22" spans="1:51" s="113" customFormat="1" ht="30" customHeight="1">
      <c r="A22" s="780"/>
      <c r="B22" s="780"/>
      <c r="C22" s="780"/>
      <c r="D22" s="776" t="s">
        <v>809</v>
      </c>
      <c r="E22" s="776"/>
      <c r="F22" s="776"/>
      <c r="G22" s="776"/>
      <c r="H22" s="776"/>
      <c r="I22" s="776"/>
      <c r="J22" s="781"/>
      <c r="K22" s="781"/>
      <c r="L22" s="781"/>
      <c r="M22" s="781"/>
      <c r="N22" s="781"/>
      <c r="O22" s="781"/>
      <c r="P22" s="776" t="s">
        <v>810</v>
      </c>
      <c r="Q22" s="776"/>
      <c r="R22" s="776"/>
      <c r="S22" s="776"/>
      <c r="T22" s="776"/>
      <c r="U22" s="776"/>
      <c r="V22" s="776" t="s">
        <v>65</v>
      </c>
      <c r="W22" s="776"/>
      <c r="X22" s="776"/>
      <c r="Y22" s="776"/>
      <c r="Z22" s="776"/>
      <c r="AA22" s="776"/>
      <c r="AB22" s="776"/>
      <c r="AC22" s="776"/>
      <c r="AD22" s="776" t="s">
        <v>65</v>
      </c>
      <c r="AE22" s="776"/>
      <c r="AF22" s="776"/>
      <c r="AG22" s="776"/>
      <c r="AH22" s="776"/>
      <c r="AI22" s="776"/>
      <c r="AJ22" s="776"/>
      <c r="AK22" s="776"/>
      <c r="AL22" s="776"/>
      <c r="AM22" s="776"/>
      <c r="AN22" s="776"/>
      <c r="AO22" s="776"/>
      <c r="AP22" s="781"/>
      <c r="AQ22" s="781"/>
      <c r="AR22" s="781"/>
      <c r="AS22" s="781"/>
      <c r="AT22" s="776" t="s">
        <v>771</v>
      </c>
      <c r="AU22" s="776"/>
      <c r="AV22" s="776"/>
      <c r="AW22" s="776"/>
      <c r="AX22" s="776"/>
      <c r="AY22" s="776"/>
    </row>
    <row r="23" spans="1:51" s="113" customFormat="1" ht="30" customHeight="1">
      <c r="A23" s="780"/>
      <c r="B23" s="780"/>
      <c r="C23" s="780"/>
      <c r="D23" s="776" t="s">
        <v>812</v>
      </c>
      <c r="E23" s="776"/>
      <c r="F23" s="776"/>
      <c r="G23" s="776"/>
      <c r="H23" s="776"/>
      <c r="I23" s="776"/>
      <c r="J23" s="781"/>
      <c r="K23" s="781"/>
      <c r="L23" s="781"/>
      <c r="M23" s="781"/>
      <c r="N23" s="781"/>
      <c r="O23" s="781"/>
      <c r="P23" s="776" t="s">
        <v>811</v>
      </c>
      <c r="Q23" s="776"/>
      <c r="R23" s="776"/>
      <c r="S23" s="776"/>
      <c r="T23" s="776"/>
      <c r="U23" s="776"/>
      <c r="V23" s="776" t="s">
        <v>297</v>
      </c>
      <c r="W23" s="776"/>
      <c r="X23" s="776"/>
      <c r="Y23" s="776"/>
      <c r="Z23" s="776"/>
      <c r="AA23" s="776"/>
      <c r="AB23" s="776"/>
      <c r="AC23" s="776"/>
      <c r="AD23" s="776" t="s">
        <v>297</v>
      </c>
      <c r="AE23" s="776"/>
      <c r="AF23" s="776"/>
      <c r="AG23" s="776"/>
      <c r="AH23" s="776"/>
      <c r="AI23" s="776"/>
      <c r="AJ23" s="776"/>
      <c r="AK23" s="776"/>
      <c r="AL23" s="776"/>
      <c r="AM23" s="776"/>
      <c r="AN23" s="776"/>
      <c r="AO23" s="776"/>
      <c r="AP23" s="781"/>
      <c r="AQ23" s="781"/>
      <c r="AR23" s="781"/>
      <c r="AS23" s="781"/>
      <c r="AT23" s="776" t="s">
        <v>75</v>
      </c>
      <c r="AU23" s="776"/>
      <c r="AV23" s="776"/>
      <c r="AW23" s="776"/>
      <c r="AX23" s="776"/>
      <c r="AY23" s="77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1:C23"/>
    <mergeCell ref="D21:I21"/>
    <mergeCell ref="J21:O23"/>
    <mergeCell ref="P21:U21"/>
    <mergeCell ref="V21:AC21"/>
    <mergeCell ref="AD21:AO21"/>
    <mergeCell ref="D23:I23"/>
    <mergeCell ref="AP21:AS23"/>
    <mergeCell ref="AT23:AY23"/>
    <mergeCell ref="AT21:AY21"/>
    <mergeCell ref="D22:I22"/>
    <mergeCell ref="P22:U22"/>
    <mergeCell ref="V22:AC22"/>
    <mergeCell ref="AD22:AO22"/>
    <mergeCell ref="AT22:AY22"/>
    <mergeCell ref="P23:U23"/>
    <mergeCell ref="V23:AC23"/>
    <mergeCell ref="AD23:AO23"/>
  </mergeCells>
  <printOptions/>
  <pageMargins left="0.7" right="0.7" top="0.75" bottom="0.75" header="0.3" footer="0.3"/>
  <pageSetup fitToHeight="0" fitToWidth="1" horizontalDpi="600" verticalDpi="600" orientation="landscape" scale="17" r:id="rId3"/>
  <legacyDrawing r:id="rId2"/>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AY25"/>
  <sheetViews>
    <sheetView view="pageBreakPreview" zoomScale="60" zoomScaleNormal="85" zoomScalePageLayoutView="0" workbookViewId="0" topLeftCell="M4">
      <selection activeCell="AT13" sqref="AT13"/>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7" width="8.7109375" style="113" customWidth="1"/>
    <col min="18" max="18" width="8.7109375" style="131" customWidth="1"/>
    <col min="19" max="19" width="8.7109375" style="113" customWidth="1"/>
    <col min="20" max="20" width="22.28125" style="113" customWidth="1"/>
    <col min="21" max="21" width="17.00390625" style="113" customWidth="1"/>
    <col min="22" max="45" width="8.28125" style="113" customWidth="1"/>
    <col min="46" max="46" width="17.140625" style="113" customWidth="1"/>
    <col min="47" max="47" width="15.8515625" style="217" customWidth="1"/>
    <col min="48" max="49" width="54.8515625" style="113" customWidth="1"/>
    <col min="50" max="51" width="24.421875" style="113" customWidth="1"/>
    <col min="52" max="16384" width="10.8515625" style="113" customWidth="1"/>
  </cols>
  <sheetData>
    <row r="1" spans="1:51" ht="15.75" customHeight="1">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1025" t="s">
        <v>423</v>
      </c>
      <c r="AY1" s="1026"/>
    </row>
    <row r="2" spans="1:51" ht="15.75" customHeight="1">
      <c r="A2" s="1109" t="s">
        <v>17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1"/>
      <c r="AX2" s="1028" t="s">
        <v>418</v>
      </c>
      <c r="AY2" s="1029"/>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1028" t="s">
        <v>424</v>
      </c>
      <c r="AY3" s="1029"/>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790</v>
      </c>
      <c r="AY4" s="758"/>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96" t="s">
        <v>71</v>
      </c>
      <c r="B6" s="796"/>
      <c r="C6" s="796"/>
      <c r="D6" s="1085">
        <v>45146</v>
      </c>
      <c r="E6" s="797"/>
      <c r="F6" s="787" t="s">
        <v>67</v>
      </c>
      <c r="G6" s="789"/>
      <c r="H6" s="1127" t="s">
        <v>70</v>
      </c>
      <c r="I6" s="1127"/>
      <c r="J6" s="121"/>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1126"/>
      <c r="AJ6" s="1126"/>
      <c r="AK6" s="1126"/>
      <c r="AL6" s="1126"/>
      <c r="AM6" s="1126"/>
      <c r="AN6" s="1126"/>
      <c r="AO6" s="1126"/>
      <c r="AP6" s="1126"/>
      <c r="AQ6" s="1126"/>
      <c r="AR6" s="1126"/>
      <c r="AS6" s="1126"/>
      <c r="AT6" s="1126"/>
      <c r="AU6" s="792"/>
      <c r="AV6" s="785"/>
      <c r="AW6" s="785"/>
      <c r="AX6" s="785"/>
      <c r="AY6" s="785"/>
    </row>
    <row r="7" spans="1:51" ht="15" customHeight="1">
      <c r="A7" s="796"/>
      <c r="B7" s="796"/>
      <c r="C7" s="796"/>
      <c r="D7" s="797"/>
      <c r="E7" s="797"/>
      <c r="F7" s="790"/>
      <c r="G7" s="792"/>
      <c r="H7" s="1127" t="s">
        <v>68</v>
      </c>
      <c r="I7" s="1127"/>
      <c r="J7" s="121"/>
      <c r="K7" s="790"/>
      <c r="L7" s="1126"/>
      <c r="M7" s="1126"/>
      <c r="N7" s="1126"/>
      <c r="O7" s="1126"/>
      <c r="P7" s="1126"/>
      <c r="Q7" s="1126"/>
      <c r="R7" s="1126"/>
      <c r="S7" s="1126"/>
      <c r="T7" s="1126"/>
      <c r="U7" s="1126"/>
      <c r="V7" s="231"/>
      <c r="W7" s="231"/>
      <c r="X7" s="231"/>
      <c r="Y7" s="231"/>
      <c r="Z7" s="231"/>
      <c r="AA7" s="231"/>
      <c r="AB7" s="231"/>
      <c r="AC7" s="231"/>
      <c r="AD7" s="231"/>
      <c r="AE7" s="231"/>
      <c r="AF7" s="231"/>
      <c r="AG7" s="117"/>
      <c r="AH7" s="790"/>
      <c r="AI7" s="1126"/>
      <c r="AJ7" s="1126"/>
      <c r="AK7" s="1126"/>
      <c r="AL7" s="1126"/>
      <c r="AM7" s="1126"/>
      <c r="AN7" s="1126"/>
      <c r="AO7" s="1126"/>
      <c r="AP7" s="1126"/>
      <c r="AQ7" s="1126"/>
      <c r="AR7" s="1126"/>
      <c r="AS7" s="1126"/>
      <c r="AT7" s="1126"/>
      <c r="AU7" s="792"/>
      <c r="AV7" s="785"/>
      <c r="AW7" s="785"/>
      <c r="AX7" s="785"/>
      <c r="AY7" s="785"/>
    </row>
    <row r="8" spans="1:51" ht="15" customHeight="1">
      <c r="A8" s="796"/>
      <c r="B8" s="796"/>
      <c r="C8" s="796"/>
      <c r="D8" s="797"/>
      <c r="E8" s="797"/>
      <c r="F8" s="793"/>
      <c r="G8" s="795"/>
      <c r="H8" s="1127" t="s">
        <v>69</v>
      </c>
      <c r="I8" s="1127"/>
      <c r="J8" s="121" t="s">
        <v>425</v>
      </c>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1126"/>
      <c r="AJ8" s="1126"/>
      <c r="AK8" s="1126"/>
      <c r="AL8" s="1126"/>
      <c r="AM8" s="1126"/>
      <c r="AN8" s="1126"/>
      <c r="AO8" s="1126"/>
      <c r="AP8" s="1126"/>
      <c r="AQ8" s="1126"/>
      <c r="AR8" s="1126"/>
      <c r="AS8" s="1126"/>
      <c r="AT8" s="1126"/>
      <c r="AU8" s="792"/>
      <c r="AV8" s="785"/>
      <c r="AW8" s="785"/>
      <c r="AX8" s="785"/>
      <c r="AY8" s="785"/>
    </row>
    <row r="9" spans="1:51" ht="15" customHeight="1">
      <c r="A9" s="765" t="s">
        <v>399</v>
      </c>
      <c r="B9" s="766"/>
      <c r="C9" s="767"/>
      <c r="D9" s="801"/>
      <c r="E9" s="802"/>
      <c r="F9" s="802"/>
      <c r="G9" s="802"/>
      <c r="H9" s="802"/>
      <c r="I9" s="802"/>
      <c r="J9" s="802"/>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1126"/>
      <c r="AJ9" s="1126"/>
      <c r="AK9" s="1126"/>
      <c r="AL9" s="1126"/>
      <c r="AM9" s="1126"/>
      <c r="AN9" s="1126"/>
      <c r="AO9" s="1126"/>
      <c r="AP9" s="1126"/>
      <c r="AQ9" s="1126"/>
      <c r="AR9" s="1126"/>
      <c r="AS9" s="1126"/>
      <c r="AT9" s="1126"/>
      <c r="AU9" s="792"/>
      <c r="AV9" s="785"/>
      <c r="AW9" s="785"/>
      <c r="AX9" s="785"/>
      <c r="AY9" s="785"/>
    </row>
    <row r="10" spans="1:51" ht="15" customHeight="1">
      <c r="A10" s="798" t="s">
        <v>287</v>
      </c>
      <c r="B10" s="799"/>
      <c r="C10" s="800"/>
      <c r="D10" s="805" t="s">
        <v>500</v>
      </c>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39.7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120" t="s">
        <v>169</v>
      </c>
      <c r="B12" s="120" t="s">
        <v>170</v>
      </c>
      <c r="C12" s="120" t="s">
        <v>171</v>
      </c>
      <c r="D12" s="120" t="s">
        <v>178</v>
      </c>
      <c r="E12" s="120" t="s">
        <v>185</v>
      </c>
      <c r="F12" s="120" t="s">
        <v>186</v>
      </c>
      <c r="G12" s="120" t="s">
        <v>277</v>
      </c>
      <c r="H12" s="120" t="s">
        <v>184</v>
      </c>
      <c r="I12" s="778"/>
      <c r="J12" s="778"/>
      <c r="K12" s="778"/>
      <c r="L12" s="778"/>
      <c r="M12" s="778"/>
      <c r="N12" s="778"/>
      <c r="O12" s="120">
        <v>2020</v>
      </c>
      <c r="P12" s="120">
        <v>2021</v>
      </c>
      <c r="Q12" s="120">
        <v>2022</v>
      </c>
      <c r="R12" s="120">
        <v>2023</v>
      </c>
      <c r="S12" s="120">
        <v>2024</v>
      </c>
      <c r="T12" s="778"/>
      <c r="U12" s="778"/>
      <c r="V12" s="229" t="s">
        <v>39</v>
      </c>
      <c r="W12" s="229" t="s">
        <v>40</v>
      </c>
      <c r="X12" s="229" t="s">
        <v>41</v>
      </c>
      <c r="Y12" s="229" t="s">
        <v>42</v>
      </c>
      <c r="Z12" s="229" t="s">
        <v>43</v>
      </c>
      <c r="AA12" s="229" t="s">
        <v>44</v>
      </c>
      <c r="AB12" s="229" t="s">
        <v>45</v>
      </c>
      <c r="AC12" s="229" t="s">
        <v>46</v>
      </c>
      <c r="AD12" s="229" t="s">
        <v>47</v>
      </c>
      <c r="AE12" s="229" t="s">
        <v>48</v>
      </c>
      <c r="AF12" s="229" t="s">
        <v>49</v>
      </c>
      <c r="AG12" s="229" t="s">
        <v>50</v>
      </c>
      <c r="AH12" s="229" t="s">
        <v>39</v>
      </c>
      <c r="AI12" s="229" t="s">
        <v>40</v>
      </c>
      <c r="AJ12" s="229" t="s">
        <v>41</v>
      </c>
      <c r="AK12" s="229" t="s">
        <v>42</v>
      </c>
      <c r="AL12" s="229" t="s">
        <v>43</v>
      </c>
      <c r="AM12" s="229" t="s">
        <v>44</v>
      </c>
      <c r="AN12" s="229" t="s">
        <v>45</v>
      </c>
      <c r="AO12" s="229" t="s">
        <v>46</v>
      </c>
      <c r="AP12" s="229" t="s">
        <v>47</v>
      </c>
      <c r="AQ12" s="229" t="s">
        <v>48</v>
      </c>
      <c r="AR12" s="229" t="s">
        <v>49</v>
      </c>
      <c r="AS12" s="229" t="s">
        <v>50</v>
      </c>
      <c r="AT12" s="120" t="s">
        <v>413</v>
      </c>
      <c r="AU12" s="216" t="s">
        <v>88</v>
      </c>
      <c r="AV12" s="778"/>
      <c r="AW12" s="778"/>
      <c r="AX12" s="778"/>
      <c r="AY12" s="778"/>
    </row>
    <row r="13" spans="1:51" ht="195">
      <c r="A13" s="121"/>
      <c r="B13" s="121"/>
      <c r="C13" s="121"/>
      <c r="D13" s="121"/>
      <c r="E13" s="121" t="s">
        <v>425</v>
      </c>
      <c r="F13" s="121"/>
      <c r="G13" s="122" t="s">
        <v>427</v>
      </c>
      <c r="H13" s="122" t="s">
        <v>843</v>
      </c>
      <c r="I13" s="232" t="s">
        <v>428</v>
      </c>
      <c r="J13" s="233" t="s">
        <v>429</v>
      </c>
      <c r="K13" s="122" t="s">
        <v>430</v>
      </c>
      <c r="L13" s="121"/>
      <c r="M13" s="122" t="s">
        <v>431</v>
      </c>
      <c r="N13" s="122" t="s">
        <v>432</v>
      </c>
      <c r="O13" s="123"/>
      <c r="P13" s="123"/>
      <c r="Q13" s="123"/>
      <c r="R13" s="234">
        <v>1</v>
      </c>
      <c r="S13" s="123"/>
      <c r="T13" s="235" t="s">
        <v>433</v>
      </c>
      <c r="U13" s="232" t="s">
        <v>434</v>
      </c>
      <c r="V13" s="236"/>
      <c r="W13" s="236"/>
      <c r="X13" s="236">
        <v>0.25</v>
      </c>
      <c r="Y13" s="236"/>
      <c r="Z13" s="236"/>
      <c r="AA13" s="236">
        <v>0.25</v>
      </c>
      <c r="AB13" s="236"/>
      <c r="AC13" s="236"/>
      <c r="AD13" s="236">
        <v>0.25</v>
      </c>
      <c r="AE13" s="236"/>
      <c r="AF13" s="236"/>
      <c r="AG13" s="236">
        <v>0.25</v>
      </c>
      <c r="AH13" s="124"/>
      <c r="AI13" s="124"/>
      <c r="AJ13" s="127">
        <v>0.25</v>
      </c>
      <c r="AK13" s="128"/>
      <c r="AL13" s="381"/>
      <c r="AM13" s="471">
        <v>0.25</v>
      </c>
      <c r="AN13" s="466"/>
      <c r="AO13" s="124"/>
      <c r="AP13" s="124"/>
      <c r="AQ13" s="124"/>
      <c r="AR13" s="124"/>
      <c r="AS13" s="124"/>
      <c r="AT13" s="127">
        <f>SUM(AH13:AS13)</f>
        <v>0.5</v>
      </c>
      <c r="AU13" s="379">
        <f>+AT13/R13</f>
        <v>0.5</v>
      </c>
      <c r="AV13" s="474" t="s">
        <v>856</v>
      </c>
      <c r="AW13" s="474" t="s">
        <v>939</v>
      </c>
      <c r="AX13" s="479" t="s">
        <v>450</v>
      </c>
      <c r="AY13" s="479" t="s">
        <v>450</v>
      </c>
    </row>
    <row r="14" spans="1:51" ht="195">
      <c r="A14" s="121"/>
      <c r="B14" s="121"/>
      <c r="C14" s="121"/>
      <c r="D14" s="121"/>
      <c r="E14" s="121" t="s">
        <v>425</v>
      </c>
      <c r="F14" s="121"/>
      <c r="G14" s="122" t="s">
        <v>427</v>
      </c>
      <c r="H14" s="122" t="s">
        <v>843</v>
      </c>
      <c r="I14" s="232" t="s">
        <v>435</v>
      </c>
      <c r="J14" s="233" t="s">
        <v>436</v>
      </c>
      <c r="K14" s="124" t="s">
        <v>430</v>
      </c>
      <c r="L14" s="124"/>
      <c r="M14" s="122" t="s">
        <v>437</v>
      </c>
      <c r="N14" s="237" t="s">
        <v>438</v>
      </c>
      <c r="O14" s="124"/>
      <c r="P14" s="124"/>
      <c r="Q14" s="124"/>
      <c r="R14" s="235">
        <v>1</v>
      </c>
      <c r="S14" s="124"/>
      <c r="T14" s="235" t="s">
        <v>439</v>
      </c>
      <c r="U14" s="232" t="s">
        <v>440</v>
      </c>
      <c r="V14" s="236"/>
      <c r="W14" s="236"/>
      <c r="X14" s="236"/>
      <c r="Y14" s="236"/>
      <c r="Z14" s="236"/>
      <c r="AA14" s="236"/>
      <c r="AB14" s="236"/>
      <c r="AC14" s="236"/>
      <c r="AD14" s="236"/>
      <c r="AE14" s="236"/>
      <c r="AF14" s="236"/>
      <c r="AG14" s="238">
        <v>1</v>
      </c>
      <c r="AH14" s="124"/>
      <c r="AI14" s="124"/>
      <c r="AJ14" s="124"/>
      <c r="AK14" s="128"/>
      <c r="AL14" s="381"/>
      <c r="AM14" s="472"/>
      <c r="AN14" s="466"/>
      <c r="AO14" s="124"/>
      <c r="AP14" s="124"/>
      <c r="AQ14" s="124"/>
      <c r="AR14" s="124"/>
      <c r="AS14" s="124"/>
      <c r="AT14" s="124">
        <f aca="true" t="shared" si="0" ref="AT14:AT22">SUM(AH14:AS14)</f>
        <v>0</v>
      </c>
      <c r="AU14" s="379">
        <f aca="true" t="shared" si="1" ref="AU14:AU22">+AT14/R14</f>
        <v>0</v>
      </c>
      <c r="AV14" s="474" t="s">
        <v>856</v>
      </c>
      <c r="AW14" s="474" t="s">
        <v>940</v>
      </c>
      <c r="AX14" s="479" t="s">
        <v>450</v>
      </c>
      <c r="AY14" s="479" t="s">
        <v>450</v>
      </c>
    </row>
    <row r="15" spans="1:51" ht="255">
      <c r="A15" s="121"/>
      <c r="B15" s="121"/>
      <c r="C15" s="121"/>
      <c r="D15" s="121"/>
      <c r="E15" s="121" t="s">
        <v>425</v>
      </c>
      <c r="F15" s="121"/>
      <c r="G15" s="122" t="s">
        <v>427</v>
      </c>
      <c r="H15" s="122" t="s">
        <v>843</v>
      </c>
      <c r="I15" s="232" t="s">
        <v>441</v>
      </c>
      <c r="J15" s="233" t="s">
        <v>442</v>
      </c>
      <c r="K15" s="124" t="s">
        <v>430</v>
      </c>
      <c r="L15" s="124"/>
      <c r="M15" s="121" t="s">
        <v>437</v>
      </c>
      <c r="N15" s="237" t="s">
        <v>443</v>
      </c>
      <c r="O15" s="124"/>
      <c r="P15" s="124"/>
      <c r="Q15" s="124"/>
      <c r="R15" s="235">
        <v>12</v>
      </c>
      <c r="S15" s="124"/>
      <c r="T15" s="235" t="s">
        <v>444</v>
      </c>
      <c r="U15" s="232" t="s">
        <v>445</v>
      </c>
      <c r="V15" s="236"/>
      <c r="W15" s="236"/>
      <c r="X15" s="238"/>
      <c r="Y15" s="238">
        <v>4</v>
      </c>
      <c r="Z15" s="238"/>
      <c r="AA15" s="238"/>
      <c r="AB15" s="238"/>
      <c r="AC15" s="238">
        <v>4</v>
      </c>
      <c r="AD15" s="238"/>
      <c r="AE15" s="238"/>
      <c r="AF15" s="238"/>
      <c r="AG15" s="238">
        <v>4</v>
      </c>
      <c r="AH15" s="124"/>
      <c r="AI15" s="124"/>
      <c r="AJ15" s="124"/>
      <c r="AK15" s="128">
        <v>4</v>
      </c>
      <c r="AL15" s="381"/>
      <c r="AM15" s="472"/>
      <c r="AN15" s="466"/>
      <c r="AO15" s="124"/>
      <c r="AP15" s="124"/>
      <c r="AQ15" s="124"/>
      <c r="AR15" s="124"/>
      <c r="AS15" s="124"/>
      <c r="AT15" s="124">
        <f t="shared" si="0"/>
        <v>4</v>
      </c>
      <c r="AU15" s="379">
        <f t="shared" si="1"/>
        <v>0.3333333333333333</v>
      </c>
      <c r="AV15" s="474" t="s">
        <v>856</v>
      </c>
      <c r="AW15" s="474" t="s">
        <v>941</v>
      </c>
      <c r="AX15" s="479" t="s">
        <v>450</v>
      </c>
      <c r="AY15" s="479" t="s">
        <v>450</v>
      </c>
    </row>
    <row r="16" spans="1:51" ht="190.5" customHeight="1">
      <c r="A16" s="121"/>
      <c r="B16" s="121"/>
      <c r="C16" s="121"/>
      <c r="D16" s="121"/>
      <c r="E16" s="121" t="s">
        <v>425</v>
      </c>
      <c r="F16" s="121"/>
      <c r="G16" s="122" t="s">
        <v>427</v>
      </c>
      <c r="H16" s="122" t="s">
        <v>843</v>
      </c>
      <c r="I16" s="232" t="s">
        <v>446</v>
      </c>
      <c r="J16" s="233" t="s">
        <v>447</v>
      </c>
      <c r="K16" s="124" t="s">
        <v>430</v>
      </c>
      <c r="L16" s="124"/>
      <c r="M16" s="122" t="s">
        <v>437</v>
      </c>
      <c r="N16" s="233" t="s">
        <v>448</v>
      </c>
      <c r="O16" s="124"/>
      <c r="P16" s="124"/>
      <c r="Q16" s="124"/>
      <c r="R16" s="235">
        <v>6</v>
      </c>
      <c r="S16" s="124"/>
      <c r="T16" s="235" t="s">
        <v>444</v>
      </c>
      <c r="U16" s="232" t="s">
        <v>449</v>
      </c>
      <c r="V16" s="236"/>
      <c r="W16" s="236"/>
      <c r="X16" s="236"/>
      <c r="Y16" s="239">
        <v>2</v>
      </c>
      <c r="Z16" s="239"/>
      <c r="AA16" s="240"/>
      <c r="AB16" s="239"/>
      <c r="AC16" s="239">
        <v>2</v>
      </c>
      <c r="AD16" s="236"/>
      <c r="AE16" s="236"/>
      <c r="AF16" s="236"/>
      <c r="AG16" s="238">
        <v>2</v>
      </c>
      <c r="AH16" s="124"/>
      <c r="AI16" s="124"/>
      <c r="AJ16" s="124"/>
      <c r="AK16" s="128">
        <v>4</v>
      </c>
      <c r="AL16" s="381"/>
      <c r="AM16" s="472"/>
      <c r="AN16" s="466"/>
      <c r="AO16" s="124"/>
      <c r="AP16" s="124"/>
      <c r="AQ16" s="124"/>
      <c r="AR16" s="124"/>
      <c r="AS16" s="124"/>
      <c r="AT16" s="124">
        <f t="shared" si="0"/>
        <v>4</v>
      </c>
      <c r="AU16" s="379">
        <f>+AT16/R16</f>
        <v>0.6666666666666666</v>
      </c>
      <c r="AV16" s="474" t="s">
        <v>856</v>
      </c>
      <c r="AW16" s="474" t="s">
        <v>942</v>
      </c>
      <c r="AX16" s="479" t="s">
        <v>450</v>
      </c>
      <c r="AY16" s="479" t="s">
        <v>450</v>
      </c>
    </row>
    <row r="17" spans="1:51" ht="150">
      <c r="A17" s="121"/>
      <c r="B17" s="121"/>
      <c r="C17" s="121"/>
      <c r="D17" s="121"/>
      <c r="E17" s="121" t="s">
        <v>425</v>
      </c>
      <c r="F17" s="121"/>
      <c r="G17" s="122" t="s">
        <v>427</v>
      </c>
      <c r="H17" s="121" t="s">
        <v>450</v>
      </c>
      <c r="I17" s="232" t="s">
        <v>451</v>
      </c>
      <c r="J17" s="233" t="s">
        <v>452</v>
      </c>
      <c r="K17" s="124" t="s">
        <v>453</v>
      </c>
      <c r="L17" s="235"/>
      <c r="M17" s="121" t="s">
        <v>431</v>
      </c>
      <c r="N17" s="122" t="s">
        <v>454</v>
      </c>
      <c r="O17" s="124"/>
      <c r="P17" s="124"/>
      <c r="Q17" s="124"/>
      <c r="R17" s="234">
        <v>1</v>
      </c>
      <c r="S17" s="124"/>
      <c r="T17" s="235" t="s">
        <v>455</v>
      </c>
      <c r="U17" s="232" t="s">
        <v>456</v>
      </c>
      <c r="V17" s="236"/>
      <c r="W17" s="236"/>
      <c r="X17" s="236"/>
      <c r="Y17" s="236"/>
      <c r="Z17" s="236"/>
      <c r="AA17" s="236">
        <v>1</v>
      </c>
      <c r="AB17" s="236"/>
      <c r="AC17" s="236"/>
      <c r="AD17" s="236"/>
      <c r="AE17" s="236"/>
      <c r="AF17" s="236"/>
      <c r="AG17" s="236">
        <v>1</v>
      </c>
      <c r="AH17" s="124"/>
      <c r="AI17" s="124"/>
      <c r="AJ17" s="124"/>
      <c r="AK17" s="128"/>
      <c r="AL17" s="463"/>
      <c r="AM17" s="470">
        <v>1</v>
      </c>
      <c r="AN17" s="466"/>
      <c r="AO17" s="124"/>
      <c r="AP17" s="124"/>
      <c r="AQ17" s="124"/>
      <c r="AR17" s="124"/>
      <c r="AS17" s="124"/>
      <c r="AT17" s="465">
        <f>AVERAGE(AH17:AS17)</f>
        <v>1</v>
      </c>
      <c r="AU17" s="382">
        <f>+(SUM(AH17:AS17)/+SUM(V17:AG17))</f>
        <v>0.5</v>
      </c>
      <c r="AV17" s="474" t="s">
        <v>856</v>
      </c>
      <c r="AW17" s="474" t="s">
        <v>943</v>
      </c>
      <c r="AX17" s="479" t="s">
        <v>450</v>
      </c>
      <c r="AY17" s="479" t="s">
        <v>450</v>
      </c>
    </row>
    <row r="18" spans="1:51" ht="156" customHeight="1">
      <c r="A18" s="121"/>
      <c r="B18" s="121"/>
      <c r="C18" s="121"/>
      <c r="D18" s="121"/>
      <c r="E18" s="121" t="s">
        <v>425</v>
      </c>
      <c r="F18" s="121"/>
      <c r="G18" s="122" t="s">
        <v>427</v>
      </c>
      <c r="H18" s="121" t="s">
        <v>450</v>
      </c>
      <c r="I18" s="232" t="s">
        <v>457</v>
      </c>
      <c r="J18" s="233" t="s">
        <v>458</v>
      </c>
      <c r="K18" s="124" t="s">
        <v>453</v>
      </c>
      <c r="L18" s="235"/>
      <c r="M18" s="121" t="s">
        <v>431</v>
      </c>
      <c r="N18" s="122" t="s">
        <v>459</v>
      </c>
      <c r="O18" s="124"/>
      <c r="P18" s="124"/>
      <c r="Q18" s="124"/>
      <c r="R18" s="234">
        <v>1</v>
      </c>
      <c r="S18" s="124"/>
      <c r="T18" s="235" t="s">
        <v>460</v>
      </c>
      <c r="U18" s="232" t="s">
        <v>461</v>
      </c>
      <c r="V18" s="236">
        <v>1</v>
      </c>
      <c r="W18" s="236">
        <v>1</v>
      </c>
      <c r="X18" s="236">
        <v>1</v>
      </c>
      <c r="Y18" s="236">
        <v>1</v>
      </c>
      <c r="Z18" s="236">
        <v>1</v>
      </c>
      <c r="AA18" s="236">
        <v>1</v>
      </c>
      <c r="AB18" s="236">
        <v>1</v>
      </c>
      <c r="AC18" s="236">
        <v>1</v>
      </c>
      <c r="AD18" s="236">
        <v>1</v>
      </c>
      <c r="AE18" s="236">
        <v>1</v>
      </c>
      <c r="AF18" s="236">
        <v>1</v>
      </c>
      <c r="AG18" s="236">
        <v>1</v>
      </c>
      <c r="AH18" s="127">
        <v>1</v>
      </c>
      <c r="AI18" s="127">
        <v>1</v>
      </c>
      <c r="AJ18" s="127">
        <v>1</v>
      </c>
      <c r="AK18" s="454">
        <v>1</v>
      </c>
      <c r="AL18" s="380">
        <v>1</v>
      </c>
      <c r="AM18" s="471">
        <v>1</v>
      </c>
      <c r="AN18" s="454">
        <v>1</v>
      </c>
      <c r="AO18" s="124"/>
      <c r="AP18" s="124"/>
      <c r="AQ18" s="124"/>
      <c r="AR18" s="124"/>
      <c r="AS18" s="124"/>
      <c r="AT18" s="127">
        <f>AVERAGE(AH18:AS18)</f>
        <v>1</v>
      </c>
      <c r="AU18" s="379">
        <f>+(SUM(AH18:AS18)/+SUM(V18:AG18))</f>
        <v>0.5833333333333334</v>
      </c>
      <c r="AV18" s="475" t="s">
        <v>944</v>
      </c>
      <c r="AW18" s="475" t="s">
        <v>945</v>
      </c>
      <c r="AX18" s="468" t="s">
        <v>858</v>
      </c>
      <c r="AY18" s="479" t="s">
        <v>450</v>
      </c>
    </row>
    <row r="19" spans="1:51" ht="345">
      <c r="A19" s="121"/>
      <c r="B19" s="121"/>
      <c r="C19" s="121"/>
      <c r="D19" s="121"/>
      <c r="E19" s="121" t="s">
        <v>425</v>
      </c>
      <c r="F19" s="121"/>
      <c r="G19" s="122" t="s">
        <v>427</v>
      </c>
      <c r="H19" s="122" t="s">
        <v>843</v>
      </c>
      <c r="I19" s="232" t="s">
        <v>462</v>
      </c>
      <c r="J19" s="232" t="s">
        <v>463</v>
      </c>
      <c r="K19" s="121" t="s">
        <v>453</v>
      </c>
      <c r="L19" s="124"/>
      <c r="M19" s="122" t="s">
        <v>431</v>
      </c>
      <c r="N19" s="232" t="s">
        <v>464</v>
      </c>
      <c r="O19" s="124"/>
      <c r="P19" s="124"/>
      <c r="Q19" s="124"/>
      <c r="R19" s="234">
        <v>1</v>
      </c>
      <c r="S19" s="124"/>
      <c r="T19" s="235" t="s">
        <v>444</v>
      </c>
      <c r="U19" s="232" t="s">
        <v>465</v>
      </c>
      <c r="V19" s="236"/>
      <c r="W19" s="236"/>
      <c r="X19" s="236"/>
      <c r="Y19" s="236">
        <v>1</v>
      </c>
      <c r="Z19" s="236"/>
      <c r="AA19" s="236"/>
      <c r="AB19" s="236"/>
      <c r="AC19" s="236">
        <v>1</v>
      </c>
      <c r="AD19" s="236"/>
      <c r="AE19" s="236"/>
      <c r="AF19" s="236"/>
      <c r="AG19" s="236">
        <v>1</v>
      </c>
      <c r="AH19" s="124"/>
      <c r="AI19" s="124"/>
      <c r="AJ19" s="124"/>
      <c r="AK19" s="454">
        <v>1</v>
      </c>
      <c r="AL19" s="381"/>
      <c r="AM19" s="472"/>
      <c r="AN19" s="466"/>
      <c r="AO19" s="124"/>
      <c r="AP19" s="124"/>
      <c r="AQ19" s="124"/>
      <c r="AR19" s="124"/>
      <c r="AS19" s="124"/>
      <c r="AT19" s="127">
        <f t="shared" si="0"/>
        <v>1</v>
      </c>
      <c r="AU19" s="379">
        <f>+(SUM(AH19:AS19)/+SUM(V19:AG19))</f>
        <v>0.3333333333333333</v>
      </c>
      <c r="AV19" s="474" t="s">
        <v>856</v>
      </c>
      <c r="AW19" s="474" t="s">
        <v>946</v>
      </c>
      <c r="AX19" s="479" t="s">
        <v>450</v>
      </c>
      <c r="AY19" s="479" t="s">
        <v>450</v>
      </c>
    </row>
    <row r="20" spans="1:51" ht="268.5" customHeight="1">
      <c r="A20" s="121"/>
      <c r="B20" s="121"/>
      <c r="C20" s="121"/>
      <c r="D20" s="121"/>
      <c r="E20" s="121" t="s">
        <v>425</v>
      </c>
      <c r="F20" s="121"/>
      <c r="G20" s="122" t="s">
        <v>427</v>
      </c>
      <c r="H20" s="122" t="s">
        <v>843</v>
      </c>
      <c r="I20" s="232" t="s">
        <v>466</v>
      </c>
      <c r="J20" s="233" t="s">
        <v>467</v>
      </c>
      <c r="K20" s="124" t="s">
        <v>430</v>
      </c>
      <c r="L20" s="124"/>
      <c r="M20" s="121" t="s">
        <v>437</v>
      </c>
      <c r="N20" s="237" t="s">
        <v>468</v>
      </c>
      <c r="O20" s="124"/>
      <c r="P20" s="124"/>
      <c r="Q20" s="124"/>
      <c r="R20" s="235">
        <v>2</v>
      </c>
      <c r="S20" s="124"/>
      <c r="T20" s="235" t="s">
        <v>455</v>
      </c>
      <c r="U20" s="232" t="s">
        <v>469</v>
      </c>
      <c r="V20" s="236"/>
      <c r="W20" s="236"/>
      <c r="X20" s="236"/>
      <c r="Y20" s="236"/>
      <c r="Z20" s="236"/>
      <c r="AA20" s="238"/>
      <c r="AB20" s="239">
        <v>1</v>
      </c>
      <c r="AC20" s="236"/>
      <c r="AD20" s="236"/>
      <c r="AE20" s="236"/>
      <c r="AF20" s="236"/>
      <c r="AG20" s="238">
        <v>1</v>
      </c>
      <c r="AH20" s="124"/>
      <c r="AI20" s="124"/>
      <c r="AJ20" s="124"/>
      <c r="AK20" s="128"/>
      <c r="AL20" s="381"/>
      <c r="AM20" s="466"/>
      <c r="AN20" s="466">
        <v>1</v>
      </c>
      <c r="AO20" s="124"/>
      <c r="AP20" s="124"/>
      <c r="AQ20" s="124"/>
      <c r="AR20" s="124"/>
      <c r="AS20" s="124"/>
      <c r="AT20" s="124">
        <f t="shared" si="0"/>
        <v>1</v>
      </c>
      <c r="AU20" s="379">
        <f t="shared" si="1"/>
        <v>0.5</v>
      </c>
      <c r="AV20" s="474" t="s">
        <v>947</v>
      </c>
      <c r="AW20" s="474" t="s">
        <v>948</v>
      </c>
      <c r="AX20" s="468" t="s">
        <v>858</v>
      </c>
      <c r="AY20" s="479" t="s">
        <v>450</v>
      </c>
    </row>
    <row r="21" spans="1:51" ht="216" customHeight="1">
      <c r="A21" s="121"/>
      <c r="B21" s="121"/>
      <c r="C21" s="121"/>
      <c r="D21" s="121"/>
      <c r="E21" s="121" t="s">
        <v>425</v>
      </c>
      <c r="F21" s="121"/>
      <c r="G21" s="122" t="s">
        <v>427</v>
      </c>
      <c r="H21" s="122" t="s">
        <v>843</v>
      </c>
      <c r="I21" s="232" t="s">
        <v>470</v>
      </c>
      <c r="J21" s="233" t="s">
        <v>471</v>
      </c>
      <c r="K21" s="124" t="s">
        <v>430</v>
      </c>
      <c r="L21" s="124"/>
      <c r="M21" s="121" t="s">
        <v>437</v>
      </c>
      <c r="N21" s="122" t="s">
        <v>472</v>
      </c>
      <c r="O21" s="124"/>
      <c r="P21" s="124"/>
      <c r="Q21" s="124"/>
      <c r="R21" s="241">
        <v>12</v>
      </c>
      <c r="S21" s="124"/>
      <c r="T21" s="235" t="s">
        <v>460</v>
      </c>
      <c r="U21" s="232" t="s">
        <v>473</v>
      </c>
      <c r="V21" s="121">
        <v>1</v>
      </c>
      <c r="W21" s="451">
        <v>1</v>
      </c>
      <c r="X21" s="451">
        <v>1</v>
      </c>
      <c r="Y21" s="451">
        <v>1</v>
      </c>
      <c r="Z21" s="451">
        <v>1</v>
      </c>
      <c r="AA21" s="451">
        <v>1</v>
      </c>
      <c r="AB21" s="451">
        <v>1</v>
      </c>
      <c r="AC21" s="451">
        <v>1</v>
      </c>
      <c r="AD21" s="451">
        <v>1</v>
      </c>
      <c r="AE21" s="451">
        <v>1</v>
      </c>
      <c r="AF21" s="451">
        <v>1</v>
      </c>
      <c r="AG21" s="451">
        <v>1</v>
      </c>
      <c r="AH21" s="451">
        <v>1</v>
      </c>
      <c r="AI21" s="451">
        <v>1</v>
      </c>
      <c r="AJ21" s="451">
        <v>1</v>
      </c>
      <c r="AK21" s="451">
        <v>1</v>
      </c>
      <c r="AL21" s="128">
        <v>1</v>
      </c>
      <c r="AM21" s="466">
        <v>1</v>
      </c>
      <c r="AN21" s="466">
        <v>1</v>
      </c>
      <c r="AO21" s="451"/>
      <c r="AP21" s="451"/>
      <c r="AQ21" s="451"/>
      <c r="AR21" s="451"/>
      <c r="AS21" s="451"/>
      <c r="AT21" s="124">
        <f t="shared" si="0"/>
        <v>7</v>
      </c>
      <c r="AU21" s="379">
        <f t="shared" si="1"/>
        <v>0.5833333333333334</v>
      </c>
      <c r="AV21" s="475" t="s">
        <v>949</v>
      </c>
      <c r="AW21" s="475" t="s">
        <v>950</v>
      </c>
      <c r="AX21" s="468" t="s">
        <v>858</v>
      </c>
      <c r="AY21" s="479" t="s">
        <v>450</v>
      </c>
    </row>
    <row r="22" spans="1:51" ht="214.5" customHeight="1">
      <c r="A22" s="121"/>
      <c r="B22" s="121"/>
      <c r="C22" s="121"/>
      <c r="D22" s="121"/>
      <c r="E22" s="121" t="s">
        <v>425</v>
      </c>
      <c r="F22" s="121"/>
      <c r="G22" s="122" t="s">
        <v>427</v>
      </c>
      <c r="H22" s="122" t="s">
        <v>843</v>
      </c>
      <c r="I22" s="232" t="s">
        <v>474</v>
      </c>
      <c r="J22" s="233" t="s">
        <v>475</v>
      </c>
      <c r="K22" s="124" t="s">
        <v>430</v>
      </c>
      <c r="L22" s="124"/>
      <c r="M22" s="121" t="s">
        <v>437</v>
      </c>
      <c r="N22" s="237" t="s">
        <v>476</v>
      </c>
      <c r="O22" s="124"/>
      <c r="P22" s="124"/>
      <c r="Q22" s="124"/>
      <c r="R22" s="235">
        <v>2</v>
      </c>
      <c r="S22" s="124"/>
      <c r="T22" s="235" t="s">
        <v>455</v>
      </c>
      <c r="U22" s="232" t="s">
        <v>477</v>
      </c>
      <c r="V22" s="236"/>
      <c r="W22" s="236"/>
      <c r="X22" s="236"/>
      <c r="Y22" s="236"/>
      <c r="Z22" s="236"/>
      <c r="AA22" s="236"/>
      <c r="AB22" s="238">
        <v>1</v>
      </c>
      <c r="AC22" s="236"/>
      <c r="AD22" s="236"/>
      <c r="AE22" s="236"/>
      <c r="AF22" s="236"/>
      <c r="AG22" s="238">
        <v>1</v>
      </c>
      <c r="AH22" s="124"/>
      <c r="AI22" s="124"/>
      <c r="AJ22" s="124"/>
      <c r="AK22" s="128"/>
      <c r="AL22" s="381"/>
      <c r="AM22" s="472"/>
      <c r="AN22" s="466">
        <v>1</v>
      </c>
      <c r="AO22" s="124"/>
      <c r="AP22" s="124"/>
      <c r="AQ22" s="124"/>
      <c r="AR22" s="124"/>
      <c r="AS22" s="124"/>
      <c r="AT22" s="124">
        <f t="shared" si="0"/>
        <v>1</v>
      </c>
      <c r="AU22" s="379">
        <f t="shared" si="1"/>
        <v>0.5</v>
      </c>
      <c r="AV22" s="474" t="s">
        <v>951</v>
      </c>
      <c r="AW22" s="365" t="s">
        <v>952</v>
      </c>
      <c r="AX22" s="474" t="s">
        <v>858</v>
      </c>
      <c r="AY22" s="478" t="s">
        <v>450</v>
      </c>
    </row>
    <row r="23" spans="1:51" ht="54" customHeight="1">
      <c r="A23" s="780" t="s">
        <v>64</v>
      </c>
      <c r="B23" s="780"/>
      <c r="C23" s="780"/>
      <c r="D23" s="776" t="s">
        <v>66</v>
      </c>
      <c r="E23" s="776"/>
      <c r="F23" s="776"/>
      <c r="G23" s="776"/>
      <c r="H23" s="776"/>
      <c r="I23" s="776"/>
      <c r="J23" s="781" t="s">
        <v>300</v>
      </c>
      <c r="K23" s="781"/>
      <c r="L23" s="781"/>
      <c r="M23" s="781"/>
      <c r="N23" s="781"/>
      <c r="O23" s="781"/>
      <c r="P23" s="776" t="s">
        <v>66</v>
      </c>
      <c r="Q23" s="776"/>
      <c r="R23" s="776"/>
      <c r="S23" s="776"/>
      <c r="T23" s="776"/>
      <c r="U23" s="776"/>
      <c r="V23" s="776" t="s">
        <v>66</v>
      </c>
      <c r="W23" s="776"/>
      <c r="X23" s="776"/>
      <c r="Y23" s="776"/>
      <c r="Z23" s="776"/>
      <c r="AA23" s="776"/>
      <c r="AB23" s="776"/>
      <c r="AC23" s="776"/>
      <c r="AD23" s="776" t="s">
        <v>66</v>
      </c>
      <c r="AE23" s="776"/>
      <c r="AF23" s="776"/>
      <c r="AG23" s="776"/>
      <c r="AH23" s="776"/>
      <c r="AI23" s="776"/>
      <c r="AJ23" s="776"/>
      <c r="AK23" s="776"/>
      <c r="AL23" s="776"/>
      <c r="AM23" s="776"/>
      <c r="AN23" s="776"/>
      <c r="AO23" s="776"/>
      <c r="AP23" s="781" t="s">
        <v>318</v>
      </c>
      <c r="AQ23" s="781"/>
      <c r="AR23" s="781"/>
      <c r="AS23" s="781"/>
      <c r="AT23" s="776" t="s">
        <v>13</v>
      </c>
      <c r="AU23" s="776"/>
      <c r="AV23" s="776"/>
      <c r="AW23" s="776"/>
      <c r="AX23" s="776"/>
      <c r="AY23" s="776"/>
    </row>
    <row r="24" spans="1:51" ht="30" customHeight="1">
      <c r="A24" s="780"/>
      <c r="B24" s="780"/>
      <c r="C24" s="780"/>
      <c r="D24" s="776" t="s">
        <v>796</v>
      </c>
      <c r="E24" s="776"/>
      <c r="F24" s="776"/>
      <c r="G24" s="776"/>
      <c r="H24" s="776"/>
      <c r="I24" s="776"/>
      <c r="J24" s="781"/>
      <c r="K24" s="781"/>
      <c r="L24" s="781"/>
      <c r="M24" s="781"/>
      <c r="N24" s="781"/>
      <c r="O24" s="781"/>
      <c r="P24" s="776" t="s">
        <v>798</v>
      </c>
      <c r="Q24" s="776"/>
      <c r="R24" s="776"/>
      <c r="S24" s="776"/>
      <c r="T24" s="776"/>
      <c r="U24" s="776"/>
      <c r="V24" s="776" t="s">
        <v>799</v>
      </c>
      <c r="W24" s="776"/>
      <c r="X24" s="776"/>
      <c r="Y24" s="776"/>
      <c r="Z24" s="776"/>
      <c r="AA24" s="776"/>
      <c r="AB24" s="776"/>
      <c r="AC24" s="776"/>
      <c r="AD24" s="776" t="s">
        <v>65</v>
      </c>
      <c r="AE24" s="776"/>
      <c r="AF24" s="776"/>
      <c r="AG24" s="776"/>
      <c r="AH24" s="776"/>
      <c r="AI24" s="776"/>
      <c r="AJ24" s="776"/>
      <c r="AK24" s="776"/>
      <c r="AL24" s="776"/>
      <c r="AM24" s="776"/>
      <c r="AN24" s="776"/>
      <c r="AO24" s="776"/>
      <c r="AP24" s="781"/>
      <c r="AQ24" s="781"/>
      <c r="AR24" s="781"/>
      <c r="AS24" s="781"/>
      <c r="AT24" s="776" t="s">
        <v>771</v>
      </c>
      <c r="AU24" s="776"/>
      <c r="AV24" s="776"/>
      <c r="AW24" s="776"/>
      <c r="AX24" s="776"/>
      <c r="AY24" s="776"/>
    </row>
    <row r="25" spans="1:51" ht="30" customHeight="1">
      <c r="A25" s="780"/>
      <c r="B25" s="780"/>
      <c r="C25" s="780"/>
      <c r="D25" s="776" t="s">
        <v>797</v>
      </c>
      <c r="E25" s="776"/>
      <c r="F25" s="776"/>
      <c r="G25" s="776"/>
      <c r="H25" s="776"/>
      <c r="I25" s="776"/>
      <c r="J25" s="781"/>
      <c r="K25" s="781"/>
      <c r="L25" s="781"/>
      <c r="M25" s="781"/>
      <c r="N25" s="781"/>
      <c r="O25" s="781"/>
      <c r="P25" s="776" t="s">
        <v>797</v>
      </c>
      <c r="Q25" s="776"/>
      <c r="R25" s="776"/>
      <c r="S25" s="776"/>
      <c r="T25" s="776"/>
      <c r="U25" s="776"/>
      <c r="V25" s="776" t="s">
        <v>800</v>
      </c>
      <c r="W25" s="776"/>
      <c r="X25" s="776"/>
      <c r="Y25" s="776"/>
      <c r="Z25" s="776"/>
      <c r="AA25" s="776"/>
      <c r="AB25" s="776"/>
      <c r="AC25" s="776"/>
      <c r="AD25" s="776" t="s">
        <v>297</v>
      </c>
      <c r="AE25" s="776"/>
      <c r="AF25" s="776"/>
      <c r="AG25" s="776"/>
      <c r="AH25" s="776"/>
      <c r="AI25" s="776"/>
      <c r="AJ25" s="776"/>
      <c r="AK25" s="776"/>
      <c r="AL25" s="776"/>
      <c r="AM25" s="776"/>
      <c r="AN25" s="776"/>
      <c r="AO25" s="776"/>
      <c r="AP25" s="781"/>
      <c r="AQ25" s="781"/>
      <c r="AR25" s="781"/>
      <c r="AS25" s="781"/>
      <c r="AT25" s="776" t="s">
        <v>75</v>
      </c>
      <c r="AU25" s="776"/>
      <c r="AV25" s="776"/>
      <c r="AW25" s="776"/>
      <c r="AX25" s="776"/>
      <c r="AY25" s="776"/>
    </row>
  </sheetData>
  <sheetProtection/>
  <mergeCells count="56">
    <mergeCell ref="A1:AW1"/>
    <mergeCell ref="AX1:AY1"/>
    <mergeCell ref="A2:AW2"/>
    <mergeCell ref="AX2:AY2"/>
    <mergeCell ref="A3:AW4"/>
    <mergeCell ref="AX3:AY3"/>
    <mergeCell ref="AX4:AY4"/>
    <mergeCell ref="A5:AG5"/>
    <mergeCell ref="AH5:AU10"/>
    <mergeCell ref="AV5:AV12"/>
    <mergeCell ref="AW5:AW12"/>
    <mergeCell ref="AX5:AX12"/>
    <mergeCell ref="AY5:AY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M11:M12"/>
    <mergeCell ref="N11:N12"/>
    <mergeCell ref="O11:S11"/>
    <mergeCell ref="T11:T12"/>
    <mergeCell ref="U11:U12"/>
    <mergeCell ref="V11:AG11"/>
    <mergeCell ref="AH11:AS11"/>
    <mergeCell ref="AT11:AU11"/>
    <mergeCell ref="A23:C25"/>
    <mergeCell ref="D23:I23"/>
    <mergeCell ref="J23:O25"/>
    <mergeCell ref="P23:U23"/>
    <mergeCell ref="V23:AC23"/>
    <mergeCell ref="AD23:AO23"/>
    <mergeCell ref="D25:I25"/>
    <mergeCell ref="AP23:AS25"/>
    <mergeCell ref="AT25:AY25"/>
    <mergeCell ref="AT23:AY23"/>
    <mergeCell ref="D24:I24"/>
    <mergeCell ref="P24:U24"/>
    <mergeCell ref="V24:AC24"/>
    <mergeCell ref="AD24:AO24"/>
    <mergeCell ref="AT24:AY24"/>
    <mergeCell ref="P25:U25"/>
    <mergeCell ref="V25:AC25"/>
    <mergeCell ref="AD25:AO25"/>
  </mergeCells>
  <printOptions/>
  <pageMargins left="0.7" right="0.7" top="0.75" bottom="0.75" header="0.3" footer="0.3"/>
  <pageSetup fitToHeight="1" fitToWidth="1" horizontalDpi="600" verticalDpi="600" orientation="landscape" scale="17" r:id="rId4"/>
  <drawing r:id="rId3"/>
  <legacyDrawing r:id="rId2"/>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AY22"/>
  <sheetViews>
    <sheetView view="pageBreakPreview" zoomScale="60" zoomScaleNormal="80" zoomScalePageLayoutView="0" workbookViewId="0" topLeftCell="A1">
      <selection activeCell="AT13" sqref="AT13"/>
    </sheetView>
  </sheetViews>
  <sheetFormatPr defaultColWidth="10.8515625" defaultRowHeight="15"/>
  <cols>
    <col min="1" max="1" width="19.28125" style="113" customWidth="1"/>
    <col min="2" max="2" width="10.00390625" style="113" customWidth="1"/>
    <col min="3" max="3" width="17.28125" style="113" customWidth="1"/>
    <col min="4" max="6" width="8.28125" style="113" customWidth="1"/>
    <col min="7" max="8" width="14.7109375" style="113" customWidth="1"/>
    <col min="9" max="9" width="36.421875" style="113" customWidth="1"/>
    <col min="10" max="10" width="29.28125" style="113" customWidth="1"/>
    <col min="11" max="11" width="16.8515625" style="113" customWidth="1"/>
    <col min="12" max="12" width="15.28125" style="113" customWidth="1"/>
    <col min="13" max="13" width="12.7109375" style="113" customWidth="1"/>
    <col min="14" max="14" width="27.421875" style="113" customWidth="1"/>
    <col min="15" max="19" width="8.7109375" style="113" customWidth="1"/>
    <col min="20" max="20" width="22.28125" style="113" customWidth="1"/>
    <col min="21" max="21" width="19.8515625" style="113" customWidth="1"/>
    <col min="22" max="45" width="8.28125" style="113" customWidth="1"/>
    <col min="46" max="46" width="17.140625" style="113" customWidth="1"/>
    <col min="47" max="47" width="15.8515625" style="217" customWidth="1"/>
    <col min="48" max="49" width="55.8515625" style="113" customWidth="1"/>
    <col min="50" max="51" width="27.7109375" style="113" customWidth="1"/>
    <col min="52" max="16384" width="10.8515625" style="113" customWidth="1"/>
  </cols>
  <sheetData>
    <row r="1" spans="1:51" ht="15.75" customHeight="1">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1025" t="s">
        <v>423</v>
      </c>
      <c r="AY1" s="1026"/>
    </row>
    <row r="2" spans="1:51" ht="15.75" customHeight="1">
      <c r="A2" s="1109" t="s">
        <v>17</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1"/>
      <c r="AX2" s="1028" t="s">
        <v>418</v>
      </c>
      <c r="AY2" s="1029"/>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1028" t="s">
        <v>424</v>
      </c>
      <c r="AY3" s="1029"/>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791</v>
      </c>
      <c r="AY4" s="758"/>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96" t="s">
        <v>71</v>
      </c>
      <c r="B6" s="796"/>
      <c r="C6" s="796"/>
      <c r="D6" s="1085">
        <v>45146</v>
      </c>
      <c r="E6" s="797"/>
      <c r="F6" s="787" t="s">
        <v>67</v>
      </c>
      <c r="G6" s="789"/>
      <c r="H6" s="1127" t="s">
        <v>70</v>
      </c>
      <c r="I6" s="1127"/>
      <c r="J6" s="121"/>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1126"/>
      <c r="AJ6" s="1126"/>
      <c r="AK6" s="1126"/>
      <c r="AL6" s="1126"/>
      <c r="AM6" s="1126"/>
      <c r="AN6" s="1126"/>
      <c r="AO6" s="1126"/>
      <c r="AP6" s="1126"/>
      <c r="AQ6" s="1126"/>
      <c r="AR6" s="1126"/>
      <c r="AS6" s="1126"/>
      <c r="AT6" s="1126"/>
      <c r="AU6" s="792"/>
      <c r="AV6" s="785"/>
      <c r="AW6" s="785"/>
      <c r="AX6" s="785"/>
      <c r="AY6" s="785"/>
    </row>
    <row r="7" spans="1:51" ht="15" customHeight="1">
      <c r="A7" s="796"/>
      <c r="B7" s="796"/>
      <c r="C7" s="796"/>
      <c r="D7" s="797"/>
      <c r="E7" s="797"/>
      <c r="F7" s="790"/>
      <c r="G7" s="792"/>
      <c r="H7" s="1127" t="s">
        <v>68</v>
      </c>
      <c r="I7" s="1127"/>
      <c r="J7" s="121"/>
      <c r="K7" s="790"/>
      <c r="L7" s="1126"/>
      <c r="M7" s="1126"/>
      <c r="N7" s="1126"/>
      <c r="O7" s="1126"/>
      <c r="P7" s="1126"/>
      <c r="Q7" s="1126"/>
      <c r="R7" s="1126"/>
      <c r="S7" s="1126"/>
      <c r="T7" s="1126"/>
      <c r="U7" s="1126"/>
      <c r="V7" s="231"/>
      <c r="W7" s="231"/>
      <c r="X7" s="231"/>
      <c r="Y7" s="231"/>
      <c r="Z7" s="231"/>
      <c r="AA7" s="231"/>
      <c r="AB7" s="231"/>
      <c r="AC7" s="231"/>
      <c r="AD7" s="231"/>
      <c r="AE7" s="231"/>
      <c r="AF7" s="231"/>
      <c r="AG7" s="117"/>
      <c r="AH7" s="790"/>
      <c r="AI7" s="1126"/>
      <c r="AJ7" s="1126"/>
      <c r="AK7" s="1126"/>
      <c r="AL7" s="1126"/>
      <c r="AM7" s="1126"/>
      <c r="AN7" s="1126"/>
      <c r="AO7" s="1126"/>
      <c r="AP7" s="1126"/>
      <c r="AQ7" s="1126"/>
      <c r="AR7" s="1126"/>
      <c r="AS7" s="1126"/>
      <c r="AT7" s="1126"/>
      <c r="AU7" s="792"/>
      <c r="AV7" s="785"/>
      <c r="AW7" s="785"/>
      <c r="AX7" s="785"/>
      <c r="AY7" s="785"/>
    </row>
    <row r="8" spans="1:51" ht="15" customHeight="1">
      <c r="A8" s="796"/>
      <c r="B8" s="796"/>
      <c r="C8" s="796"/>
      <c r="D8" s="797"/>
      <c r="E8" s="797"/>
      <c r="F8" s="793"/>
      <c r="G8" s="795"/>
      <c r="H8" s="1127" t="s">
        <v>69</v>
      </c>
      <c r="I8" s="1127"/>
      <c r="J8" s="121" t="s">
        <v>425</v>
      </c>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1126"/>
      <c r="AJ8" s="1126"/>
      <c r="AK8" s="1126"/>
      <c r="AL8" s="1126"/>
      <c r="AM8" s="1126"/>
      <c r="AN8" s="1126"/>
      <c r="AO8" s="1126"/>
      <c r="AP8" s="1126"/>
      <c r="AQ8" s="1126"/>
      <c r="AR8" s="1126"/>
      <c r="AS8" s="1126"/>
      <c r="AT8" s="1126"/>
      <c r="AU8" s="792"/>
      <c r="AV8" s="785"/>
      <c r="AW8" s="785"/>
      <c r="AX8" s="785"/>
      <c r="AY8" s="785"/>
    </row>
    <row r="9" spans="1:51" ht="15" customHeight="1">
      <c r="A9" s="765" t="s">
        <v>399</v>
      </c>
      <c r="B9" s="766"/>
      <c r="C9" s="767"/>
      <c r="D9" s="801"/>
      <c r="E9" s="802"/>
      <c r="F9" s="802"/>
      <c r="G9" s="802"/>
      <c r="H9" s="802"/>
      <c r="I9" s="802"/>
      <c r="J9" s="802"/>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1126"/>
      <c r="AJ9" s="1126"/>
      <c r="AK9" s="1126"/>
      <c r="AL9" s="1126"/>
      <c r="AM9" s="1126"/>
      <c r="AN9" s="1126"/>
      <c r="AO9" s="1126"/>
      <c r="AP9" s="1126"/>
      <c r="AQ9" s="1126"/>
      <c r="AR9" s="1126"/>
      <c r="AS9" s="1126"/>
      <c r="AT9" s="1126"/>
      <c r="AU9" s="792"/>
      <c r="AV9" s="785"/>
      <c r="AW9" s="785"/>
      <c r="AX9" s="785"/>
      <c r="AY9" s="785"/>
    </row>
    <row r="10" spans="1:51" ht="15" customHeight="1">
      <c r="A10" s="798" t="s">
        <v>287</v>
      </c>
      <c r="B10" s="799"/>
      <c r="C10" s="800"/>
      <c r="D10" s="805" t="s">
        <v>500</v>
      </c>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39.7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292" t="s">
        <v>169</v>
      </c>
      <c r="B12" s="292" t="s">
        <v>170</v>
      </c>
      <c r="C12" s="292" t="s">
        <v>171</v>
      </c>
      <c r="D12" s="292" t="s">
        <v>178</v>
      </c>
      <c r="E12" s="292" t="s">
        <v>185</v>
      </c>
      <c r="F12" s="292" t="s">
        <v>186</v>
      </c>
      <c r="G12" s="292" t="s">
        <v>277</v>
      </c>
      <c r="H12" s="292" t="s">
        <v>184</v>
      </c>
      <c r="I12" s="778"/>
      <c r="J12" s="778"/>
      <c r="K12" s="778"/>
      <c r="L12" s="778"/>
      <c r="M12" s="778"/>
      <c r="N12" s="778"/>
      <c r="O12" s="292">
        <v>2020</v>
      </c>
      <c r="P12" s="292">
        <v>2021</v>
      </c>
      <c r="Q12" s="292">
        <v>2022</v>
      </c>
      <c r="R12" s="292">
        <v>2023</v>
      </c>
      <c r="S12" s="292">
        <v>2024</v>
      </c>
      <c r="T12" s="778"/>
      <c r="U12" s="778"/>
      <c r="V12" s="230" t="s">
        <v>39</v>
      </c>
      <c r="W12" s="230" t="s">
        <v>40</v>
      </c>
      <c r="X12" s="230" t="s">
        <v>41</v>
      </c>
      <c r="Y12" s="230" t="s">
        <v>42</v>
      </c>
      <c r="Z12" s="230" t="s">
        <v>43</v>
      </c>
      <c r="AA12" s="230" t="s">
        <v>44</v>
      </c>
      <c r="AB12" s="230" t="s">
        <v>45</v>
      </c>
      <c r="AC12" s="230" t="s">
        <v>46</v>
      </c>
      <c r="AD12" s="230" t="s">
        <v>47</v>
      </c>
      <c r="AE12" s="230" t="s">
        <v>48</v>
      </c>
      <c r="AF12" s="230" t="s">
        <v>49</v>
      </c>
      <c r="AG12" s="230" t="s">
        <v>50</v>
      </c>
      <c r="AH12" s="230" t="s">
        <v>39</v>
      </c>
      <c r="AI12" s="230" t="s">
        <v>40</v>
      </c>
      <c r="AJ12" s="230" t="s">
        <v>41</v>
      </c>
      <c r="AK12" s="230" t="s">
        <v>42</v>
      </c>
      <c r="AL12" s="230" t="s">
        <v>43</v>
      </c>
      <c r="AM12" s="230" t="s">
        <v>44</v>
      </c>
      <c r="AN12" s="230" t="s">
        <v>45</v>
      </c>
      <c r="AO12" s="230" t="s">
        <v>46</v>
      </c>
      <c r="AP12" s="230" t="s">
        <v>47</v>
      </c>
      <c r="AQ12" s="230" t="s">
        <v>48</v>
      </c>
      <c r="AR12" s="230" t="s">
        <v>49</v>
      </c>
      <c r="AS12" s="230" t="s">
        <v>50</v>
      </c>
      <c r="AT12" s="292" t="s">
        <v>413</v>
      </c>
      <c r="AU12" s="216" t="s">
        <v>88</v>
      </c>
      <c r="AV12" s="778"/>
      <c r="AW12" s="778"/>
      <c r="AX12" s="778"/>
      <c r="AY12" s="778"/>
    </row>
    <row r="13" spans="1:51" ht="158.25" customHeight="1">
      <c r="A13" s="310"/>
      <c r="B13" s="121"/>
      <c r="C13" s="121"/>
      <c r="D13" s="121"/>
      <c r="E13" s="451" t="s">
        <v>425</v>
      </c>
      <c r="F13" s="121"/>
      <c r="G13" s="383" t="s">
        <v>720</v>
      </c>
      <c r="H13" s="121"/>
      <c r="I13" s="232" t="s">
        <v>721</v>
      </c>
      <c r="J13" s="402" t="s">
        <v>722</v>
      </c>
      <c r="K13" s="384" t="s">
        <v>453</v>
      </c>
      <c r="L13" s="122"/>
      <c r="M13" s="384" t="s">
        <v>431</v>
      </c>
      <c r="N13" s="402" t="s">
        <v>723</v>
      </c>
      <c r="O13" s="123"/>
      <c r="P13" s="123"/>
      <c r="Q13" s="123"/>
      <c r="R13" s="385">
        <v>1</v>
      </c>
      <c r="S13" s="123"/>
      <c r="T13" s="386" t="s">
        <v>433</v>
      </c>
      <c r="U13" s="403" t="s">
        <v>724</v>
      </c>
      <c r="V13" s="124"/>
      <c r="W13" s="124"/>
      <c r="X13" s="307">
        <v>1</v>
      </c>
      <c r="Y13" s="124"/>
      <c r="Z13" s="124"/>
      <c r="AA13" s="307">
        <v>1</v>
      </c>
      <c r="AB13" s="124"/>
      <c r="AC13" s="124"/>
      <c r="AD13" s="307">
        <v>1</v>
      </c>
      <c r="AE13" s="124"/>
      <c r="AF13" s="124"/>
      <c r="AG13" s="307">
        <v>1</v>
      </c>
      <c r="AH13" s="124"/>
      <c r="AI13" s="124"/>
      <c r="AJ13" s="127">
        <v>1</v>
      </c>
      <c r="AK13" s="124"/>
      <c r="AL13" s="124"/>
      <c r="AM13" s="465">
        <v>1</v>
      </c>
      <c r="AN13" s="124"/>
      <c r="AO13" s="124"/>
      <c r="AP13" s="124"/>
      <c r="AQ13" s="124"/>
      <c r="AR13" s="124"/>
      <c r="AS13" s="124"/>
      <c r="AT13" s="127">
        <f aca="true" t="shared" si="0" ref="AT13:AT18">AVERAGE(AH13:AS13)</f>
        <v>1</v>
      </c>
      <c r="AU13" s="379">
        <f aca="true" t="shared" si="1" ref="AU13:AU18">+(SUM(AH13:AS13)/+SUM(V13:AG13))</f>
        <v>0.5</v>
      </c>
      <c r="AV13" s="474" t="s">
        <v>856</v>
      </c>
      <c r="AW13" s="477" t="s">
        <v>953</v>
      </c>
      <c r="AX13" s="468" t="s">
        <v>450</v>
      </c>
      <c r="AY13" s="468" t="s">
        <v>450</v>
      </c>
    </row>
    <row r="14" spans="1:51" ht="124.5" customHeight="1">
      <c r="A14" s="310"/>
      <c r="B14" s="121"/>
      <c r="C14" s="121"/>
      <c r="D14" s="121"/>
      <c r="E14" s="451" t="s">
        <v>425</v>
      </c>
      <c r="F14" s="121"/>
      <c r="G14" s="383" t="s">
        <v>720</v>
      </c>
      <c r="H14" s="121"/>
      <c r="I14" s="232" t="s">
        <v>725</v>
      </c>
      <c r="J14" s="402" t="s">
        <v>726</v>
      </c>
      <c r="K14" s="384" t="s">
        <v>453</v>
      </c>
      <c r="L14" s="124"/>
      <c r="M14" s="384" t="s">
        <v>431</v>
      </c>
      <c r="N14" s="402" t="s">
        <v>727</v>
      </c>
      <c r="O14" s="124"/>
      <c r="P14" s="124"/>
      <c r="Q14" s="124"/>
      <c r="R14" s="385">
        <v>1</v>
      </c>
      <c r="S14" s="124"/>
      <c r="T14" s="386" t="s">
        <v>433</v>
      </c>
      <c r="U14" s="402" t="s">
        <v>728</v>
      </c>
      <c r="V14" s="124"/>
      <c r="W14" s="124"/>
      <c r="X14" s="307">
        <v>1</v>
      </c>
      <c r="Y14" s="124"/>
      <c r="Z14" s="124"/>
      <c r="AA14" s="307">
        <v>1</v>
      </c>
      <c r="AB14" s="124"/>
      <c r="AC14" s="124"/>
      <c r="AD14" s="307">
        <v>1</v>
      </c>
      <c r="AE14" s="124"/>
      <c r="AF14" s="124"/>
      <c r="AG14" s="307">
        <v>1</v>
      </c>
      <c r="AH14" s="124"/>
      <c r="AI14" s="124"/>
      <c r="AJ14" s="127">
        <v>1</v>
      </c>
      <c r="AK14" s="124"/>
      <c r="AL14" s="124"/>
      <c r="AM14" s="465">
        <v>1</v>
      </c>
      <c r="AN14" s="124"/>
      <c r="AO14" s="124"/>
      <c r="AP14" s="124"/>
      <c r="AQ14" s="124"/>
      <c r="AR14" s="124"/>
      <c r="AS14" s="124"/>
      <c r="AT14" s="465">
        <f t="shared" si="0"/>
        <v>1</v>
      </c>
      <c r="AU14" s="379">
        <f t="shared" si="1"/>
        <v>0.5</v>
      </c>
      <c r="AV14" s="474" t="s">
        <v>856</v>
      </c>
      <c r="AW14" s="477" t="s">
        <v>954</v>
      </c>
      <c r="AX14" s="468" t="s">
        <v>450</v>
      </c>
      <c r="AY14" s="468" t="s">
        <v>450</v>
      </c>
    </row>
    <row r="15" spans="1:51" ht="124.5" customHeight="1">
      <c r="A15" s="310"/>
      <c r="B15" s="121"/>
      <c r="C15" s="121"/>
      <c r="D15" s="121"/>
      <c r="E15" s="451" t="s">
        <v>425</v>
      </c>
      <c r="F15" s="121"/>
      <c r="G15" s="383" t="s">
        <v>720</v>
      </c>
      <c r="H15" s="121"/>
      <c r="I15" s="232" t="s">
        <v>729</v>
      </c>
      <c r="J15" s="402" t="s">
        <v>730</v>
      </c>
      <c r="K15" s="384" t="s">
        <v>453</v>
      </c>
      <c r="L15" s="124"/>
      <c r="M15" s="384" t="s">
        <v>431</v>
      </c>
      <c r="N15" s="402" t="s">
        <v>731</v>
      </c>
      <c r="O15" s="124"/>
      <c r="P15" s="124"/>
      <c r="Q15" s="124"/>
      <c r="R15" s="385">
        <v>1</v>
      </c>
      <c r="S15" s="124"/>
      <c r="T15" s="386" t="s">
        <v>433</v>
      </c>
      <c r="U15" s="402" t="s">
        <v>732</v>
      </c>
      <c r="V15" s="124"/>
      <c r="W15" s="124"/>
      <c r="X15" s="307">
        <v>1</v>
      </c>
      <c r="Y15" s="124"/>
      <c r="Z15" s="124"/>
      <c r="AA15" s="307">
        <v>1</v>
      </c>
      <c r="AB15" s="124"/>
      <c r="AC15" s="124"/>
      <c r="AD15" s="307">
        <v>1</v>
      </c>
      <c r="AE15" s="124"/>
      <c r="AF15" s="124"/>
      <c r="AG15" s="307">
        <v>1</v>
      </c>
      <c r="AH15" s="124"/>
      <c r="AI15" s="124"/>
      <c r="AJ15" s="127">
        <v>1</v>
      </c>
      <c r="AK15" s="124"/>
      <c r="AL15" s="124"/>
      <c r="AM15" s="465">
        <v>1</v>
      </c>
      <c r="AN15" s="124"/>
      <c r="AO15" s="124"/>
      <c r="AP15" s="124"/>
      <c r="AQ15" s="124"/>
      <c r="AR15" s="124"/>
      <c r="AS15" s="124"/>
      <c r="AT15" s="465">
        <f t="shared" si="0"/>
        <v>1</v>
      </c>
      <c r="AU15" s="379">
        <f t="shared" si="1"/>
        <v>0.5</v>
      </c>
      <c r="AV15" s="474" t="s">
        <v>856</v>
      </c>
      <c r="AW15" s="477" t="s">
        <v>955</v>
      </c>
      <c r="AX15" s="468" t="s">
        <v>450</v>
      </c>
      <c r="AY15" s="468" t="s">
        <v>450</v>
      </c>
    </row>
    <row r="16" spans="1:51" ht="124.5" customHeight="1">
      <c r="A16" s="310"/>
      <c r="B16" s="121"/>
      <c r="C16" s="121"/>
      <c r="D16" s="121"/>
      <c r="E16" s="451" t="s">
        <v>425</v>
      </c>
      <c r="F16" s="121"/>
      <c r="G16" s="383" t="s">
        <v>720</v>
      </c>
      <c r="H16" s="121"/>
      <c r="I16" s="232" t="s">
        <v>733</v>
      </c>
      <c r="J16" s="402" t="s">
        <v>734</v>
      </c>
      <c r="K16" s="384" t="s">
        <v>735</v>
      </c>
      <c r="L16" s="124"/>
      <c r="M16" s="384" t="s">
        <v>431</v>
      </c>
      <c r="N16" s="402" t="s">
        <v>736</v>
      </c>
      <c r="O16" s="124"/>
      <c r="P16" s="124"/>
      <c r="Q16" s="124"/>
      <c r="R16" s="385">
        <v>1</v>
      </c>
      <c r="S16" s="124"/>
      <c r="T16" s="386" t="s">
        <v>433</v>
      </c>
      <c r="U16" s="402" t="s">
        <v>737</v>
      </c>
      <c r="V16" s="124"/>
      <c r="W16" s="124"/>
      <c r="X16" s="307">
        <v>1</v>
      </c>
      <c r="Y16" s="124"/>
      <c r="Z16" s="124"/>
      <c r="AA16" s="307">
        <v>1</v>
      </c>
      <c r="AB16" s="124"/>
      <c r="AC16" s="124"/>
      <c r="AD16" s="307">
        <v>1</v>
      </c>
      <c r="AE16" s="124"/>
      <c r="AF16" s="124"/>
      <c r="AG16" s="307">
        <v>1</v>
      </c>
      <c r="AH16" s="124"/>
      <c r="AI16" s="124"/>
      <c r="AJ16" s="127">
        <v>1</v>
      </c>
      <c r="AK16" s="124"/>
      <c r="AL16" s="124"/>
      <c r="AM16" s="465">
        <v>1</v>
      </c>
      <c r="AN16" s="124"/>
      <c r="AO16" s="124"/>
      <c r="AP16" s="124"/>
      <c r="AQ16" s="124"/>
      <c r="AR16" s="124"/>
      <c r="AS16" s="124"/>
      <c r="AT16" s="465">
        <f t="shared" si="0"/>
        <v>1</v>
      </c>
      <c r="AU16" s="379">
        <f t="shared" si="1"/>
        <v>0.5</v>
      </c>
      <c r="AV16" s="474" t="s">
        <v>856</v>
      </c>
      <c r="AW16" s="467" t="s">
        <v>956</v>
      </c>
      <c r="AX16" s="468" t="s">
        <v>450</v>
      </c>
      <c r="AY16" s="468" t="s">
        <v>450</v>
      </c>
    </row>
    <row r="17" spans="1:51" ht="124.5" customHeight="1">
      <c r="A17" s="310"/>
      <c r="B17" s="121"/>
      <c r="C17" s="121"/>
      <c r="D17" s="121"/>
      <c r="E17" s="451" t="s">
        <v>425</v>
      </c>
      <c r="F17" s="121"/>
      <c r="G17" s="383" t="s">
        <v>720</v>
      </c>
      <c r="H17" s="121"/>
      <c r="I17" s="232" t="s">
        <v>738</v>
      </c>
      <c r="J17" s="402" t="s">
        <v>739</v>
      </c>
      <c r="K17" s="384" t="s">
        <v>735</v>
      </c>
      <c r="L17" s="124"/>
      <c r="M17" s="384" t="s">
        <v>431</v>
      </c>
      <c r="N17" s="402" t="s">
        <v>740</v>
      </c>
      <c r="O17" s="124"/>
      <c r="P17" s="124"/>
      <c r="Q17" s="124"/>
      <c r="R17" s="385">
        <v>1</v>
      </c>
      <c r="S17" s="124"/>
      <c r="T17" s="386" t="s">
        <v>433</v>
      </c>
      <c r="U17" s="402" t="s">
        <v>741</v>
      </c>
      <c r="V17" s="124"/>
      <c r="W17" s="124"/>
      <c r="X17" s="307">
        <v>1</v>
      </c>
      <c r="Y17" s="124"/>
      <c r="Z17" s="124"/>
      <c r="AA17" s="307">
        <v>1</v>
      </c>
      <c r="AB17" s="124"/>
      <c r="AC17" s="124"/>
      <c r="AD17" s="307">
        <v>1</v>
      </c>
      <c r="AE17" s="124"/>
      <c r="AF17" s="124"/>
      <c r="AG17" s="307">
        <v>1</v>
      </c>
      <c r="AH17" s="124"/>
      <c r="AI17" s="124"/>
      <c r="AJ17" s="127">
        <v>1</v>
      </c>
      <c r="AK17" s="124"/>
      <c r="AL17" s="124"/>
      <c r="AM17" s="465">
        <v>1</v>
      </c>
      <c r="AN17" s="124"/>
      <c r="AO17" s="124"/>
      <c r="AP17" s="124"/>
      <c r="AQ17" s="124"/>
      <c r="AR17" s="124"/>
      <c r="AS17" s="124"/>
      <c r="AT17" s="465">
        <f t="shared" si="0"/>
        <v>1</v>
      </c>
      <c r="AU17" s="379">
        <f t="shared" si="1"/>
        <v>0.5</v>
      </c>
      <c r="AV17" s="474" t="s">
        <v>856</v>
      </c>
      <c r="AW17" s="477" t="s">
        <v>957</v>
      </c>
      <c r="AX17" s="468" t="s">
        <v>450</v>
      </c>
      <c r="AY17" s="468" t="s">
        <v>450</v>
      </c>
    </row>
    <row r="18" spans="1:51" ht="124.5" customHeight="1">
      <c r="A18" s="310"/>
      <c r="B18" s="121"/>
      <c r="C18" s="121"/>
      <c r="D18" s="121"/>
      <c r="E18" s="451" t="s">
        <v>425</v>
      </c>
      <c r="F18" s="121"/>
      <c r="G18" s="383" t="s">
        <v>720</v>
      </c>
      <c r="H18" s="121"/>
      <c r="I18" s="232" t="s">
        <v>742</v>
      </c>
      <c r="J18" s="402" t="s">
        <v>743</v>
      </c>
      <c r="K18" s="384" t="s">
        <v>735</v>
      </c>
      <c r="L18" s="124"/>
      <c r="M18" s="384" t="s">
        <v>431</v>
      </c>
      <c r="N18" s="402" t="s">
        <v>744</v>
      </c>
      <c r="O18" s="124"/>
      <c r="P18" s="124"/>
      <c r="Q18" s="124"/>
      <c r="R18" s="385">
        <v>1</v>
      </c>
      <c r="S18" s="124"/>
      <c r="T18" s="386" t="s">
        <v>433</v>
      </c>
      <c r="U18" s="402" t="s">
        <v>745</v>
      </c>
      <c r="V18" s="124"/>
      <c r="W18" s="124"/>
      <c r="X18" s="307">
        <v>1</v>
      </c>
      <c r="Y18" s="124"/>
      <c r="Z18" s="124"/>
      <c r="AA18" s="307">
        <v>1</v>
      </c>
      <c r="AB18" s="124"/>
      <c r="AC18" s="124"/>
      <c r="AD18" s="307">
        <v>1</v>
      </c>
      <c r="AE18" s="124"/>
      <c r="AF18" s="124"/>
      <c r="AG18" s="307">
        <v>1</v>
      </c>
      <c r="AH18" s="124"/>
      <c r="AI18" s="124"/>
      <c r="AJ18" s="127">
        <v>1</v>
      </c>
      <c r="AK18" s="124"/>
      <c r="AL18" s="124"/>
      <c r="AM18" s="465">
        <v>1</v>
      </c>
      <c r="AN18" s="124"/>
      <c r="AO18" s="124"/>
      <c r="AP18" s="124"/>
      <c r="AQ18" s="124"/>
      <c r="AR18" s="124"/>
      <c r="AS18" s="124"/>
      <c r="AT18" s="465">
        <f t="shared" si="0"/>
        <v>1</v>
      </c>
      <c r="AU18" s="379">
        <f t="shared" si="1"/>
        <v>0.5</v>
      </c>
      <c r="AV18" s="474" t="s">
        <v>856</v>
      </c>
      <c r="AW18" s="477" t="s">
        <v>958</v>
      </c>
      <c r="AX18" s="468" t="s">
        <v>450</v>
      </c>
      <c r="AY18" s="468" t="s">
        <v>450</v>
      </c>
    </row>
    <row r="19" spans="1:51" ht="124.5" customHeight="1">
      <c r="A19" s="310"/>
      <c r="B19" s="121"/>
      <c r="C19" s="121"/>
      <c r="D19" s="121"/>
      <c r="E19" s="451" t="s">
        <v>425</v>
      </c>
      <c r="F19" s="121"/>
      <c r="G19" s="383" t="s">
        <v>720</v>
      </c>
      <c r="H19" s="121"/>
      <c r="I19" s="122" t="s">
        <v>746</v>
      </c>
      <c r="J19" s="402" t="s">
        <v>747</v>
      </c>
      <c r="K19" s="384" t="s">
        <v>430</v>
      </c>
      <c r="L19" s="124"/>
      <c r="M19" s="384" t="s">
        <v>431</v>
      </c>
      <c r="N19" s="402" t="s">
        <v>748</v>
      </c>
      <c r="O19" s="124"/>
      <c r="P19" s="124"/>
      <c r="Q19" s="124"/>
      <c r="R19" s="385">
        <v>1</v>
      </c>
      <c r="S19" s="124"/>
      <c r="T19" s="386" t="s">
        <v>433</v>
      </c>
      <c r="U19" s="402" t="s">
        <v>749</v>
      </c>
      <c r="V19" s="124"/>
      <c r="W19" s="124"/>
      <c r="X19" s="307">
        <v>0.25</v>
      </c>
      <c r="Y19" s="124"/>
      <c r="Z19" s="124"/>
      <c r="AA19" s="307">
        <v>0.25</v>
      </c>
      <c r="AB19" s="124"/>
      <c r="AC19" s="124"/>
      <c r="AD19" s="307">
        <v>0.25</v>
      </c>
      <c r="AE19" s="124"/>
      <c r="AF19" s="124"/>
      <c r="AG19" s="307">
        <v>0.25</v>
      </c>
      <c r="AH19" s="124"/>
      <c r="AI19" s="124"/>
      <c r="AJ19" s="127">
        <v>0.25</v>
      </c>
      <c r="AK19" s="124"/>
      <c r="AL19" s="124"/>
      <c r="AM19" s="465">
        <v>0.25</v>
      </c>
      <c r="AN19" s="124"/>
      <c r="AO19" s="124"/>
      <c r="AP19" s="124"/>
      <c r="AQ19" s="124"/>
      <c r="AR19" s="124"/>
      <c r="AS19" s="124"/>
      <c r="AT19" s="127">
        <f>SUM(AH19:AS19)</f>
        <v>0.5</v>
      </c>
      <c r="AU19" s="379">
        <f>+AT19/R19</f>
        <v>0.5</v>
      </c>
      <c r="AV19" s="474" t="s">
        <v>856</v>
      </c>
      <c r="AW19" s="477" t="s">
        <v>959</v>
      </c>
      <c r="AX19" s="468" t="s">
        <v>450</v>
      </c>
      <c r="AY19" s="468" t="s">
        <v>450</v>
      </c>
    </row>
    <row r="20" spans="1:51" ht="54" customHeight="1">
      <c r="A20" s="780" t="s">
        <v>64</v>
      </c>
      <c r="B20" s="780"/>
      <c r="C20" s="780"/>
      <c r="D20" s="776" t="s">
        <v>66</v>
      </c>
      <c r="E20" s="776"/>
      <c r="F20" s="776"/>
      <c r="G20" s="776"/>
      <c r="H20" s="776"/>
      <c r="I20" s="776"/>
      <c r="J20" s="781" t="s">
        <v>300</v>
      </c>
      <c r="K20" s="781"/>
      <c r="L20" s="781"/>
      <c r="M20" s="781"/>
      <c r="N20" s="781"/>
      <c r="O20" s="781"/>
      <c r="P20" s="776" t="s">
        <v>66</v>
      </c>
      <c r="Q20" s="776"/>
      <c r="R20" s="776"/>
      <c r="S20" s="776"/>
      <c r="T20" s="776"/>
      <c r="U20" s="776"/>
      <c r="V20" s="776" t="s">
        <v>66</v>
      </c>
      <c r="W20" s="776"/>
      <c r="X20" s="776"/>
      <c r="Y20" s="776"/>
      <c r="Z20" s="776"/>
      <c r="AA20" s="776"/>
      <c r="AB20" s="776"/>
      <c r="AC20" s="776"/>
      <c r="AD20" s="776" t="s">
        <v>66</v>
      </c>
      <c r="AE20" s="776"/>
      <c r="AF20" s="776"/>
      <c r="AG20" s="776"/>
      <c r="AH20" s="776"/>
      <c r="AI20" s="776"/>
      <c r="AJ20" s="776"/>
      <c r="AK20" s="776"/>
      <c r="AL20" s="776"/>
      <c r="AM20" s="776"/>
      <c r="AN20" s="776"/>
      <c r="AO20" s="776"/>
      <c r="AP20" s="781" t="s">
        <v>318</v>
      </c>
      <c r="AQ20" s="781"/>
      <c r="AR20" s="781"/>
      <c r="AS20" s="781"/>
      <c r="AT20" s="776" t="s">
        <v>13</v>
      </c>
      <c r="AU20" s="776"/>
      <c r="AV20" s="776"/>
      <c r="AW20" s="776"/>
      <c r="AX20" s="776"/>
      <c r="AY20" s="776"/>
    </row>
    <row r="21" spans="1:51" ht="30" customHeight="1">
      <c r="A21" s="780"/>
      <c r="B21" s="780"/>
      <c r="C21" s="780"/>
      <c r="D21" s="776" t="s">
        <v>803</v>
      </c>
      <c r="E21" s="776"/>
      <c r="F21" s="776"/>
      <c r="G21" s="776"/>
      <c r="H21" s="776"/>
      <c r="I21" s="776"/>
      <c r="J21" s="781"/>
      <c r="K21" s="781"/>
      <c r="L21" s="781"/>
      <c r="M21" s="781"/>
      <c r="N21" s="781"/>
      <c r="O21" s="781"/>
      <c r="P21" s="776" t="s">
        <v>805</v>
      </c>
      <c r="Q21" s="776"/>
      <c r="R21" s="776"/>
      <c r="S21" s="776"/>
      <c r="T21" s="776"/>
      <c r="U21" s="776"/>
      <c r="V21" s="776" t="s">
        <v>65</v>
      </c>
      <c r="W21" s="776"/>
      <c r="X21" s="776"/>
      <c r="Y21" s="776"/>
      <c r="Z21" s="776"/>
      <c r="AA21" s="776"/>
      <c r="AB21" s="776"/>
      <c r="AC21" s="776"/>
      <c r="AD21" s="776" t="s">
        <v>65</v>
      </c>
      <c r="AE21" s="776"/>
      <c r="AF21" s="776"/>
      <c r="AG21" s="776"/>
      <c r="AH21" s="776"/>
      <c r="AI21" s="776"/>
      <c r="AJ21" s="776"/>
      <c r="AK21" s="776"/>
      <c r="AL21" s="776"/>
      <c r="AM21" s="776"/>
      <c r="AN21" s="776"/>
      <c r="AO21" s="776"/>
      <c r="AP21" s="781"/>
      <c r="AQ21" s="781"/>
      <c r="AR21" s="781"/>
      <c r="AS21" s="781"/>
      <c r="AT21" s="776" t="s">
        <v>771</v>
      </c>
      <c r="AU21" s="776"/>
      <c r="AV21" s="776"/>
      <c r="AW21" s="776"/>
      <c r="AX21" s="776"/>
      <c r="AY21" s="776"/>
    </row>
    <row r="22" spans="1:51" ht="30" customHeight="1">
      <c r="A22" s="780"/>
      <c r="B22" s="780"/>
      <c r="C22" s="780"/>
      <c r="D22" s="776" t="s">
        <v>804</v>
      </c>
      <c r="E22" s="776"/>
      <c r="F22" s="776"/>
      <c r="G22" s="776"/>
      <c r="H22" s="776"/>
      <c r="I22" s="776"/>
      <c r="J22" s="781"/>
      <c r="K22" s="781"/>
      <c r="L22" s="781"/>
      <c r="M22" s="781"/>
      <c r="N22" s="781"/>
      <c r="O22" s="781"/>
      <c r="P22" s="776" t="s">
        <v>806</v>
      </c>
      <c r="Q22" s="776"/>
      <c r="R22" s="776"/>
      <c r="S22" s="776"/>
      <c r="T22" s="776"/>
      <c r="U22" s="776"/>
      <c r="V22" s="776" t="s">
        <v>297</v>
      </c>
      <c r="W22" s="776"/>
      <c r="X22" s="776"/>
      <c r="Y22" s="776"/>
      <c r="Z22" s="776"/>
      <c r="AA22" s="776"/>
      <c r="AB22" s="776"/>
      <c r="AC22" s="776"/>
      <c r="AD22" s="776" t="s">
        <v>297</v>
      </c>
      <c r="AE22" s="776"/>
      <c r="AF22" s="776"/>
      <c r="AG22" s="776"/>
      <c r="AH22" s="776"/>
      <c r="AI22" s="776"/>
      <c r="AJ22" s="776"/>
      <c r="AK22" s="776"/>
      <c r="AL22" s="776"/>
      <c r="AM22" s="776"/>
      <c r="AN22" s="776"/>
      <c r="AO22" s="776"/>
      <c r="AP22" s="781"/>
      <c r="AQ22" s="781"/>
      <c r="AR22" s="781"/>
      <c r="AS22" s="781"/>
      <c r="AT22" s="776" t="s">
        <v>75</v>
      </c>
      <c r="AU22" s="776"/>
      <c r="AV22" s="776"/>
      <c r="AW22" s="776"/>
      <c r="AX22" s="776"/>
      <c r="AY22" s="776"/>
    </row>
  </sheetData>
  <sheetProtection/>
  <mergeCells count="56">
    <mergeCell ref="AT22:AY22"/>
    <mergeCell ref="AT20:AY20"/>
    <mergeCell ref="D21:I21"/>
    <mergeCell ref="P21:U21"/>
    <mergeCell ref="V21:AC21"/>
    <mergeCell ref="AD21:AO21"/>
    <mergeCell ref="AT21:AY21"/>
    <mergeCell ref="P22:U22"/>
    <mergeCell ref="V22:AC22"/>
    <mergeCell ref="AD22:AO22"/>
    <mergeCell ref="AH11:AS11"/>
    <mergeCell ref="AT11:AU11"/>
    <mergeCell ref="A20:C22"/>
    <mergeCell ref="D20:I20"/>
    <mergeCell ref="J20:O22"/>
    <mergeCell ref="P20:U20"/>
    <mergeCell ref="V20:AC20"/>
    <mergeCell ref="AD20:AO20"/>
    <mergeCell ref="D22:I22"/>
    <mergeCell ref="AP20:AS22"/>
    <mergeCell ref="M11:M12"/>
    <mergeCell ref="N11:N12"/>
    <mergeCell ref="O11:S11"/>
    <mergeCell ref="T11:T12"/>
    <mergeCell ref="U11:U12"/>
    <mergeCell ref="V11:AG11"/>
    <mergeCell ref="A11:F11"/>
    <mergeCell ref="G11:H11"/>
    <mergeCell ref="I11:I12"/>
    <mergeCell ref="J11:J12"/>
    <mergeCell ref="K11:K12"/>
    <mergeCell ref="L11:L12"/>
    <mergeCell ref="K6:U8"/>
    <mergeCell ref="H7:I7"/>
    <mergeCell ref="H8:I8"/>
    <mergeCell ref="A9:C9"/>
    <mergeCell ref="D9:AG9"/>
    <mergeCell ref="A10:C10"/>
    <mergeCell ref="D10:AG10"/>
    <mergeCell ref="A5:AG5"/>
    <mergeCell ref="AH5:AU10"/>
    <mergeCell ref="AV5:AV12"/>
    <mergeCell ref="AW5:AW12"/>
    <mergeCell ref="AX5:AX12"/>
    <mergeCell ref="AY5:AY12"/>
    <mergeCell ref="A6:C8"/>
    <mergeCell ref="D6:E8"/>
    <mergeCell ref="F6:G8"/>
    <mergeCell ref="H6:I6"/>
    <mergeCell ref="A1:AW1"/>
    <mergeCell ref="AX1:AY1"/>
    <mergeCell ref="A2:AW2"/>
    <mergeCell ref="AX2:AY2"/>
    <mergeCell ref="A3:AW4"/>
    <mergeCell ref="AX3:AY3"/>
    <mergeCell ref="AX4:AY4"/>
  </mergeCells>
  <printOptions/>
  <pageMargins left="0.7" right="0.7" top="0.75" bottom="0.75" header="0.3" footer="0.3"/>
  <pageSetup fitToHeight="1" fitToWidth="1" horizontalDpi="600" verticalDpi="600" orientation="landscape" scale="16" r:id="rId3"/>
  <legacyDrawing r:id="rId2"/>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W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A1" sqref="A1:AW1"/>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1146" t="s">
        <v>20</v>
      </c>
      <c r="D1" s="1146"/>
      <c r="E1" s="1146"/>
      <c r="F1" s="1146"/>
      <c r="G1" s="1147" t="s">
        <v>22</v>
      </c>
      <c r="H1" s="1148"/>
      <c r="I1" s="1148"/>
      <c r="J1" s="1149"/>
      <c r="K1" s="1145" t="s">
        <v>23</v>
      </c>
      <c r="L1" s="1145"/>
      <c r="M1" s="1145"/>
      <c r="N1" s="1145"/>
    </row>
    <row r="2" spans="3:14" ht="15">
      <c r="C2" s="5"/>
      <c r="D2" s="5"/>
      <c r="E2" s="5"/>
      <c r="F2" s="5" t="s">
        <v>21</v>
      </c>
      <c r="G2" s="31"/>
      <c r="H2" s="5"/>
      <c r="I2" s="5"/>
      <c r="J2" s="32" t="s">
        <v>21</v>
      </c>
      <c r="K2" s="5"/>
      <c r="L2" s="5"/>
      <c r="M2" s="5"/>
      <c r="N2" s="5" t="s">
        <v>21</v>
      </c>
    </row>
    <row r="3" spans="1:14" ht="15">
      <c r="A3" s="1144"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1144"/>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1144"/>
      <c r="B5" s="6">
        <v>3</v>
      </c>
      <c r="C5" s="7">
        <v>0.05</v>
      </c>
      <c r="D5" s="7">
        <v>0.05</v>
      </c>
      <c r="E5" s="7">
        <v>0.1</v>
      </c>
      <c r="F5" s="8">
        <f>(C5+D5+E5)</f>
        <v>0.2</v>
      </c>
      <c r="G5" s="33">
        <v>0.1</v>
      </c>
      <c r="H5" s="7">
        <v>0.1</v>
      </c>
      <c r="I5" s="7">
        <v>0.1</v>
      </c>
      <c r="J5" s="34">
        <f>(G5+H5+I5)</f>
        <v>0.30000000000000004</v>
      </c>
      <c r="K5" s="25"/>
      <c r="L5" s="6"/>
      <c r="M5" s="6"/>
      <c r="N5" s="6"/>
    </row>
    <row r="6" spans="1:14" ht="15">
      <c r="A6" s="1144"/>
      <c r="B6" s="6">
        <v>4</v>
      </c>
      <c r="C6" s="7">
        <v>0.1</v>
      </c>
      <c r="D6" s="7">
        <v>0.1</v>
      </c>
      <c r="E6" s="7">
        <v>0.2</v>
      </c>
      <c r="F6" s="8">
        <f>(C6+D6+E6)</f>
        <v>0.4</v>
      </c>
      <c r="G6" s="33">
        <v>0</v>
      </c>
      <c r="H6" s="7">
        <v>0</v>
      </c>
      <c r="I6" s="7">
        <v>0.1</v>
      </c>
      <c r="J6" s="34">
        <f>(G6+H6+I6)</f>
        <v>0.1</v>
      </c>
      <c r="K6" s="25"/>
      <c r="L6" s="6"/>
      <c r="M6" s="6"/>
      <c r="N6" s="6"/>
    </row>
    <row r="7" spans="1:14" ht="15">
      <c r="A7" s="1144"/>
      <c r="B7" s="6">
        <v>5</v>
      </c>
      <c r="C7" s="7">
        <v>0</v>
      </c>
      <c r="D7" s="7">
        <v>0</v>
      </c>
      <c r="E7" s="7">
        <v>0</v>
      </c>
      <c r="F7" s="8">
        <f>(C7+D7+E7)</f>
        <v>0</v>
      </c>
      <c r="G7" s="33">
        <v>0</v>
      </c>
      <c r="H7" s="7">
        <v>0</v>
      </c>
      <c r="I7" s="7">
        <v>0</v>
      </c>
      <c r="J7" s="34">
        <f>(G7+H7+I7)</f>
        <v>0</v>
      </c>
      <c r="K7" s="25"/>
      <c r="L7" s="6"/>
      <c r="M7" s="6"/>
      <c r="N7" s="6"/>
    </row>
    <row r="8" spans="1:14" ht="15">
      <c r="A8" s="1144" t="s">
        <v>25</v>
      </c>
      <c r="B8" s="10">
        <v>6</v>
      </c>
      <c r="C8" s="11">
        <v>0.1</v>
      </c>
      <c r="D8" s="11">
        <v>0.1</v>
      </c>
      <c r="E8" s="11">
        <v>0.1</v>
      </c>
      <c r="F8" s="12">
        <f>C8+D8+E8</f>
        <v>0.30000000000000004</v>
      </c>
      <c r="G8" s="35"/>
      <c r="H8" s="10"/>
      <c r="I8" s="10"/>
      <c r="J8" s="36"/>
      <c r="K8" s="26"/>
      <c r="L8" s="10"/>
      <c r="M8" s="10"/>
      <c r="N8" s="10"/>
    </row>
    <row r="9" spans="1:14" ht="15">
      <c r="A9" s="1144"/>
      <c r="B9" s="10">
        <v>7</v>
      </c>
      <c r="C9" s="10"/>
      <c r="D9" s="10"/>
      <c r="E9" s="10"/>
      <c r="F9" s="20"/>
      <c r="G9" s="37"/>
      <c r="H9" s="10"/>
      <c r="I9" s="10"/>
      <c r="J9" s="36"/>
      <c r="K9" s="26"/>
      <c r="L9" s="10"/>
      <c r="M9" s="10"/>
      <c r="N9" s="10"/>
    </row>
    <row r="10" spans="1:14" ht="15">
      <c r="A10" s="1144"/>
      <c r="B10" s="10">
        <v>8</v>
      </c>
      <c r="C10" s="10"/>
      <c r="D10" s="10"/>
      <c r="E10" s="10"/>
      <c r="F10" s="20"/>
      <c r="G10" s="37"/>
      <c r="H10" s="10"/>
      <c r="I10" s="10"/>
      <c r="J10" s="36"/>
      <c r="K10" s="26"/>
      <c r="L10" s="10"/>
      <c r="M10" s="10"/>
      <c r="N10" s="10"/>
    </row>
    <row r="11" spans="1:14" ht="15">
      <c r="A11" s="1144"/>
      <c r="B11" s="10">
        <v>9</v>
      </c>
      <c r="C11" s="10"/>
      <c r="D11" s="10"/>
      <c r="E11" s="10"/>
      <c r="F11" s="20"/>
      <c r="G11" s="37"/>
      <c r="H11" s="10"/>
      <c r="I11" s="10"/>
      <c r="J11" s="36"/>
      <c r="K11" s="26"/>
      <c r="L11" s="10"/>
      <c r="M11" s="10"/>
      <c r="N11" s="10"/>
    </row>
    <row r="12" spans="1:14" ht="15">
      <c r="A12" s="1144" t="s">
        <v>26</v>
      </c>
      <c r="B12" s="15">
        <v>10</v>
      </c>
      <c r="C12" s="15"/>
      <c r="D12" s="15"/>
      <c r="E12" s="15"/>
      <c r="F12" s="21"/>
      <c r="G12" s="38"/>
      <c r="H12" s="15"/>
      <c r="I12" s="15"/>
      <c r="J12" s="39"/>
      <c r="K12" s="27"/>
      <c r="L12" s="15"/>
      <c r="M12" s="15"/>
      <c r="N12" s="15"/>
    </row>
    <row r="13" spans="1:14" ht="15">
      <c r="A13" s="1144"/>
      <c r="B13" s="15">
        <v>11</v>
      </c>
      <c r="C13" s="15"/>
      <c r="D13" s="15"/>
      <c r="E13" s="15"/>
      <c r="F13" s="21"/>
      <c r="G13" s="38"/>
      <c r="H13" s="15"/>
      <c r="I13" s="15"/>
      <c r="J13" s="39"/>
      <c r="K13" s="27"/>
      <c r="L13" s="15"/>
      <c r="M13" s="15"/>
      <c r="N13" s="15"/>
    </row>
    <row r="14" spans="1:14" ht="15">
      <c r="A14" s="1144"/>
      <c r="B14" s="15">
        <v>12</v>
      </c>
      <c r="C14" s="15"/>
      <c r="D14" s="15"/>
      <c r="E14" s="15"/>
      <c r="F14" s="21"/>
      <c r="G14" s="38"/>
      <c r="H14" s="15"/>
      <c r="I14" s="15"/>
      <c r="J14" s="39"/>
      <c r="K14" s="27"/>
      <c r="L14" s="15"/>
      <c r="M14" s="15"/>
      <c r="N14" s="15"/>
    </row>
    <row r="15" spans="1:14" ht="15">
      <c r="A15" s="1144"/>
      <c r="B15" s="15">
        <v>13</v>
      </c>
      <c r="C15" s="15"/>
      <c r="D15" s="15"/>
      <c r="E15" s="15"/>
      <c r="F15" s="21"/>
      <c r="G15" s="38"/>
      <c r="H15" s="15"/>
      <c r="I15" s="15"/>
      <c r="J15" s="39"/>
      <c r="K15" s="27"/>
      <c r="L15" s="15"/>
      <c r="M15" s="15"/>
      <c r="N15" s="15"/>
    </row>
    <row r="16" spans="1:14" ht="15">
      <c r="A16" s="1144" t="s">
        <v>27</v>
      </c>
      <c r="B16" s="16">
        <v>14</v>
      </c>
      <c r="C16" s="16"/>
      <c r="D16" s="16"/>
      <c r="E16" s="16"/>
      <c r="F16" s="22"/>
      <c r="G16" s="40"/>
      <c r="H16" s="16"/>
      <c r="I16" s="16"/>
      <c r="J16" s="41"/>
      <c r="K16" s="28"/>
      <c r="L16" s="16"/>
      <c r="M16" s="16"/>
      <c r="N16" s="16"/>
    </row>
    <row r="17" spans="1:14" ht="15">
      <c r="A17" s="1144"/>
      <c r="B17" s="16">
        <v>15</v>
      </c>
      <c r="C17" s="16"/>
      <c r="D17" s="16"/>
      <c r="E17" s="16"/>
      <c r="F17" s="22"/>
      <c r="G17" s="40"/>
      <c r="H17" s="16"/>
      <c r="I17" s="16"/>
      <c r="J17" s="41"/>
      <c r="K17" s="28"/>
      <c r="L17" s="16"/>
      <c r="M17" s="16"/>
      <c r="N17" s="16"/>
    </row>
    <row r="18" spans="1:14" ht="15">
      <c r="A18" s="1144"/>
      <c r="B18" s="16">
        <v>16</v>
      </c>
      <c r="C18" s="16"/>
      <c r="D18" s="16"/>
      <c r="E18" s="16"/>
      <c r="F18" s="22"/>
      <c r="G18" s="40"/>
      <c r="H18" s="16"/>
      <c r="I18" s="16"/>
      <c r="J18" s="41"/>
      <c r="K18" s="28"/>
      <c r="L18" s="16"/>
      <c r="M18" s="16"/>
      <c r="N18" s="16"/>
    </row>
    <row r="19" spans="1:14" ht="15">
      <c r="A19" s="1144" t="s">
        <v>28</v>
      </c>
      <c r="B19" s="19">
        <v>17</v>
      </c>
      <c r="C19" s="19"/>
      <c r="D19" s="19"/>
      <c r="E19" s="19"/>
      <c r="F19" s="23"/>
      <c r="G19" s="42"/>
      <c r="H19" s="19"/>
      <c r="I19" s="19"/>
      <c r="J19" s="43"/>
      <c r="K19" s="29"/>
      <c r="L19" s="19"/>
      <c r="M19" s="19"/>
      <c r="N19" s="19"/>
    </row>
    <row r="20" spans="1:14" ht="15">
      <c r="A20" s="1144"/>
      <c r="B20" s="19">
        <v>18</v>
      </c>
      <c r="C20" s="19"/>
      <c r="D20" s="19"/>
      <c r="E20" s="19"/>
      <c r="F20" s="23"/>
      <c r="G20" s="42"/>
      <c r="H20" s="19"/>
      <c r="I20" s="19"/>
      <c r="J20" s="43"/>
      <c r="K20" s="29"/>
      <c r="L20" s="19"/>
      <c r="M20" s="19"/>
      <c r="N20" s="19"/>
    </row>
    <row r="21" spans="1:14" ht="15">
      <c r="A21" s="1144"/>
      <c r="B21" s="19">
        <v>19</v>
      </c>
      <c r="C21" s="19"/>
      <c r="D21" s="19"/>
      <c r="E21" s="19"/>
      <c r="F21" s="23"/>
      <c r="G21" s="42"/>
      <c r="H21" s="19"/>
      <c r="I21" s="19"/>
      <c r="J21" s="43"/>
      <c r="K21" s="29"/>
      <c r="L21" s="19"/>
      <c r="M21" s="19"/>
      <c r="N21" s="19"/>
    </row>
    <row r="22" spans="1:14" ht="15">
      <c r="A22" s="1144"/>
      <c r="B22" s="19">
        <v>20</v>
      </c>
      <c r="C22" s="19"/>
      <c r="D22" s="19"/>
      <c r="E22" s="19"/>
      <c r="F22" s="23"/>
      <c r="G22" s="42"/>
      <c r="H22" s="19"/>
      <c r="I22" s="19"/>
      <c r="J22" s="43"/>
      <c r="K22" s="29"/>
      <c r="L22" s="19"/>
      <c r="M22" s="19"/>
      <c r="N22" s="19"/>
    </row>
    <row r="23" spans="1:14" ht="15">
      <c r="A23" s="1144" t="s">
        <v>29</v>
      </c>
      <c r="B23" s="14">
        <v>21</v>
      </c>
      <c r="C23" s="14"/>
      <c r="D23" s="14"/>
      <c r="E23" s="14"/>
      <c r="F23" s="24"/>
      <c r="G23" s="44"/>
      <c r="H23" s="14"/>
      <c r="I23" s="14"/>
      <c r="J23" s="45"/>
      <c r="K23" s="30"/>
      <c r="L23" s="14"/>
      <c r="M23" s="14"/>
      <c r="N23" s="14"/>
    </row>
    <row r="24" spans="1:14" ht="15">
      <c r="A24" s="1144"/>
      <c r="B24" s="14">
        <v>22</v>
      </c>
      <c r="C24" s="14"/>
      <c r="D24" s="14"/>
      <c r="E24" s="14"/>
      <c r="F24" s="24"/>
      <c r="G24" s="44"/>
      <c r="H24" s="14"/>
      <c r="I24" s="14"/>
      <c r="J24" s="45"/>
      <c r="K24" s="30"/>
      <c r="L24" s="14"/>
      <c r="M24" s="14"/>
      <c r="N24" s="14"/>
    </row>
    <row r="25" spans="1:14" ht="15">
      <c r="A25" s="1144"/>
      <c r="B25" s="14">
        <v>23</v>
      </c>
      <c r="C25" s="14"/>
      <c r="D25" s="14"/>
      <c r="E25" s="14"/>
      <c r="F25" s="24"/>
      <c r="G25" s="44"/>
      <c r="H25" s="14"/>
      <c r="I25" s="14"/>
      <c r="J25" s="45"/>
      <c r="K25" s="30"/>
      <c r="L25" s="14"/>
      <c r="M25" s="14"/>
      <c r="N25" s="14"/>
    </row>
    <row r="26" spans="1:14" ht="15">
      <c r="A26" s="1144"/>
      <c r="B26" s="14">
        <v>24</v>
      </c>
      <c r="C26" s="14"/>
      <c r="D26" s="14"/>
      <c r="E26" s="14"/>
      <c r="F26" s="24"/>
      <c r="G26" s="44"/>
      <c r="H26" s="14"/>
      <c r="I26" s="14"/>
      <c r="J26" s="45"/>
      <c r="K26" s="30"/>
      <c r="L26" s="14"/>
      <c r="M26" s="14"/>
      <c r="N26" s="14"/>
    </row>
    <row r="27" spans="1:14" ht="15">
      <c r="A27" s="1144" t="s">
        <v>30</v>
      </c>
      <c r="B27" s="10">
        <v>25</v>
      </c>
      <c r="C27" s="10"/>
      <c r="D27" s="10"/>
      <c r="E27" s="10"/>
      <c r="F27" s="10"/>
      <c r="G27" s="10"/>
      <c r="H27" s="10"/>
      <c r="I27" s="10"/>
      <c r="J27" s="10"/>
      <c r="K27" s="10"/>
      <c r="L27" s="10"/>
      <c r="M27" s="10"/>
      <c r="N27" s="10"/>
    </row>
    <row r="28" spans="1:14" ht="15">
      <c r="A28" s="1144"/>
      <c r="B28" s="10">
        <v>26</v>
      </c>
      <c r="C28" s="10"/>
      <c r="D28" s="10"/>
      <c r="E28" s="10"/>
      <c r="F28" s="10"/>
      <c r="G28" s="10"/>
      <c r="H28" s="10"/>
      <c r="I28" s="10"/>
      <c r="J28" s="10"/>
      <c r="K28" s="10"/>
      <c r="L28" s="10"/>
      <c r="M28" s="10"/>
      <c r="N28" s="10"/>
    </row>
    <row r="29" spans="1:14" ht="15">
      <c r="A29" s="1144"/>
      <c r="B29" s="10">
        <v>27</v>
      </c>
      <c r="C29" s="10"/>
      <c r="D29" s="10"/>
      <c r="E29" s="10"/>
      <c r="F29" s="10"/>
      <c r="G29" s="10"/>
      <c r="H29" s="10"/>
      <c r="I29" s="10"/>
      <c r="J29" s="10"/>
      <c r="K29" s="10"/>
      <c r="L29" s="10"/>
      <c r="M29" s="10"/>
      <c r="N29" s="10"/>
    </row>
    <row r="30" spans="1:14" ht="15">
      <c r="A30" s="1144"/>
      <c r="B30" s="10">
        <v>28</v>
      </c>
      <c r="C30" s="10"/>
      <c r="D30" s="10"/>
      <c r="E30" s="10"/>
      <c r="F30" s="10"/>
      <c r="G30" s="10"/>
      <c r="H30" s="10"/>
      <c r="I30" s="10"/>
      <c r="J30" s="10"/>
      <c r="K30" s="10"/>
      <c r="L30" s="10"/>
      <c r="M30" s="10"/>
      <c r="N30" s="10"/>
    </row>
    <row r="31" spans="1:14" ht="15">
      <c r="A31" s="1144"/>
      <c r="B31" s="10">
        <v>29</v>
      </c>
      <c r="C31" s="10"/>
      <c r="D31" s="10"/>
      <c r="E31" s="10"/>
      <c r="F31" s="10"/>
      <c r="G31" s="10"/>
      <c r="H31" s="10"/>
      <c r="I31" s="10"/>
      <c r="J31" s="10"/>
      <c r="K31" s="10"/>
      <c r="L31" s="10"/>
      <c r="M31" s="10"/>
      <c r="N31" s="10"/>
    </row>
    <row r="32" spans="1:14" ht="15">
      <c r="A32" s="1144" t="s">
        <v>31</v>
      </c>
      <c r="B32" s="17">
        <v>30</v>
      </c>
      <c r="C32" s="17"/>
      <c r="D32" s="17"/>
      <c r="E32" s="17"/>
      <c r="F32" s="17"/>
      <c r="G32" s="17"/>
      <c r="H32" s="17"/>
      <c r="I32" s="17"/>
      <c r="J32" s="17"/>
      <c r="K32" s="17"/>
      <c r="L32" s="17"/>
      <c r="M32" s="17"/>
      <c r="N32" s="17"/>
    </row>
    <row r="33" spans="1:14" ht="15">
      <c r="A33" s="1144"/>
      <c r="B33" s="17">
        <v>31</v>
      </c>
      <c r="C33" s="17"/>
      <c r="D33" s="17"/>
      <c r="E33" s="17"/>
      <c r="F33" s="17"/>
      <c r="G33" s="17"/>
      <c r="H33" s="17"/>
      <c r="I33" s="17"/>
      <c r="J33" s="17"/>
      <c r="K33" s="17"/>
      <c r="L33" s="17"/>
      <c r="M33" s="17"/>
      <c r="N33" s="17"/>
    </row>
    <row r="34" spans="1:14" ht="15">
      <c r="A34" s="1144"/>
      <c r="B34" s="17">
        <v>32</v>
      </c>
      <c r="C34" s="17"/>
      <c r="D34" s="17"/>
      <c r="E34" s="17"/>
      <c r="F34" s="17"/>
      <c r="G34" s="17"/>
      <c r="H34" s="17"/>
      <c r="I34" s="17"/>
      <c r="J34" s="17"/>
      <c r="K34" s="17"/>
      <c r="L34" s="17"/>
      <c r="M34" s="17"/>
      <c r="N34" s="17"/>
    </row>
    <row r="35" spans="1:14" ht="15">
      <c r="A35" s="1144" t="s">
        <v>32</v>
      </c>
      <c r="B35" s="18">
        <v>33</v>
      </c>
      <c r="C35" s="15"/>
      <c r="D35" s="15"/>
      <c r="E35" s="15"/>
      <c r="F35" s="15"/>
      <c r="G35" s="15"/>
      <c r="H35" s="15"/>
      <c r="I35" s="15"/>
      <c r="J35" s="15"/>
      <c r="K35" s="15"/>
      <c r="L35" s="15"/>
      <c r="M35" s="15"/>
      <c r="N35" s="15"/>
    </row>
    <row r="36" spans="1:14" ht="15">
      <c r="A36" s="1144"/>
      <c r="B36" s="15">
        <v>34</v>
      </c>
      <c r="C36" s="15"/>
      <c r="D36" s="15"/>
      <c r="E36" s="15"/>
      <c r="F36" s="15"/>
      <c r="G36" s="15"/>
      <c r="H36" s="15"/>
      <c r="I36" s="15"/>
      <c r="J36" s="15"/>
      <c r="K36" s="15"/>
      <c r="L36" s="15"/>
      <c r="M36" s="15"/>
      <c r="N36" s="15"/>
    </row>
    <row r="37" spans="1:14" ht="15">
      <c r="A37" s="1144"/>
      <c r="B37" s="46">
        <v>35</v>
      </c>
      <c r="C37" s="15"/>
      <c r="D37" s="15"/>
      <c r="E37" s="15"/>
      <c r="F37" s="15"/>
      <c r="G37" s="15"/>
      <c r="H37" s="15"/>
      <c r="I37" s="15"/>
      <c r="J37" s="15"/>
      <c r="K37" s="15"/>
      <c r="L37" s="15"/>
      <c r="M37" s="15"/>
      <c r="N37" s="15"/>
    </row>
    <row r="38" spans="1:14" ht="15">
      <c r="A38" s="1144" t="s">
        <v>33</v>
      </c>
      <c r="B38" s="9">
        <v>36</v>
      </c>
      <c r="C38" s="9"/>
      <c r="D38" s="9"/>
      <c r="E38" s="9"/>
      <c r="F38" s="9"/>
      <c r="G38" s="9"/>
      <c r="H38" s="9"/>
      <c r="I38" s="9"/>
      <c r="J38" s="9"/>
      <c r="K38" s="9"/>
      <c r="L38" s="9"/>
      <c r="M38" s="9"/>
      <c r="N38" s="9"/>
    </row>
    <row r="39" spans="1:14" ht="15">
      <c r="A39" s="1144"/>
      <c r="B39" s="9">
        <v>37</v>
      </c>
      <c r="C39" s="9"/>
      <c r="D39" s="9"/>
      <c r="E39" s="9"/>
      <c r="F39" s="9"/>
      <c r="G39" s="9"/>
      <c r="H39" s="9"/>
      <c r="I39" s="9"/>
      <c r="J39" s="9"/>
      <c r="K39" s="9"/>
      <c r="L39" s="9"/>
      <c r="M39" s="9"/>
      <c r="N39" s="9"/>
    </row>
    <row r="40" spans="1:14" ht="15">
      <c r="A40" s="1144"/>
      <c r="B40" s="9">
        <v>38</v>
      </c>
      <c r="C40" s="9"/>
      <c r="D40" s="9"/>
      <c r="E40" s="9"/>
      <c r="F40" s="9"/>
      <c r="G40" s="9"/>
      <c r="H40" s="9"/>
      <c r="I40" s="9"/>
      <c r="J40" s="9"/>
      <c r="K40" s="9"/>
      <c r="L40" s="9"/>
      <c r="M40" s="9"/>
      <c r="N40" s="9"/>
    </row>
    <row r="41" spans="1:14" ht="15">
      <c r="A41" s="1150" t="s">
        <v>34</v>
      </c>
      <c r="B41" s="47">
        <v>39</v>
      </c>
      <c r="C41" s="48"/>
      <c r="D41" s="48"/>
      <c r="E41" s="48"/>
      <c r="F41" s="48"/>
      <c r="G41" s="48"/>
      <c r="H41" s="48"/>
      <c r="I41" s="48"/>
      <c r="J41" s="48"/>
      <c r="K41" s="48"/>
      <c r="L41" s="48"/>
      <c r="M41" s="48"/>
      <c r="N41" s="48"/>
    </row>
    <row r="42" spans="1:14" ht="15">
      <c r="A42" s="1150"/>
      <c r="B42" s="48">
        <v>40</v>
      </c>
      <c r="C42" s="48"/>
      <c r="D42" s="48"/>
      <c r="E42" s="48"/>
      <c r="F42" s="48"/>
      <c r="G42" s="48"/>
      <c r="H42" s="48"/>
      <c r="I42" s="48"/>
      <c r="J42" s="48"/>
      <c r="K42" s="48"/>
      <c r="L42" s="48"/>
      <c r="M42" s="48"/>
      <c r="N42" s="48"/>
    </row>
    <row r="43" spans="1:14" ht="15">
      <c r="A43" s="1150"/>
      <c r="B43" s="48">
        <v>41</v>
      </c>
      <c r="C43" s="48"/>
      <c r="D43" s="48"/>
      <c r="E43" s="48"/>
      <c r="F43" s="48"/>
      <c r="G43" s="48"/>
      <c r="H43" s="48"/>
      <c r="I43" s="48"/>
      <c r="J43" s="48"/>
      <c r="K43" s="48"/>
      <c r="L43" s="48"/>
      <c r="M43" s="48"/>
      <c r="N43" s="48"/>
    </row>
    <row r="44" spans="1:14" ht="15">
      <c r="A44" s="1150"/>
      <c r="B44" s="49">
        <v>42</v>
      </c>
      <c r="C44" s="48"/>
      <c r="D44" s="48"/>
      <c r="E44" s="48"/>
      <c r="F44" s="48"/>
      <c r="G44" s="48"/>
      <c r="H44" s="48"/>
      <c r="I44" s="48"/>
      <c r="J44" s="48"/>
      <c r="K44" s="48"/>
      <c r="L44" s="48"/>
      <c r="M44" s="48"/>
      <c r="N44" s="48"/>
    </row>
    <row r="45" spans="1:14" ht="15">
      <c r="A45" s="1151" t="s">
        <v>35</v>
      </c>
      <c r="B45" s="13">
        <v>43</v>
      </c>
      <c r="C45" s="13"/>
      <c r="D45" s="13"/>
      <c r="E45" s="13"/>
      <c r="F45" s="13"/>
      <c r="G45" s="13"/>
      <c r="H45" s="13"/>
      <c r="I45" s="13"/>
      <c r="J45" s="13"/>
      <c r="K45" s="13"/>
      <c r="L45" s="13"/>
      <c r="M45" s="13"/>
      <c r="N45" s="13"/>
    </row>
    <row r="46" spans="1:14" ht="15">
      <c r="A46" s="1151"/>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Y31"/>
  <sheetViews>
    <sheetView zoomScale="61" zoomScaleNormal="61" zoomScalePageLayoutView="0" workbookViewId="0" topLeftCell="A1">
      <selection activeCell="C17" sqref="C17:Q17"/>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20.28125" style="113" customWidth="1"/>
    <col min="50" max="51" width="24.421875" style="113" customWidth="1"/>
    <col min="52" max="16384" width="10.8515625" style="113" customWidth="1"/>
  </cols>
  <sheetData>
    <row r="1" spans="1:51" ht="15.75" customHeight="1">
      <c r="A1" s="759" t="s">
        <v>16</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1"/>
      <c r="AX1" s="708" t="s">
        <v>423</v>
      </c>
      <c r="AY1" s="709"/>
    </row>
    <row r="2" spans="1:51" ht="15.75" customHeight="1">
      <c r="A2" s="768" t="s">
        <v>17</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c r="AH2" s="769"/>
      <c r="AI2" s="769"/>
      <c r="AJ2" s="769"/>
      <c r="AK2" s="769"/>
      <c r="AL2" s="769"/>
      <c r="AM2" s="769"/>
      <c r="AN2" s="769"/>
      <c r="AO2" s="769"/>
      <c r="AP2" s="769"/>
      <c r="AQ2" s="769"/>
      <c r="AR2" s="769"/>
      <c r="AS2" s="769"/>
      <c r="AT2" s="769"/>
      <c r="AU2" s="769"/>
      <c r="AV2" s="769"/>
      <c r="AW2" s="770"/>
      <c r="AX2" s="756" t="s">
        <v>418</v>
      </c>
      <c r="AY2" s="757"/>
    </row>
    <row r="3" spans="1:51" ht="15" customHeight="1">
      <c r="A3" s="771" t="s">
        <v>195</v>
      </c>
      <c r="B3" s="772"/>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3"/>
      <c r="AX3" s="756" t="s">
        <v>424</v>
      </c>
      <c r="AY3" s="757"/>
    </row>
    <row r="4" spans="1:51" ht="15.75" customHeight="1">
      <c r="A4" s="759"/>
      <c r="B4" s="760"/>
      <c r="C4" s="760"/>
      <c r="D4" s="760"/>
      <c r="E4" s="760"/>
      <c r="F4" s="760"/>
      <c r="G4" s="760"/>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1"/>
      <c r="AX4" s="758" t="s">
        <v>176</v>
      </c>
      <c r="AY4" s="758"/>
    </row>
    <row r="5" spans="1:51" ht="15" customHeight="1">
      <c r="A5" s="762" t="s">
        <v>174</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4"/>
      <c r="AH5" s="787" t="s">
        <v>69</v>
      </c>
      <c r="AI5" s="788"/>
      <c r="AJ5" s="788"/>
      <c r="AK5" s="788"/>
      <c r="AL5" s="788"/>
      <c r="AM5" s="788"/>
      <c r="AN5" s="788"/>
      <c r="AO5" s="788"/>
      <c r="AP5" s="788"/>
      <c r="AQ5" s="788"/>
      <c r="AR5" s="788"/>
      <c r="AS5" s="788"/>
      <c r="AT5" s="788"/>
      <c r="AU5" s="789"/>
      <c r="AV5" s="777" t="s">
        <v>409</v>
      </c>
      <c r="AW5" s="777" t="s">
        <v>410</v>
      </c>
      <c r="AX5" s="777" t="s">
        <v>298</v>
      </c>
      <c r="AY5" s="777" t="s">
        <v>299</v>
      </c>
    </row>
    <row r="6" spans="1:51" ht="15" customHeight="1">
      <c r="A6" s="796" t="s">
        <v>71</v>
      </c>
      <c r="B6" s="796"/>
      <c r="C6" s="796"/>
      <c r="D6" s="797" t="s">
        <v>74</v>
      </c>
      <c r="E6" s="797"/>
      <c r="F6" s="787" t="s">
        <v>67</v>
      </c>
      <c r="G6" s="789"/>
      <c r="H6" s="786" t="s">
        <v>70</v>
      </c>
      <c r="I6" s="786"/>
      <c r="J6" s="128"/>
      <c r="K6" s="787"/>
      <c r="L6" s="788"/>
      <c r="M6" s="788"/>
      <c r="N6" s="788"/>
      <c r="O6" s="788"/>
      <c r="P6" s="788"/>
      <c r="Q6" s="788"/>
      <c r="R6" s="788"/>
      <c r="S6" s="788"/>
      <c r="T6" s="788"/>
      <c r="U6" s="788"/>
      <c r="V6" s="114"/>
      <c r="W6" s="114"/>
      <c r="X6" s="114"/>
      <c r="Y6" s="114"/>
      <c r="Z6" s="114"/>
      <c r="AA6" s="114"/>
      <c r="AB6" s="114"/>
      <c r="AC6" s="114"/>
      <c r="AD6" s="114"/>
      <c r="AE6" s="114"/>
      <c r="AF6" s="114"/>
      <c r="AG6" s="115"/>
      <c r="AH6" s="790"/>
      <c r="AI6" s="791"/>
      <c r="AJ6" s="791"/>
      <c r="AK6" s="791"/>
      <c r="AL6" s="791"/>
      <c r="AM6" s="791"/>
      <c r="AN6" s="791"/>
      <c r="AO6" s="791"/>
      <c r="AP6" s="791"/>
      <c r="AQ6" s="791"/>
      <c r="AR6" s="791"/>
      <c r="AS6" s="791"/>
      <c r="AT6" s="791"/>
      <c r="AU6" s="792"/>
      <c r="AV6" s="785"/>
      <c r="AW6" s="785"/>
      <c r="AX6" s="785"/>
      <c r="AY6" s="785"/>
    </row>
    <row r="7" spans="1:51" ht="15" customHeight="1">
      <c r="A7" s="796"/>
      <c r="B7" s="796"/>
      <c r="C7" s="796"/>
      <c r="D7" s="797"/>
      <c r="E7" s="797"/>
      <c r="F7" s="790"/>
      <c r="G7" s="792"/>
      <c r="H7" s="786" t="s">
        <v>68</v>
      </c>
      <c r="I7" s="786"/>
      <c r="J7" s="128"/>
      <c r="K7" s="790"/>
      <c r="L7" s="791"/>
      <c r="M7" s="791"/>
      <c r="N7" s="791"/>
      <c r="O7" s="791"/>
      <c r="P7" s="791"/>
      <c r="Q7" s="791"/>
      <c r="R7" s="791"/>
      <c r="S7" s="791"/>
      <c r="T7" s="791"/>
      <c r="U7" s="791"/>
      <c r="V7" s="116"/>
      <c r="W7" s="116"/>
      <c r="X7" s="116"/>
      <c r="Y7" s="116"/>
      <c r="Z7" s="116"/>
      <c r="AA7" s="116"/>
      <c r="AB7" s="116"/>
      <c r="AC7" s="116"/>
      <c r="AD7" s="116"/>
      <c r="AE7" s="116"/>
      <c r="AF7" s="116"/>
      <c r="AG7" s="117"/>
      <c r="AH7" s="790"/>
      <c r="AI7" s="791"/>
      <c r="AJ7" s="791"/>
      <c r="AK7" s="791"/>
      <c r="AL7" s="791"/>
      <c r="AM7" s="791"/>
      <c r="AN7" s="791"/>
      <c r="AO7" s="791"/>
      <c r="AP7" s="791"/>
      <c r="AQ7" s="791"/>
      <c r="AR7" s="791"/>
      <c r="AS7" s="791"/>
      <c r="AT7" s="791"/>
      <c r="AU7" s="792"/>
      <c r="AV7" s="785"/>
      <c r="AW7" s="785"/>
      <c r="AX7" s="785"/>
      <c r="AY7" s="785"/>
    </row>
    <row r="8" spans="1:51" ht="15" customHeight="1">
      <c r="A8" s="796"/>
      <c r="B8" s="796"/>
      <c r="C8" s="796"/>
      <c r="D8" s="797"/>
      <c r="E8" s="797"/>
      <c r="F8" s="793"/>
      <c r="G8" s="795"/>
      <c r="H8" s="786" t="s">
        <v>69</v>
      </c>
      <c r="I8" s="786"/>
      <c r="J8" s="128"/>
      <c r="K8" s="793"/>
      <c r="L8" s="794"/>
      <c r="M8" s="794"/>
      <c r="N8" s="794"/>
      <c r="O8" s="794"/>
      <c r="P8" s="794"/>
      <c r="Q8" s="794"/>
      <c r="R8" s="794"/>
      <c r="S8" s="794"/>
      <c r="T8" s="794"/>
      <c r="U8" s="794"/>
      <c r="V8" s="118"/>
      <c r="W8" s="118"/>
      <c r="X8" s="118"/>
      <c r="Y8" s="118"/>
      <c r="Z8" s="118"/>
      <c r="AA8" s="118"/>
      <c r="AB8" s="118"/>
      <c r="AC8" s="118"/>
      <c r="AD8" s="118"/>
      <c r="AE8" s="118"/>
      <c r="AF8" s="118"/>
      <c r="AG8" s="119"/>
      <c r="AH8" s="790"/>
      <c r="AI8" s="791"/>
      <c r="AJ8" s="791"/>
      <c r="AK8" s="791"/>
      <c r="AL8" s="791"/>
      <c r="AM8" s="791"/>
      <c r="AN8" s="791"/>
      <c r="AO8" s="791"/>
      <c r="AP8" s="791"/>
      <c r="AQ8" s="791"/>
      <c r="AR8" s="791"/>
      <c r="AS8" s="791"/>
      <c r="AT8" s="791"/>
      <c r="AU8" s="792"/>
      <c r="AV8" s="785"/>
      <c r="AW8" s="785"/>
      <c r="AX8" s="785"/>
      <c r="AY8" s="785"/>
    </row>
    <row r="9" spans="1:51" ht="15" customHeight="1">
      <c r="A9" s="765" t="s">
        <v>399</v>
      </c>
      <c r="B9" s="766"/>
      <c r="C9" s="767"/>
      <c r="D9" s="801"/>
      <c r="E9" s="802"/>
      <c r="F9" s="802"/>
      <c r="G9" s="802"/>
      <c r="H9" s="802"/>
      <c r="I9" s="802"/>
      <c r="J9" s="802"/>
      <c r="K9" s="803"/>
      <c r="L9" s="803"/>
      <c r="M9" s="803"/>
      <c r="N9" s="803"/>
      <c r="O9" s="803"/>
      <c r="P9" s="803"/>
      <c r="Q9" s="803"/>
      <c r="R9" s="803"/>
      <c r="S9" s="803"/>
      <c r="T9" s="803"/>
      <c r="U9" s="803"/>
      <c r="V9" s="803"/>
      <c r="W9" s="803"/>
      <c r="X9" s="803"/>
      <c r="Y9" s="803"/>
      <c r="Z9" s="803"/>
      <c r="AA9" s="803"/>
      <c r="AB9" s="803"/>
      <c r="AC9" s="803"/>
      <c r="AD9" s="803"/>
      <c r="AE9" s="803"/>
      <c r="AF9" s="803"/>
      <c r="AG9" s="804"/>
      <c r="AH9" s="790"/>
      <c r="AI9" s="791"/>
      <c r="AJ9" s="791"/>
      <c r="AK9" s="791"/>
      <c r="AL9" s="791"/>
      <c r="AM9" s="791"/>
      <c r="AN9" s="791"/>
      <c r="AO9" s="791"/>
      <c r="AP9" s="791"/>
      <c r="AQ9" s="791"/>
      <c r="AR9" s="791"/>
      <c r="AS9" s="791"/>
      <c r="AT9" s="791"/>
      <c r="AU9" s="792"/>
      <c r="AV9" s="785"/>
      <c r="AW9" s="785"/>
      <c r="AX9" s="785"/>
      <c r="AY9" s="785"/>
    </row>
    <row r="10" spans="1:51" ht="15" customHeight="1">
      <c r="A10" s="798" t="s">
        <v>287</v>
      </c>
      <c r="B10" s="799"/>
      <c r="C10" s="800"/>
      <c r="D10" s="805"/>
      <c r="E10" s="803"/>
      <c r="F10" s="803"/>
      <c r="G10" s="803"/>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4"/>
      <c r="AH10" s="793"/>
      <c r="AI10" s="794"/>
      <c r="AJ10" s="794"/>
      <c r="AK10" s="794"/>
      <c r="AL10" s="794"/>
      <c r="AM10" s="794"/>
      <c r="AN10" s="794"/>
      <c r="AO10" s="794"/>
      <c r="AP10" s="794"/>
      <c r="AQ10" s="794"/>
      <c r="AR10" s="794"/>
      <c r="AS10" s="794"/>
      <c r="AT10" s="794"/>
      <c r="AU10" s="795"/>
      <c r="AV10" s="785"/>
      <c r="AW10" s="785"/>
      <c r="AX10" s="785"/>
      <c r="AY10" s="785"/>
    </row>
    <row r="11" spans="1:51" ht="39.75" customHeight="1">
      <c r="A11" s="774" t="s">
        <v>168</v>
      </c>
      <c r="B11" s="779"/>
      <c r="C11" s="779"/>
      <c r="D11" s="779"/>
      <c r="E11" s="779"/>
      <c r="F11" s="775"/>
      <c r="G11" s="774" t="s">
        <v>278</v>
      </c>
      <c r="H11" s="775"/>
      <c r="I11" s="777" t="s">
        <v>179</v>
      </c>
      <c r="J11" s="777" t="s">
        <v>279</v>
      </c>
      <c r="K11" s="777" t="s">
        <v>323</v>
      </c>
      <c r="L11" s="777" t="s">
        <v>363</v>
      </c>
      <c r="M11" s="777" t="s">
        <v>167</v>
      </c>
      <c r="N11" s="777" t="s">
        <v>182</v>
      </c>
      <c r="O11" s="774" t="s">
        <v>284</v>
      </c>
      <c r="P11" s="779"/>
      <c r="Q11" s="779"/>
      <c r="R11" s="779"/>
      <c r="S11" s="775"/>
      <c r="T11" s="777" t="s">
        <v>173</v>
      </c>
      <c r="U11" s="777" t="s">
        <v>285</v>
      </c>
      <c r="V11" s="762" t="s">
        <v>370</v>
      </c>
      <c r="W11" s="763"/>
      <c r="X11" s="763"/>
      <c r="Y11" s="763"/>
      <c r="Z11" s="763"/>
      <c r="AA11" s="763"/>
      <c r="AB11" s="763"/>
      <c r="AC11" s="763"/>
      <c r="AD11" s="763"/>
      <c r="AE11" s="763"/>
      <c r="AF11" s="763"/>
      <c r="AG11" s="764"/>
      <c r="AH11" s="762" t="s">
        <v>87</v>
      </c>
      <c r="AI11" s="763"/>
      <c r="AJ11" s="763"/>
      <c r="AK11" s="763"/>
      <c r="AL11" s="763"/>
      <c r="AM11" s="763"/>
      <c r="AN11" s="763"/>
      <c r="AO11" s="763"/>
      <c r="AP11" s="763"/>
      <c r="AQ11" s="763"/>
      <c r="AR11" s="763"/>
      <c r="AS11" s="764"/>
      <c r="AT11" s="774" t="s">
        <v>8</v>
      </c>
      <c r="AU11" s="775"/>
      <c r="AV11" s="785"/>
      <c r="AW11" s="785"/>
      <c r="AX11" s="785"/>
      <c r="AY11" s="785"/>
    </row>
    <row r="12" spans="1:51" ht="42.75">
      <c r="A12" s="120" t="s">
        <v>169</v>
      </c>
      <c r="B12" s="120" t="s">
        <v>170</v>
      </c>
      <c r="C12" s="120" t="s">
        <v>171</v>
      </c>
      <c r="D12" s="120" t="s">
        <v>178</v>
      </c>
      <c r="E12" s="120" t="s">
        <v>185</v>
      </c>
      <c r="F12" s="120" t="s">
        <v>186</v>
      </c>
      <c r="G12" s="120" t="s">
        <v>277</v>
      </c>
      <c r="H12" s="120" t="s">
        <v>184</v>
      </c>
      <c r="I12" s="778"/>
      <c r="J12" s="778"/>
      <c r="K12" s="778"/>
      <c r="L12" s="778"/>
      <c r="M12" s="778"/>
      <c r="N12" s="778"/>
      <c r="O12" s="120">
        <v>2020</v>
      </c>
      <c r="P12" s="120">
        <v>2021</v>
      </c>
      <c r="Q12" s="120">
        <v>2022</v>
      </c>
      <c r="R12" s="120">
        <v>2023</v>
      </c>
      <c r="S12" s="120">
        <v>2024</v>
      </c>
      <c r="T12" s="778"/>
      <c r="U12" s="778"/>
      <c r="V12" s="129" t="s">
        <v>39</v>
      </c>
      <c r="W12" s="129" t="s">
        <v>40</v>
      </c>
      <c r="X12" s="129" t="s">
        <v>41</v>
      </c>
      <c r="Y12" s="129" t="s">
        <v>42</v>
      </c>
      <c r="Z12" s="129" t="s">
        <v>43</v>
      </c>
      <c r="AA12" s="129" t="s">
        <v>44</v>
      </c>
      <c r="AB12" s="129" t="s">
        <v>45</v>
      </c>
      <c r="AC12" s="129" t="s">
        <v>46</v>
      </c>
      <c r="AD12" s="129" t="s">
        <v>47</v>
      </c>
      <c r="AE12" s="129" t="s">
        <v>48</v>
      </c>
      <c r="AF12" s="129" t="s">
        <v>49</v>
      </c>
      <c r="AG12" s="129" t="s">
        <v>50</v>
      </c>
      <c r="AH12" s="129" t="s">
        <v>39</v>
      </c>
      <c r="AI12" s="129" t="s">
        <v>40</v>
      </c>
      <c r="AJ12" s="129" t="s">
        <v>41</v>
      </c>
      <c r="AK12" s="129" t="s">
        <v>42</v>
      </c>
      <c r="AL12" s="129" t="s">
        <v>43</v>
      </c>
      <c r="AM12" s="129" t="s">
        <v>44</v>
      </c>
      <c r="AN12" s="129" t="s">
        <v>45</v>
      </c>
      <c r="AO12" s="129" t="s">
        <v>46</v>
      </c>
      <c r="AP12" s="129" t="s">
        <v>47</v>
      </c>
      <c r="AQ12" s="129" t="s">
        <v>48</v>
      </c>
      <c r="AR12" s="129" t="s">
        <v>49</v>
      </c>
      <c r="AS12" s="129" t="s">
        <v>50</v>
      </c>
      <c r="AT12" s="120" t="s">
        <v>413</v>
      </c>
      <c r="AU12" s="216" t="s">
        <v>88</v>
      </c>
      <c r="AV12" s="778"/>
      <c r="AW12" s="778"/>
      <c r="AX12" s="778"/>
      <c r="AY12" s="778"/>
    </row>
    <row r="13" spans="1:51" ht="15.75" customHeight="1">
      <c r="A13" s="121"/>
      <c r="B13" s="121"/>
      <c r="C13" s="121"/>
      <c r="D13" s="121"/>
      <c r="E13" s="121"/>
      <c r="F13" s="121"/>
      <c r="G13" s="121"/>
      <c r="H13" s="121"/>
      <c r="I13" s="122"/>
      <c r="J13" s="122"/>
      <c r="K13" s="122"/>
      <c r="L13" s="122"/>
      <c r="M13" s="122"/>
      <c r="N13" s="122"/>
      <c r="O13" s="123"/>
      <c r="P13" s="123"/>
      <c r="Q13" s="123"/>
      <c r="R13" s="123"/>
      <c r="S13" s="123"/>
      <c r="T13" s="123"/>
      <c r="U13" s="123"/>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f>SUM(AH13:AS13)</f>
        <v>0</v>
      </c>
      <c r="AU13" s="127" t="e">
        <f>+AT13/R13</f>
        <v>#DIV/0!</v>
      </c>
      <c r="AV13" s="125"/>
      <c r="AW13" s="215"/>
      <c r="AX13" s="125"/>
      <c r="AY13" s="126"/>
    </row>
    <row r="14" spans="1:51" ht="15.75" customHeight="1">
      <c r="A14" s="121"/>
      <c r="B14" s="121"/>
      <c r="C14" s="121"/>
      <c r="D14" s="121"/>
      <c r="E14" s="121"/>
      <c r="F14" s="121"/>
      <c r="G14" s="121"/>
      <c r="H14" s="121"/>
      <c r="I14" s="124"/>
      <c r="J14" s="124"/>
      <c r="K14" s="124"/>
      <c r="L14" s="124"/>
      <c r="M14" s="124"/>
      <c r="N14" s="124"/>
      <c r="O14" s="124"/>
      <c r="P14" s="124"/>
      <c r="Q14" s="124"/>
      <c r="R14" s="124"/>
      <c r="S14" s="124"/>
      <c r="T14" s="121"/>
      <c r="U14" s="121"/>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f aca="true" t="shared" si="0" ref="AT14:AT27">SUM(AH14:AS14)</f>
        <v>0</v>
      </c>
      <c r="AU14" s="127" t="e">
        <f aca="true" t="shared" si="1" ref="AU14:AU27">+AT14/R14</f>
        <v>#DIV/0!</v>
      </c>
      <c r="AV14" s="127"/>
      <c r="AW14" s="127"/>
      <c r="AX14" s="127"/>
      <c r="AY14" s="124"/>
    </row>
    <row r="15" spans="1:51" ht="15.75" customHeight="1">
      <c r="A15" s="121"/>
      <c r="B15" s="121"/>
      <c r="C15" s="121"/>
      <c r="D15" s="121"/>
      <c r="E15" s="121"/>
      <c r="F15" s="121"/>
      <c r="G15" s="121"/>
      <c r="H15" s="121"/>
      <c r="I15" s="124"/>
      <c r="J15" s="124"/>
      <c r="K15" s="124"/>
      <c r="L15" s="124"/>
      <c r="M15" s="124"/>
      <c r="N15" s="124"/>
      <c r="O15" s="124"/>
      <c r="P15" s="124"/>
      <c r="Q15" s="124"/>
      <c r="R15" s="124"/>
      <c r="S15" s="124"/>
      <c r="T15" s="121"/>
      <c r="U15" s="121"/>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f t="shared" si="0"/>
        <v>0</v>
      </c>
      <c r="AU15" s="127" t="e">
        <f t="shared" si="1"/>
        <v>#DIV/0!</v>
      </c>
      <c r="AV15" s="127"/>
      <c r="AW15" s="127"/>
      <c r="AX15" s="127"/>
      <c r="AY15" s="124"/>
    </row>
    <row r="16" spans="1:51" ht="15.75" customHeight="1">
      <c r="A16" s="121"/>
      <c r="B16" s="121"/>
      <c r="C16" s="121"/>
      <c r="D16" s="121"/>
      <c r="E16" s="121"/>
      <c r="F16" s="121"/>
      <c r="G16" s="121"/>
      <c r="H16" s="121"/>
      <c r="I16" s="124"/>
      <c r="J16" s="124"/>
      <c r="K16" s="124"/>
      <c r="L16" s="124"/>
      <c r="M16" s="124"/>
      <c r="N16" s="124"/>
      <c r="O16" s="124"/>
      <c r="P16" s="124"/>
      <c r="Q16" s="124"/>
      <c r="R16" s="124"/>
      <c r="S16" s="124"/>
      <c r="T16" s="121"/>
      <c r="U16" s="121"/>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f t="shared" si="0"/>
        <v>0</v>
      </c>
      <c r="AU16" s="127" t="e">
        <f t="shared" si="1"/>
        <v>#DIV/0!</v>
      </c>
      <c r="AV16" s="127"/>
      <c r="AW16" s="127"/>
      <c r="AX16" s="127"/>
      <c r="AY16" s="124"/>
    </row>
    <row r="17" spans="1:51" ht="15.75" customHeight="1">
      <c r="A17" s="121"/>
      <c r="B17" s="121"/>
      <c r="C17" s="121"/>
      <c r="D17" s="121"/>
      <c r="E17" s="121"/>
      <c r="F17" s="121"/>
      <c r="G17" s="121"/>
      <c r="H17" s="121"/>
      <c r="I17" s="124"/>
      <c r="J17" s="124"/>
      <c r="K17" s="124"/>
      <c r="L17" s="124"/>
      <c r="M17" s="124"/>
      <c r="N17" s="124"/>
      <c r="O17" s="124"/>
      <c r="P17" s="124"/>
      <c r="Q17" s="124"/>
      <c r="R17" s="124"/>
      <c r="S17" s="124"/>
      <c r="T17" s="121"/>
      <c r="U17" s="121"/>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f t="shared" si="0"/>
        <v>0</v>
      </c>
      <c r="AU17" s="127" t="e">
        <f t="shared" si="1"/>
        <v>#DIV/0!</v>
      </c>
      <c r="AV17" s="127"/>
      <c r="AW17" s="127"/>
      <c r="AX17" s="127"/>
      <c r="AY17" s="124"/>
    </row>
    <row r="18" spans="1:51" ht="15.75" customHeight="1">
      <c r="A18" s="121"/>
      <c r="B18" s="121"/>
      <c r="C18" s="121"/>
      <c r="D18" s="121"/>
      <c r="E18" s="121"/>
      <c r="F18" s="121"/>
      <c r="G18" s="121"/>
      <c r="H18" s="121"/>
      <c r="I18" s="124"/>
      <c r="J18" s="124"/>
      <c r="K18" s="124"/>
      <c r="L18" s="124"/>
      <c r="M18" s="124"/>
      <c r="N18" s="124"/>
      <c r="O18" s="124"/>
      <c r="P18" s="124"/>
      <c r="Q18" s="124"/>
      <c r="R18" s="124"/>
      <c r="S18" s="124"/>
      <c r="T18" s="121"/>
      <c r="U18" s="121"/>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f t="shared" si="0"/>
        <v>0</v>
      </c>
      <c r="AU18" s="127" t="e">
        <f t="shared" si="1"/>
        <v>#DIV/0!</v>
      </c>
      <c r="AV18" s="127"/>
      <c r="AW18" s="127"/>
      <c r="AX18" s="127"/>
      <c r="AY18" s="124"/>
    </row>
    <row r="19" spans="1:51" ht="15.75" customHeight="1">
      <c r="A19" s="121"/>
      <c r="B19" s="121"/>
      <c r="C19" s="121"/>
      <c r="D19" s="121"/>
      <c r="E19" s="121"/>
      <c r="F19" s="121"/>
      <c r="G19" s="121"/>
      <c r="H19" s="121"/>
      <c r="I19" s="124"/>
      <c r="J19" s="124"/>
      <c r="K19" s="124"/>
      <c r="L19" s="124"/>
      <c r="M19" s="124"/>
      <c r="N19" s="124"/>
      <c r="O19" s="124"/>
      <c r="P19" s="124"/>
      <c r="Q19" s="124"/>
      <c r="R19" s="124"/>
      <c r="S19" s="124"/>
      <c r="T19" s="121"/>
      <c r="U19" s="121"/>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f t="shared" si="0"/>
        <v>0</v>
      </c>
      <c r="AU19" s="127" t="e">
        <f t="shared" si="1"/>
        <v>#DIV/0!</v>
      </c>
      <c r="AV19" s="127"/>
      <c r="AW19" s="127"/>
      <c r="AX19" s="127"/>
      <c r="AY19" s="124"/>
    </row>
    <row r="20" spans="1:51" ht="15.75" customHeight="1">
      <c r="A20" s="121"/>
      <c r="B20" s="121"/>
      <c r="C20" s="121"/>
      <c r="D20" s="121"/>
      <c r="E20" s="121"/>
      <c r="F20" s="121"/>
      <c r="G20" s="121"/>
      <c r="H20" s="121"/>
      <c r="I20" s="124"/>
      <c r="J20" s="124"/>
      <c r="K20" s="124"/>
      <c r="L20" s="124"/>
      <c r="M20" s="124"/>
      <c r="N20" s="124"/>
      <c r="O20" s="124"/>
      <c r="P20" s="124"/>
      <c r="Q20" s="124"/>
      <c r="R20" s="124"/>
      <c r="S20" s="124"/>
      <c r="T20" s="121"/>
      <c r="U20" s="121"/>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f t="shared" si="0"/>
        <v>0</v>
      </c>
      <c r="AU20" s="127" t="e">
        <f t="shared" si="1"/>
        <v>#DIV/0!</v>
      </c>
      <c r="AV20" s="127"/>
      <c r="AW20" s="127"/>
      <c r="AX20" s="127"/>
      <c r="AY20" s="124"/>
    </row>
    <row r="21" spans="1:51" ht="15.75" customHeight="1">
      <c r="A21" s="121"/>
      <c r="B21" s="121"/>
      <c r="C21" s="121"/>
      <c r="D21" s="121"/>
      <c r="E21" s="121"/>
      <c r="F21" s="121"/>
      <c r="G21" s="121"/>
      <c r="H21" s="121"/>
      <c r="I21" s="124"/>
      <c r="J21" s="124"/>
      <c r="K21" s="124"/>
      <c r="L21" s="124"/>
      <c r="M21" s="124"/>
      <c r="N21" s="124"/>
      <c r="O21" s="124"/>
      <c r="P21" s="124"/>
      <c r="Q21" s="124"/>
      <c r="R21" s="124"/>
      <c r="S21" s="124"/>
      <c r="T21" s="121"/>
      <c r="U21" s="121"/>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f t="shared" si="0"/>
        <v>0</v>
      </c>
      <c r="AU21" s="127" t="e">
        <f t="shared" si="1"/>
        <v>#DIV/0!</v>
      </c>
      <c r="AV21" s="127"/>
      <c r="AW21" s="127"/>
      <c r="AX21" s="127"/>
      <c r="AY21" s="124"/>
    </row>
    <row r="22" spans="1:51" ht="15.75" customHeight="1">
      <c r="A22" s="121"/>
      <c r="B22" s="121"/>
      <c r="C22" s="121"/>
      <c r="D22" s="121"/>
      <c r="E22" s="121"/>
      <c r="F22" s="121"/>
      <c r="G22" s="121"/>
      <c r="H22" s="121"/>
      <c r="I22" s="124"/>
      <c r="J22" s="124"/>
      <c r="K22" s="124"/>
      <c r="L22" s="124"/>
      <c r="M22" s="124"/>
      <c r="N22" s="124"/>
      <c r="O22" s="124"/>
      <c r="P22" s="124"/>
      <c r="Q22" s="124"/>
      <c r="R22" s="124"/>
      <c r="S22" s="124"/>
      <c r="T22" s="121"/>
      <c r="U22" s="121"/>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f t="shared" si="0"/>
        <v>0</v>
      </c>
      <c r="AU22" s="127" t="e">
        <f t="shared" si="1"/>
        <v>#DIV/0!</v>
      </c>
      <c r="AV22" s="127"/>
      <c r="AW22" s="127"/>
      <c r="AX22" s="127"/>
      <c r="AY22" s="124"/>
    </row>
    <row r="23" spans="1:51" ht="15.75" customHeight="1">
      <c r="A23" s="121"/>
      <c r="B23" s="121"/>
      <c r="C23" s="121"/>
      <c r="D23" s="121"/>
      <c r="E23" s="121"/>
      <c r="F23" s="121"/>
      <c r="G23" s="121"/>
      <c r="H23" s="121"/>
      <c r="I23" s="124"/>
      <c r="J23" s="124"/>
      <c r="K23" s="124"/>
      <c r="L23" s="124"/>
      <c r="M23" s="124"/>
      <c r="N23" s="124"/>
      <c r="O23" s="124"/>
      <c r="P23" s="124"/>
      <c r="Q23" s="124"/>
      <c r="R23" s="124"/>
      <c r="S23" s="124"/>
      <c r="T23" s="121"/>
      <c r="U23" s="121"/>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f t="shared" si="0"/>
        <v>0</v>
      </c>
      <c r="AU23" s="127" t="e">
        <f t="shared" si="1"/>
        <v>#DIV/0!</v>
      </c>
      <c r="AV23" s="127"/>
      <c r="AW23" s="127"/>
      <c r="AX23" s="127"/>
      <c r="AY23" s="124"/>
    </row>
    <row r="24" spans="1:51" ht="15.75" customHeight="1">
      <c r="A24" s="121"/>
      <c r="B24" s="121"/>
      <c r="C24" s="121"/>
      <c r="D24" s="121"/>
      <c r="E24" s="121"/>
      <c r="F24" s="121"/>
      <c r="G24" s="121"/>
      <c r="H24" s="121"/>
      <c r="I24" s="124"/>
      <c r="J24" s="124"/>
      <c r="K24" s="124"/>
      <c r="L24" s="124"/>
      <c r="M24" s="124"/>
      <c r="N24" s="124"/>
      <c r="O24" s="124"/>
      <c r="P24" s="124"/>
      <c r="Q24" s="124"/>
      <c r="R24" s="124"/>
      <c r="S24" s="124"/>
      <c r="T24" s="121"/>
      <c r="U24" s="121"/>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f t="shared" si="0"/>
        <v>0</v>
      </c>
      <c r="AU24" s="127" t="e">
        <f t="shared" si="1"/>
        <v>#DIV/0!</v>
      </c>
      <c r="AV24" s="127"/>
      <c r="AW24" s="127"/>
      <c r="AX24" s="127"/>
      <c r="AY24" s="124"/>
    </row>
    <row r="25" spans="1:51" ht="15.75" customHeight="1">
      <c r="A25" s="121"/>
      <c r="B25" s="121"/>
      <c r="C25" s="121"/>
      <c r="D25" s="121"/>
      <c r="E25" s="121"/>
      <c r="F25" s="121"/>
      <c r="G25" s="121"/>
      <c r="H25" s="121"/>
      <c r="I25" s="124"/>
      <c r="J25" s="124"/>
      <c r="K25" s="124"/>
      <c r="L25" s="124"/>
      <c r="M25" s="124"/>
      <c r="N25" s="124"/>
      <c r="O25" s="124"/>
      <c r="P25" s="124"/>
      <c r="Q25" s="124"/>
      <c r="R25" s="124"/>
      <c r="S25" s="124"/>
      <c r="T25" s="121"/>
      <c r="U25" s="121"/>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f t="shared" si="0"/>
        <v>0</v>
      </c>
      <c r="AU25" s="127" t="e">
        <f t="shared" si="1"/>
        <v>#DIV/0!</v>
      </c>
      <c r="AV25" s="127"/>
      <c r="AW25" s="127"/>
      <c r="AX25" s="127"/>
      <c r="AY25" s="124"/>
    </row>
    <row r="26" spans="1:51" ht="15.75" customHeight="1">
      <c r="A26" s="121"/>
      <c r="B26" s="121"/>
      <c r="C26" s="121"/>
      <c r="D26" s="121"/>
      <c r="E26" s="121"/>
      <c r="F26" s="121"/>
      <c r="G26" s="121"/>
      <c r="H26" s="121"/>
      <c r="I26" s="124"/>
      <c r="J26" s="124"/>
      <c r="K26" s="124"/>
      <c r="L26" s="124"/>
      <c r="M26" s="124"/>
      <c r="N26" s="124"/>
      <c r="O26" s="124"/>
      <c r="P26" s="124"/>
      <c r="Q26" s="124"/>
      <c r="R26" s="124"/>
      <c r="S26" s="124"/>
      <c r="T26" s="121"/>
      <c r="U26" s="121"/>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f t="shared" si="0"/>
        <v>0</v>
      </c>
      <c r="AU26" s="127" t="e">
        <f t="shared" si="1"/>
        <v>#DIV/0!</v>
      </c>
      <c r="AV26" s="127"/>
      <c r="AW26" s="127"/>
      <c r="AX26" s="127"/>
      <c r="AY26" s="124"/>
    </row>
    <row r="27" spans="1:51" ht="15.75" customHeight="1">
      <c r="A27" s="121"/>
      <c r="B27" s="121"/>
      <c r="C27" s="121"/>
      <c r="D27" s="121"/>
      <c r="E27" s="121"/>
      <c r="F27" s="121"/>
      <c r="G27" s="121"/>
      <c r="H27" s="121"/>
      <c r="I27" s="124"/>
      <c r="J27" s="124"/>
      <c r="K27" s="124"/>
      <c r="L27" s="124"/>
      <c r="M27" s="124"/>
      <c r="N27" s="124"/>
      <c r="O27" s="124"/>
      <c r="P27" s="124"/>
      <c r="Q27" s="124"/>
      <c r="R27" s="124"/>
      <c r="S27" s="124"/>
      <c r="T27" s="121"/>
      <c r="U27" s="121"/>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f t="shared" si="0"/>
        <v>0</v>
      </c>
      <c r="AU27" s="127" t="e">
        <f t="shared" si="1"/>
        <v>#DIV/0!</v>
      </c>
      <c r="AV27" s="127"/>
      <c r="AW27" s="127"/>
      <c r="AX27" s="127"/>
      <c r="AY27" s="124"/>
    </row>
    <row r="28" spans="1:51" ht="15">
      <c r="A28" s="782" t="s">
        <v>294</v>
      </c>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3"/>
      <c r="AY28" s="784"/>
    </row>
    <row r="29" spans="1:51" ht="15">
      <c r="A29" s="780" t="s">
        <v>64</v>
      </c>
      <c r="B29" s="780"/>
      <c r="C29" s="780"/>
      <c r="D29" s="776" t="s">
        <v>66</v>
      </c>
      <c r="E29" s="776"/>
      <c r="F29" s="776"/>
      <c r="G29" s="776"/>
      <c r="H29" s="776"/>
      <c r="I29" s="776"/>
      <c r="J29" s="781" t="s">
        <v>300</v>
      </c>
      <c r="K29" s="781"/>
      <c r="L29" s="781"/>
      <c r="M29" s="781"/>
      <c r="N29" s="781"/>
      <c r="O29" s="781"/>
      <c r="P29" s="776" t="s">
        <v>66</v>
      </c>
      <c r="Q29" s="776"/>
      <c r="R29" s="776"/>
      <c r="S29" s="776"/>
      <c r="T29" s="776"/>
      <c r="U29" s="776"/>
      <c r="V29" s="776" t="s">
        <v>66</v>
      </c>
      <c r="W29" s="776"/>
      <c r="X29" s="776"/>
      <c r="Y29" s="776"/>
      <c r="Z29" s="776"/>
      <c r="AA29" s="776"/>
      <c r="AB29" s="776"/>
      <c r="AC29" s="776"/>
      <c r="AD29" s="776" t="s">
        <v>66</v>
      </c>
      <c r="AE29" s="776"/>
      <c r="AF29" s="776"/>
      <c r="AG29" s="776"/>
      <c r="AH29" s="776"/>
      <c r="AI29" s="776"/>
      <c r="AJ29" s="776"/>
      <c r="AK29" s="776"/>
      <c r="AL29" s="776"/>
      <c r="AM29" s="776"/>
      <c r="AN29" s="776"/>
      <c r="AO29" s="776"/>
      <c r="AP29" s="781" t="s">
        <v>318</v>
      </c>
      <c r="AQ29" s="781"/>
      <c r="AR29" s="781"/>
      <c r="AS29" s="781"/>
      <c r="AT29" s="776" t="s">
        <v>13</v>
      </c>
      <c r="AU29" s="776"/>
      <c r="AV29" s="776"/>
      <c r="AW29" s="776"/>
      <c r="AX29" s="776"/>
      <c r="AY29" s="776"/>
    </row>
    <row r="30" spans="1:51" ht="15">
      <c r="A30" s="780"/>
      <c r="B30" s="780"/>
      <c r="C30" s="780"/>
      <c r="D30" s="776" t="s">
        <v>65</v>
      </c>
      <c r="E30" s="776"/>
      <c r="F30" s="776"/>
      <c r="G30" s="776"/>
      <c r="H30" s="776"/>
      <c r="I30" s="776"/>
      <c r="J30" s="781"/>
      <c r="K30" s="781"/>
      <c r="L30" s="781"/>
      <c r="M30" s="781"/>
      <c r="N30" s="781"/>
      <c r="O30" s="781"/>
      <c r="P30" s="776" t="s">
        <v>65</v>
      </c>
      <c r="Q30" s="776"/>
      <c r="R30" s="776"/>
      <c r="S30" s="776"/>
      <c r="T30" s="776"/>
      <c r="U30" s="776"/>
      <c r="V30" s="776" t="s">
        <v>65</v>
      </c>
      <c r="W30" s="776"/>
      <c r="X30" s="776"/>
      <c r="Y30" s="776"/>
      <c r="Z30" s="776"/>
      <c r="AA30" s="776"/>
      <c r="AB30" s="776"/>
      <c r="AC30" s="776"/>
      <c r="AD30" s="776" t="s">
        <v>65</v>
      </c>
      <c r="AE30" s="776"/>
      <c r="AF30" s="776"/>
      <c r="AG30" s="776"/>
      <c r="AH30" s="776"/>
      <c r="AI30" s="776"/>
      <c r="AJ30" s="776"/>
      <c r="AK30" s="776"/>
      <c r="AL30" s="776"/>
      <c r="AM30" s="776"/>
      <c r="AN30" s="776"/>
      <c r="AO30" s="776"/>
      <c r="AP30" s="781"/>
      <c r="AQ30" s="781"/>
      <c r="AR30" s="781"/>
      <c r="AS30" s="781"/>
      <c r="AT30" s="776" t="s">
        <v>65</v>
      </c>
      <c r="AU30" s="776"/>
      <c r="AV30" s="776"/>
      <c r="AW30" s="776"/>
      <c r="AX30" s="776"/>
      <c r="AY30" s="776"/>
    </row>
    <row r="31" spans="1:51" ht="15.75" customHeight="1">
      <c r="A31" s="780"/>
      <c r="B31" s="780"/>
      <c r="C31" s="780"/>
      <c r="D31" s="776" t="s">
        <v>297</v>
      </c>
      <c r="E31" s="776"/>
      <c r="F31" s="776"/>
      <c r="G31" s="776"/>
      <c r="H31" s="776"/>
      <c r="I31" s="776"/>
      <c r="J31" s="781"/>
      <c r="K31" s="781"/>
      <c r="L31" s="781"/>
      <c r="M31" s="781"/>
      <c r="N31" s="781"/>
      <c r="O31" s="781"/>
      <c r="P31" s="776" t="s">
        <v>297</v>
      </c>
      <c r="Q31" s="776"/>
      <c r="R31" s="776"/>
      <c r="S31" s="776"/>
      <c r="T31" s="776"/>
      <c r="U31" s="776"/>
      <c r="V31" s="776" t="s">
        <v>297</v>
      </c>
      <c r="W31" s="776"/>
      <c r="X31" s="776"/>
      <c r="Y31" s="776"/>
      <c r="Z31" s="776"/>
      <c r="AA31" s="776"/>
      <c r="AB31" s="776"/>
      <c r="AC31" s="776"/>
      <c r="AD31" s="776" t="s">
        <v>297</v>
      </c>
      <c r="AE31" s="776"/>
      <c r="AF31" s="776"/>
      <c r="AG31" s="776"/>
      <c r="AH31" s="776"/>
      <c r="AI31" s="776"/>
      <c r="AJ31" s="776"/>
      <c r="AK31" s="776"/>
      <c r="AL31" s="776"/>
      <c r="AM31" s="776"/>
      <c r="AN31" s="776"/>
      <c r="AO31" s="776"/>
      <c r="AP31" s="781"/>
      <c r="AQ31" s="781"/>
      <c r="AR31" s="781"/>
      <c r="AS31" s="781"/>
      <c r="AT31" s="776" t="s">
        <v>75</v>
      </c>
      <c r="AU31" s="776"/>
      <c r="AV31" s="776"/>
      <c r="AW31" s="776"/>
      <c r="AX31" s="776"/>
      <c r="AY31" s="776"/>
    </row>
  </sheetData>
  <sheetProtection/>
  <mergeCells count="57">
    <mergeCell ref="AV5:AV12"/>
    <mergeCell ref="A5:AG5"/>
    <mergeCell ref="A6:C8"/>
    <mergeCell ref="D6:E8"/>
    <mergeCell ref="F6:G8"/>
    <mergeCell ref="H6:I6"/>
    <mergeCell ref="A10:C10"/>
    <mergeCell ref="D9:AG9"/>
    <mergeCell ref="D10:AG10"/>
    <mergeCell ref="L11:L12"/>
    <mergeCell ref="AP29:AS31"/>
    <mergeCell ref="AX5:AX12"/>
    <mergeCell ref="AY5:AY12"/>
    <mergeCell ref="H7:I7"/>
    <mergeCell ref="H8:I8"/>
    <mergeCell ref="V30:AC30"/>
    <mergeCell ref="V31:AC31"/>
    <mergeCell ref="AW5:AW12"/>
    <mergeCell ref="AH5:AU10"/>
    <mergeCell ref="K6:U8"/>
    <mergeCell ref="A29:C31"/>
    <mergeCell ref="J29:O31"/>
    <mergeCell ref="P30:U30"/>
    <mergeCell ref="P31:U31"/>
    <mergeCell ref="V29:AC29"/>
    <mergeCell ref="A28:AY28"/>
    <mergeCell ref="AT30:AY30"/>
    <mergeCell ref="AT29:AY29"/>
    <mergeCell ref="AT31:AY31"/>
    <mergeCell ref="D29:I29"/>
    <mergeCell ref="U11:U12"/>
    <mergeCell ref="O11:S11"/>
    <mergeCell ref="T11:T12"/>
    <mergeCell ref="N11:N12"/>
    <mergeCell ref="A11:F11"/>
    <mergeCell ref="G11:H11"/>
    <mergeCell ref="M11:M12"/>
    <mergeCell ref="D30:I30"/>
    <mergeCell ref="D31:I31"/>
    <mergeCell ref="AD29:AO29"/>
    <mergeCell ref="AD30:AO30"/>
    <mergeCell ref="AD31:AO31"/>
    <mergeCell ref="AH11:AS11"/>
    <mergeCell ref="P29:U29"/>
    <mergeCell ref="I11:I12"/>
    <mergeCell ref="J11:J12"/>
    <mergeCell ref="K11:K12"/>
    <mergeCell ref="AX1:AY1"/>
    <mergeCell ref="AX2:AY2"/>
    <mergeCell ref="AX3:AY3"/>
    <mergeCell ref="AX4:AY4"/>
    <mergeCell ref="A1:AW1"/>
    <mergeCell ref="V11:AG11"/>
    <mergeCell ref="A9:C9"/>
    <mergeCell ref="A2:AW2"/>
    <mergeCell ref="A3:AW4"/>
    <mergeCell ref="AT11:AU11"/>
  </mergeCells>
  <printOptions/>
  <pageMargins left="0.7" right="0.7" top="0.75" bottom="0.75" header="0.3" footer="0.3"/>
  <pageSetup fitToHeight="1" fitToWidth="1" horizontalDpi="600" verticalDpi="600" orientation="landscape" scale="2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I1">
      <selection activeCell="C17" sqref="C17:Q17"/>
    </sheetView>
  </sheetViews>
  <sheetFormatPr defaultColWidth="19.421875" defaultRowHeight="15"/>
  <cols>
    <col min="1" max="1" width="29.57421875" style="113" bestFit="1" customWidth="1"/>
    <col min="2" max="17" width="11.00390625" style="113" customWidth="1"/>
    <col min="18" max="19" width="12.14062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809" t="s">
        <v>16</v>
      </c>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809"/>
      <c r="AY1" s="809"/>
      <c r="AZ1" s="809"/>
      <c r="BA1" s="809"/>
      <c r="BB1" s="809"/>
      <c r="BC1" s="809"/>
      <c r="BD1" s="809"/>
      <c r="BE1" s="809"/>
      <c r="BF1" s="809"/>
      <c r="BG1" s="809"/>
      <c r="BH1" s="809"/>
      <c r="BI1" s="810" t="s">
        <v>18</v>
      </c>
      <c r="BJ1" s="810"/>
      <c r="BK1" s="810"/>
    </row>
    <row r="2" spans="1:63" ht="15.75" customHeight="1">
      <c r="A2" s="809" t="s">
        <v>17</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809"/>
      <c r="AY2" s="809"/>
      <c r="AZ2" s="809"/>
      <c r="BA2" s="809"/>
      <c r="BB2" s="809"/>
      <c r="BC2" s="809"/>
      <c r="BD2" s="809"/>
      <c r="BE2" s="809"/>
      <c r="BF2" s="809"/>
      <c r="BG2" s="809"/>
      <c r="BH2" s="809"/>
      <c r="BI2" s="811" t="s">
        <v>418</v>
      </c>
      <c r="BJ2" s="811"/>
      <c r="BK2" s="811"/>
    </row>
    <row r="3" spans="1:63" ht="25.5" customHeight="1">
      <c r="A3" s="809" t="s">
        <v>187</v>
      </c>
      <c r="B3" s="809"/>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9"/>
      <c r="AL3" s="809"/>
      <c r="AM3" s="809"/>
      <c r="AN3" s="809"/>
      <c r="AO3" s="809"/>
      <c r="AP3" s="809"/>
      <c r="AQ3" s="809"/>
      <c r="AR3" s="809"/>
      <c r="AS3" s="809"/>
      <c r="AT3" s="809"/>
      <c r="AU3" s="809"/>
      <c r="AV3" s="809"/>
      <c r="AW3" s="809"/>
      <c r="AX3" s="809"/>
      <c r="AY3" s="809"/>
      <c r="AZ3" s="809"/>
      <c r="BA3" s="809"/>
      <c r="BB3" s="809"/>
      <c r="BC3" s="809"/>
      <c r="BD3" s="809"/>
      <c r="BE3" s="809"/>
      <c r="BF3" s="809"/>
      <c r="BG3" s="809"/>
      <c r="BH3" s="809"/>
      <c r="BI3" s="811" t="s">
        <v>424</v>
      </c>
      <c r="BJ3" s="811"/>
      <c r="BK3" s="811"/>
    </row>
    <row r="4" spans="1:63" ht="15.75" customHeight="1">
      <c r="A4" s="809" t="s">
        <v>172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809"/>
      <c r="BA4" s="809"/>
      <c r="BB4" s="809"/>
      <c r="BC4" s="809"/>
      <c r="BD4" s="809"/>
      <c r="BE4" s="809"/>
      <c r="BF4" s="809"/>
      <c r="BG4" s="809"/>
      <c r="BH4" s="809"/>
      <c r="BI4" s="806" t="s">
        <v>183</v>
      </c>
      <c r="BJ4" s="807"/>
      <c r="BK4" s="808"/>
    </row>
    <row r="5" spans="1:63" ht="25.5" customHeight="1">
      <c r="A5" s="812" t="s">
        <v>319</v>
      </c>
      <c r="B5" s="812"/>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G5" s="812" t="s">
        <v>320</v>
      </c>
      <c r="AH5" s="812"/>
      <c r="AI5" s="812"/>
      <c r="AJ5" s="812"/>
      <c r="AK5" s="812"/>
      <c r="AL5" s="812"/>
      <c r="AM5" s="812"/>
      <c r="AN5" s="812"/>
      <c r="AO5" s="812"/>
      <c r="AP5" s="812"/>
      <c r="AQ5" s="812"/>
      <c r="AR5" s="812"/>
      <c r="AS5" s="812"/>
      <c r="AT5" s="812"/>
      <c r="AU5" s="812"/>
      <c r="AV5" s="812"/>
      <c r="AW5" s="812"/>
      <c r="AX5" s="812"/>
      <c r="AY5" s="812"/>
      <c r="AZ5" s="812"/>
      <c r="BA5" s="812"/>
      <c r="BB5" s="812"/>
      <c r="BC5" s="812"/>
      <c r="BD5" s="812"/>
      <c r="BE5" s="812"/>
      <c r="BF5" s="812"/>
      <c r="BG5" s="812"/>
      <c r="BH5" s="812"/>
      <c r="BI5" s="813"/>
      <c r="BJ5" s="813"/>
      <c r="BK5" s="813"/>
    </row>
    <row r="6" spans="1:63" ht="31.5" customHeight="1">
      <c r="A6" s="169" t="s">
        <v>290</v>
      </c>
      <c r="B6" s="818"/>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8"/>
      <c r="AY6" s="818"/>
      <c r="AZ6" s="818"/>
      <c r="BA6" s="818"/>
      <c r="BB6" s="818"/>
      <c r="BC6" s="818"/>
      <c r="BD6" s="818"/>
      <c r="BE6" s="818"/>
      <c r="BF6" s="818"/>
      <c r="BG6" s="818"/>
      <c r="BH6" s="818"/>
      <c r="BI6" s="818"/>
      <c r="BJ6" s="818"/>
      <c r="BK6" s="818"/>
    </row>
    <row r="7" spans="1:63" ht="31.5" customHeight="1">
      <c r="A7" s="170" t="s">
        <v>177</v>
      </c>
      <c r="B7" s="816"/>
      <c r="C7" s="819"/>
      <c r="D7" s="819"/>
      <c r="E7" s="819"/>
      <c r="F7" s="819"/>
      <c r="G7" s="819"/>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819"/>
      <c r="AH7" s="819"/>
      <c r="AI7" s="819"/>
      <c r="AJ7" s="819"/>
      <c r="AK7" s="819"/>
      <c r="AL7" s="819"/>
      <c r="AM7" s="819"/>
      <c r="AN7" s="819"/>
      <c r="AO7" s="819"/>
      <c r="AP7" s="819"/>
      <c r="AQ7" s="819"/>
      <c r="AR7" s="819"/>
      <c r="AS7" s="819"/>
      <c r="AT7" s="819"/>
      <c r="AU7" s="819"/>
      <c r="AV7" s="819"/>
      <c r="AW7" s="819"/>
      <c r="AX7" s="819"/>
      <c r="AY7" s="819"/>
      <c r="AZ7" s="819"/>
      <c r="BA7" s="819"/>
      <c r="BB7" s="819"/>
      <c r="BC7" s="819"/>
      <c r="BD7" s="819"/>
      <c r="BE7" s="819"/>
      <c r="BF7" s="819"/>
      <c r="BG7" s="819"/>
      <c r="BH7" s="819"/>
      <c r="BI7" s="819"/>
      <c r="BJ7" s="819"/>
      <c r="BK7" s="817"/>
    </row>
    <row r="8" spans="1:41" ht="18.75" customHeight="1">
      <c r="A8" s="161"/>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G8" s="161"/>
      <c r="AH8" s="162"/>
      <c r="AI8" s="162"/>
      <c r="AJ8" s="162"/>
      <c r="AK8" s="162"/>
      <c r="AL8" s="162"/>
      <c r="AM8" s="162"/>
      <c r="AN8" s="162"/>
      <c r="AO8" s="162"/>
    </row>
    <row r="9" spans="1:63" ht="30" customHeight="1">
      <c r="A9" s="814" t="s">
        <v>90</v>
      </c>
      <c r="B9" s="213" t="s">
        <v>39</v>
      </c>
      <c r="C9" s="213" t="s">
        <v>40</v>
      </c>
      <c r="D9" s="816" t="s">
        <v>41</v>
      </c>
      <c r="E9" s="817"/>
      <c r="F9" s="213" t="s">
        <v>42</v>
      </c>
      <c r="G9" s="213" t="s">
        <v>43</v>
      </c>
      <c r="H9" s="816" t="s">
        <v>44</v>
      </c>
      <c r="I9" s="817"/>
      <c r="J9" s="213" t="s">
        <v>45</v>
      </c>
      <c r="K9" s="213" t="s">
        <v>46</v>
      </c>
      <c r="L9" s="816" t="s">
        <v>47</v>
      </c>
      <c r="M9" s="817"/>
      <c r="N9" s="213" t="s">
        <v>48</v>
      </c>
      <c r="O9" s="213" t="s">
        <v>49</v>
      </c>
      <c r="P9" s="816" t="s">
        <v>50</v>
      </c>
      <c r="Q9" s="817"/>
      <c r="R9" s="816" t="s">
        <v>91</v>
      </c>
      <c r="S9" s="817"/>
      <c r="T9" s="816" t="s">
        <v>289</v>
      </c>
      <c r="U9" s="819"/>
      <c r="V9" s="819"/>
      <c r="W9" s="819"/>
      <c r="X9" s="819"/>
      <c r="Y9" s="817"/>
      <c r="Z9" s="816" t="s">
        <v>288</v>
      </c>
      <c r="AA9" s="819"/>
      <c r="AB9" s="819"/>
      <c r="AC9" s="819"/>
      <c r="AD9" s="819"/>
      <c r="AE9" s="817"/>
      <c r="AG9" s="814" t="s">
        <v>90</v>
      </c>
      <c r="AH9" s="213" t="s">
        <v>39</v>
      </c>
      <c r="AI9" s="213" t="s">
        <v>40</v>
      </c>
      <c r="AJ9" s="816" t="s">
        <v>41</v>
      </c>
      <c r="AK9" s="817"/>
      <c r="AL9" s="213" t="s">
        <v>42</v>
      </c>
      <c r="AM9" s="213" t="s">
        <v>43</v>
      </c>
      <c r="AN9" s="816" t="s">
        <v>44</v>
      </c>
      <c r="AO9" s="817"/>
      <c r="AP9" s="213" t="s">
        <v>45</v>
      </c>
      <c r="AQ9" s="213" t="s">
        <v>46</v>
      </c>
      <c r="AR9" s="816" t="s">
        <v>47</v>
      </c>
      <c r="AS9" s="817"/>
      <c r="AT9" s="213" t="s">
        <v>48</v>
      </c>
      <c r="AU9" s="213" t="s">
        <v>49</v>
      </c>
      <c r="AV9" s="816" t="s">
        <v>50</v>
      </c>
      <c r="AW9" s="817"/>
      <c r="AX9" s="816" t="s">
        <v>91</v>
      </c>
      <c r="AY9" s="817"/>
      <c r="AZ9" s="816" t="s">
        <v>289</v>
      </c>
      <c r="BA9" s="819"/>
      <c r="BB9" s="819"/>
      <c r="BC9" s="819"/>
      <c r="BD9" s="819"/>
      <c r="BE9" s="817"/>
      <c r="BF9" s="816" t="s">
        <v>288</v>
      </c>
      <c r="BG9" s="819"/>
      <c r="BH9" s="819"/>
      <c r="BI9" s="819"/>
      <c r="BJ9" s="819"/>
      <c r="BK9" s="817"/>
    </row>
    <row r="10" spans="1:63" ht="36" customHeight="1">
      <c r="A10" s="815"/>
      <c r="B10" s="129" t="s">
        <v>372</v>
      </c>
      <c r="C10" s="129" t="s">
        <v>372</v>
      </c>
      <c r="D10" s="129" t="s">
        <v>372</v>
      </c>
      <c r="E10" s="129" t="s">
        <v>373</v>
      </c>
      <c r="F10" s="129" t="s">
        <v>372</v>
      </c>
      <c r="G10" s="129" t="s">
        <v>372</v>
      </c>
      <c r="H10" s="129" t="s">
        <v>372</v>
      </c>
      <c r="I10" s="129" t="s">
        <v>373</v>
      </c>
      <c r="J10" s="129" t="s">
        <v>372</v>
      </c>
      <c r="K10" s="129" t="s">
        <v>372</v>
      </c>
      <c r="L10" s="129" t="s">
        <v>372</v>
      </c>
      <c r="M10" s="129" t="s">
        <v>373</v>
      </c>
      <c r="N10" s="129" t="s">
        <v>372</v>
      </c>
      <c r="O10" s="129" t="s">
        <v>372</v>
      </c>
      <c r="P10" s="129" t="s">
        <v>372</v>
      </c>
      <c r="Q10" s="129" t="s">
        <v>373</v>
      </c>
      <c r="R10" s="129" t="s">
        <v>372</v>
      </c>
      <c r="S10" s="129" t="s">
        <v>373</v>
      </c>
      <c r="T10" s="205" t="s">
        <v>393</v>
      </c>
      <c r="U10" s="205" t="s">
        <v>394</v>
      </c>
      <c r="V10" s="205" t="s">
        <v>395</v>
      </c>
      <c r="W10" s="205" t="s">
        <v>305</v>
      </c>
      <c r="X10" s="206" t="s">
        <v>396</v>
      </c>
      <c r="Y10" s="205" t="s">
        <v>304</v>
      </c>
      <c r="Z10" s="129" t="s">
        <v>387</v>
      </c>
      <c r="AA10" s="163" t="s">
        <v>388</v>
      </c>
      <c r="AB10" s="129" t="s">
        <v>389</v>
      </c>
      <c r="AC10" s="129" t="s">
        <v>390</v>
      </c>
      <c r="AD10" s="129" t="s">
        <v>391</v>
      </c>
      <c r="AE10" s="129" t="s">
        <v>392</v>
      </c>
      <c r="AG10" s="815"/>
      <c r="AH10" s="129" t="s">
        <v>372</v>
      </c>
      <c r="AI10" s="129" t="s">
        <v>372</v>
      </c>
      <c r="AJ10" s="129" t="s">
        <v>372</v>
      </c>
      <c r="AK10" s="129" t="s">
        <v>373</v>
      </c>
      <c r="AL10" s="129" t="s">
        <v>372</v>
      </c>
      <c r="AM10" s="129" t="s">
        <v>372</v>
      </c>
      <c r="AN10" s="129" t="s">
        <v>372</v>
      </c>
      <c r="AO10" s="129" t="s">
        <v>373</v>
      </c>
      <c r="AP10" s="129" t="s">
        <v>372</v>
      </c>
      <c r="AQ10" s="129" t="s">
        <v>372</v>
      </c>
      <c r="AR10" s="129" t="s">
        <v>372</v>
      </c>
      <c r="AS10" s="129" t="s">
        <v>373</v>
      </c>
      <c r="AT10" s="129" t="s">
        <v>372</v>
      </c>
      <c r="AU10" s="129" t="s">
        <v>372</v>
      </c>
      <c r="AV10" s="129" t="s">
        <v>372</v>
      </c>
      <c r="AW10" s="129" t="s">
        <v>373</v>
      </c>
      <c r="AX10" s="129" t="s">
        <v>372</v>
      </c>
      <c r="AY10" s="129" t="s">
        <v>373</v>
      </c>
      <c r="AZ10" s="205" t="s">
        <v>393</v>
      </c>
      <c r="BA10" s="205" t="s">
        <v>394</v>
      </c>
      <c r="BB10" s="205" t="s">
        <v>395</v>
      </c>
      <c r="BC10" s="205" t="s">
        <v>305</v>
      </c>
      <c r="BD10" s="206" t="s">
        <v>396</v>
      </c>
      <c r="BE10" s="205" t="s">
        <v>304</v>
      </c>
      <c r="BF10" s="203" t="s">
        <v>387</v>
      </c>
      <c r="BG10" s="204" t="s">
        <v>388</v>
      </c>
      <c r="BH10" s="203" t="s">
        <v>389</v>
      </c>
      <c r="BI10" s="203" t="s">
        <v>390</v>
      </c>
      <c r="BJ10" s="203" t="s">
        <v>391</v>
      </c>
      <c r="BK10" s="203" t="s">
        <v>392</v>
      </c>
    </row>
    <row r="11" spans="1:63" ht="15">
      <c r="A11" s="164" t="s">
        <v>92</v>
      </c>
      <c r="B11" s="164"/>
      <c r="C11" s="164"/>
      <c r="D11" s="164"/>
      <c r="E11" s="221"/>
      <c r="F11" s="164"/>
      <c r="G11" s="164"/>
      <c r="H11" s="164"/>
      <c r="I11" s="221"/>
      <c r="J11" s="164"/>
      <c r="K11" s="164"/>
      <c r="L11" s="164"/>
      <c r="M11" s="221"/>
      <c r="N11" s="164"/>
      <c r="O11" s="164"/>
      <c r="P11" s="164"/>
      <c r="Q11" s="221"/>
      <c r="R11" s="209">
        <f aca="true" t="shared" si="0" ref="R11:R31">B11+C11+D11+F11+G11+H11+J11+K11+L11+N11+O11+P11</f>
        <v>0</v>
      </c>
      <c r="S11" s="171">
        <f>+E11+I11+M11+Q11</f>
        <v>0</v>
      </c>
      <c r="T11" s="207"/>
      <c r="U11" s="207"/>
      <c r="V11" s="207"/>
      <c r="W11" s="207"/>
      <c r="X11" s="207"/>
      <c r="Y11" s="166"/>
      <c r="Z11" s="166"/>
      <c r="AA11" s="166"/>
      <c r="AB11" s="166"/>
      <c r="AC11" s="166"/>
      <c r="AD11" s="166"/>
      <c r="AE11" s="167"/>
      <c r="AG11" s="164" t="s">
        <v>92</v>
      </c>
      <c r="AH11" s="164"/>
      <c r="AI11" s="164"/>
      <c r="AJ11" s="164"/>
      <c r="AK11" s="221"/>
      <c r="AL11" s="164"/>
      <c r="AM11" s="164"/>
      <c r="AN11" s="164"/>
      <c r="AO11" s="221"/>
      <c r="AP11" s="164"/>
      <c r="AQ11" s="164"/>
      <c r="AR11" s="164"/>
      <c r="AS11" s="221"/>
      <c r="AT11" s="164"/>
      <c r="AU11" s="164"/>
      <c r="AV11" s="164"/>
      <c r="AW11" s="221"/>
      <c r="AX11" s="209">
        <f aca="true" t="shared" si="1" ref="AX11:AX31">AH11+AI11+AJ11+AL11+AM11+AN11+AP11+AQ11+AR11+AT11+AU11+AV11</f>
        <v>0</v>
      </c>
      <c r="AY11" s="171">
        <f>+AK11+AO11+AS11+AW11</f>
        <v>0</v>
      </c>
      <c r="AZ11" s="166"/>
      <c r="BA11" s="166"/>
      <c r="BB11" s="166"/>
      <c r="BC11" s="166"/>
      <c r="BD11" s="166"/>
      <c r="BE11" s="166"/>
      <c r="BF11" s="166"/>
      <c r="BG11" s="166"/>
      <c r="BH11" s="166"/>
      <c r="BI11" s="166"/>
      <c r="BJ11" s="166"/>
      <c r="BK11" s="167"/>
    </row>
    <row r="12" spans="1:63" ht="15">
      <c r="A12" s="164" t="s">
        <v>93</v>
      </c>
      <c r="B12" s="164"/>
      <c r="C12" s="164"/>
      <c r="D12" s="164"/>
      <c r="E12" s="221"/>
      <c r="F12" s="164"/>
      <c r="G12" s="164"/>
      <c r="H12" s="164"/>
      <c r="I12" s="221"/>
      <c r="J12" s="164"/>
      <c r="K12" s="164"/>
      <c r="L12" s="164"/>
      <c r="M12" s="221"/>
      <c r="N12" s="164"/>
      <c r="O12" s="164"/>
      <c r="P12" s="164"/>
      <c r="Q12" s="221"/>
      <c r="R12" s="209">
        <f t="shared" si="0"/>
        <v>0</v>
      </c>
      <c r="S12" s="171">
        <f aca="true" t="shared" si="2" ref="S12:S31">+E12+I12+M12+Q12</f>
        <v>0</v>
      </c>
      <c r="T12" s="207"/>
      <c r="U12" s="207"/>
      <c r="V12" s="207"/>
      <c r="W12" s="207"/>
      <c r="X12" s="207"/>
      <c r="Y12" s="208"/>
      <c r="Z12" s="166"/>
      <c r="AA12" s="166"/>
      <c r="AB12" s="166"/>
      <c r="AC12" s="166"/>
      <c r="AD12" s="166"/>
      <c r="AE12" s="166"/>
      <c r="AG12" s="164" t="s">
        <v>93</v>
      </c>
      <c r="AH12" s="164"/>
      <c r="AI12" s="164"/>
      <c r="AJ12" s="164"/>
      <c r="AK12" s="221"/>
      <c r="AL12" s="164"/>
      <c r="AM12" s="164"/>
      <c r="AN12" s="164"/>
      <c r="AO12" s="221"/>
      <c r="AP12" s="164"/>
      <c r="AQ12" s="164"/>
      <c r="AR12" s="164"/>
      <c r="AS12" s="221"/>
      <c r="AT12" s="164"/>
      <c r="AU12" s="164"/>
      <c r="AV12" s="164"/>
      <c r="AW12" s="221"/>
      <c r="AX12" s="209">
        <f t="shared" si="1"/>
        <v>0</v>
      </c>
      <c r="AY12" s="171">
        <f aca="true" t="shared" si="3" ref="AY12:AY31">+AK12+AO12+AS12+AW12</f>
        <v>0</v>
      </c>
      <c r="AZ12" s="166"/>
      <c r="BA12" s="166"/>
      <c r="BB12" s="166"/>
      <c r="BC12" s="166"/>
      <c r="BD12" s="166"/>
      <c r="BE12" s="166"/>
      <c r="BF12" s="166"/>
      <c r="BG12" s="166"/>
      <c r="BH12" s="166"/>
      <c r="BI12" s="166"/>
      <c r="BJ12" s="166"/>
      <c r="BK12" s="166"/>
    </row>
    <row r="13" spans="1:63" ht="15">
      <c r="A13" s="164" t="s">
        <v>94</v>
      </c>
      <c r="B13" s="164"/>
      <c r="C13" s="164"/>
      <c r="D13" s="164"/>
      <c r="E13" s="221"/>
      <c r="F13" s="164"/>
      <c r="G13" s="164"/>
      <c r="H13" s="164"/>
      <c r="I13" s="221"/>
      <c r="J13" s="164"/>
      <c r="K13" s="164"/>
      <c r="L13" s="164"/>
      <c r="M13" s="221"/>
      <c r="N13" s="164"/>
      <c r="O13" s="164"/>
      <c r="P13" s="164"/>
      <c r="Q13" s="221"/>
      <c r="R13" s="209">
        <f t="shared" si="0"/>
        <v>0</v>
      </c>
      <c r="S13" s="171">
        <f t="shared" si="2"/>
        <v>0</v>
      </c>
      <c r="T13" s="207"/>
      <c r="U13" s="207"/>
      <c r="V13" s="207"/>
      <c r="W13" s="207"/>
      <c r="X13" s="207"/>
      <c r="Y13" s="208"/>
      <c r="Z13" s="166"/>
      <c r="AA13" s="166"/>
      <c r="AB13" s="166"/>
      <c r="AC13" s="166"/>
      <c r="AD13" s="166"/>
      <c r="AE13" s="166"/>
      <c r="AG13" s="164" t="s">
        <v>94</v>
      </c>
      <c r="AH13" s="164"/>
      <c r="AI13" s="164"/>
      <c r="AJ13" s="164"/>
      <c r="AK13" s="221"/>
      <c r="AL13" s="164"/>
      <c r="AM13" s="164"/>
      <c r="AN13" s="164"/>
      <c r="AO13" s="221"/>
      <c r="AP13" s="164"/>
      <c r="AQ13" s="164"/>
      <c r="AR13" s="164"/>
      <c r="AS13" s="221"/>
      <c r="AT13" s="164"/>
      <c r="AU13" s="164"/>
      <c r="AV13" s="164"/>
      <c r="AW13" s="221"/>
      <c r="AX13" s="209">
        <f t="shared" si="1"/>
        <v>0</v>
      </c>
      <c r="AY13" s="171">
        <f t="shared" si="3"/>
        <v>0</v>
      </c>
      <c r="AZ13" s="166"/>
      <c r="BA13" s="166"/>
      <c r="BB13" s="166"/>
      <c r="BC13" s="166"/>
      <c r="BD13" s="166"/>
      <c r="BE13" s="166"/>
      <c r="BF13" s="166"/>
      <c r="BG13" s="166"/>
      <c r="BH13" s="166"/>
      <c r="BI13" s="166"/>
      <c r="BJ13" s="166"/>
      <c r="BK13" s="166"/>
    </row>
    <row r="14" spans="1:63" ht="15">
      <c r="A14" s="164" t="s">
        <v>95</v>
      </c>
      <c r="B14" s="164"/>
      <c r="C14" s="164"/>
      <c r="D14" s="164"/>
      <c r="E14" s="221"/>
      <c r="F14" s="164"/>
      <c r="G14" s="164"/>
      <c r="H14" s="164"/>
      <c r="I14" s="221"/>
      <c r="J14" s="164"/>
      <c r="K14" s="164"/>
      <c r="L14" s="164"/>
      <c r="M14" s="221"/>
      <c r="N14" s="164"/>
      <c r="O14" s="164"/>
      <c r="P14" s="164"/>
      <c r="Q14" s="221"/>
      <c r="R14" s="209">
        <f t="shared" si="0"/>
        <v>0</v>
      </c>
      <c r="S14" s="171">
        <f t="shared" si="2"/>
        <v>0</v>
      </c>
      <c r="T14" s="207"/>
      <c r="U14" s="207"/>
      <c r="V14" s="207"/>
      <c r="W14" s="207"/>
      <c r="X14" s="207"/>
      <c r="Y14" s="208"/>
      <c r="Z14" s="166"/>
      <c r="AA14" s="166"/>
      <c r="AB14" s="166"/>
      <c r="AC14" s="166"/>
      <c r="AD14" s="166"/>
      <c r="AE14" s="166"/>
      <c r="AG14" s="164" t="s">
        <v>95</v>
      </c>
      <c r="AH14" s="164"/>
      <c r="AI14" s="164"/>
      <c r="AJ14" s="164"/>
      <c r="AK14" s="221"/>
      <c r="AL14" s="164"/>
      <c r="AM14" s="164"/>
      <c r="AN14" s="164"/>
      <c r="AO14" s="221"/>
      <c r="AP14" s="164"/>
      <c r="AQ14" s="164"/>
      <c r="AR14" s="164"/>
      <c r="AS14" s="221"/>
      <c r="AT14" s="164"/>
      <c r="AU14" s="164"/>
      <c r="AV14" s="164"/>
      <c r="AW14" s="221"/>
      <c r="AX14" s="209">
        <f t="shared" si="1"/>
        <v>0</v>
      </c>
      <c r="AY14" s="171">
        <f t="shared" si="3"/>
        <v>0</v>
      </c>
      <c r="AZ14" s="166"/>
      <c r="BA14" s="166"/>
      <c r="BB14" s="166"/>
      <c r="BC14" s="166"/>
      <c r="BD14" s="166"/>
      <c r="BE14" s="166"/>
      <c r="BF14" s="166"/>
      <c r="BG14" s="166"/>
      <c r="BH14" s="166"/>
      <c r="BI14" s="166"/>
      <c r="BJ14" s="166"/>
      <c r="BK14" s="166"/>
    </row>
    <row r="15" spans="1:63" ht="15">
      <c r="A15" s="164" t="s">
        <v>96</v>
      </c>
      <c r="B15" s="164"/>
      <c r="C15" s="164"/>
      <c r="D15" s="164"/>
      <c r="E15" s="221"/>
      <c r="F15" s="164"/>
      <c r="G15" s="164"/>
      <c r="H15" s="164"/>
      <c r="I15" s="221"/>
      <c r="J15" s="164"/>
      <c r="K15" s="164"/>
      <c r="L15" s="164"/>
      <c r="M15" s="221"/>
      <c r="N15" s="164"/>
      <c r="O15" s="164"/>
      <c r="P15" s="164"/>
      <c r="Q15" s="221"/>
      <c r="R15" s="209">
        <f t="shared" si="0"/>
        <v>0</v>
      </c>
      <c r="S15" s="171">
        <f t="shared" si="2"/>
        <v>0</v>
      </c>
      <c r="T15" s="207"/>
      <c r="U15" s="207"/>
      <c r="V15" s="207"/>
      <c r="W15" s="207"/>
      <c r="X15" s="207"/>
      <c r="Y15" s="208"/>
      <c r="Z15" s="166"/>
      <c r="AA15" s="166"/>
      <c r="AB15" s="166"/>
      <c r="AC15" s="166"/>
      <c r="AD15" s="166"/>
      <c r="AE15" s="166"/>
      <c r="AG15" s="164" t="s">
        <v>96</v>
      </c>
      <c r="AH15" s="164"/>
      <c r="AI15" s="164"/>
      <c r="AJ15" s="164"/>
      <c r="AK15" s="221"/>
      <c r="AL15" s="164"/>
      <c r="AM15" s="164"/>
      <c r="AN15" s="164"/>
      <c r="AO15" s="221"/>
      <c r="AP15" s="164"/>
      <c r="AQ15" s="164"/>
      <c r="AR15" s="164"/>
      <c r="AS15" s="221"/>
      <c r="AT15" s="164"/>
      <c r="AU15" s="164"/>
      <c r="AV15" s="164"/>
      <c r="AW15" s="221"/>
      <c r="AX15" s="209">
        <f t="shared" si="1"/>
        <v>0</v>
      </c>
      <c r="AY15" s="171">
        <f t="shared" si="3"/>
        <v>0</v>
      </c>
      <c r="AZ15" s="166"/>
      <c r="BA15" s="166"/>
      <c r="BB15" s="166"/>
      <c r="BC15" s="166"/>
      <c r="BD15" s="166"/>
      <c r="BE15" s="166"/>
      <c r="BF15" s="166"/>
      <c r="BG15" s="166"/>
      <c r="BH15" s="166"/>
      <c r="BI15" s="166"/>
      <c r="BJ15" s="166"/>
      <c r="BK15" s="166"/>
    </row>
    <row r="16" spans="1:63" ht="15">
      <c r="A16" s="164" t="s">
        <v>97</v>
      </c>
      <c r="B16" s="164"/>
      <c r="C16" s="164"/>
      <c r="D16" s="164"/>
      <c r="E16" s="221"/>
      <c r="F16" s="164"/>
      <c r="G16" s="164"/>
      <c r="H16" s="164"/>
      <c r="I16" s="221"/>
      <c r="J16" s="164"/>
      <c r="K16" s="164"/>
      <c r="L16" s="164"/>
      <c r="M16" s="221"/>
      <c r="N16" s="164"/>
      <c r="O16" s="164"/>
      <c r="P16" s="164"/>
      <c r="Q16" s="221"/>
      <c r="R16" s="209">
        <f t="shared" si="0"/>
        <v>0</v>
      </c>
      <c r="S16" s="171">
        <f t="shared" si="2"/>
        <v>0</v>
      </c>
      <c r="T16" s="207"/>
      <c r="U16" s="207"/>
      <c r="V16" s="207"/>
      <c r="W16" s="207"/>
      <c r="X16" s="207"/>
      <c r="Y16" s="208"/>
      <c r="Z16" s="166"/>
      <c r="AA16" s="166"/>
      <c r="AB16" s="166"/>
      <c r="AC16" s="166"/>
      <c r="AD16" s="166"/>
      <c r="AE16" s="166"/>
      <c r="AG16" s="164" t="s">
        <v>97</v>
      </c>
      <c r="AH16" s="164"/>
      <c r="AI16" s="164"/>
      <c r="AJ16" s="164"/>
      <c r="AK16" s="221"/>
      <c r="AL16" s="164"/>
      <c r="AM16" s="164"/>
      <c r="AN16" s="164"/>
      <c r="AO16" s="221"/>
      <c r="AP16" s="164"/>
      <c r="AQ16" s="164"/>
      <c r="AR16" s="164"/>
      <c r="AS16" s="221"/>
      <c r="AT16" s="164"/>
      <c r="AU16" s="164"/>
      <c r="AV16" s="164"/>
      <c r="AW16" s="221"/>
      <c r="AX16" s="209">
        <f t="shared" si="1"/>
        <v>0</v>
      </c>
      <c r="AY16" s="171">
        <f t="shared" si="3"/>
        <v>0</v>
      </c>
      <c r="AZ16" s="166"/>
      <c r="BA16" s="166"/>
      <c r="BB16" s="166"/>
      <c r="BC16" s="166"/>
      <c r="BD16" s="166"/>
      <c r="BE16" s="166"/>
      <c r="BF16" s="166"/>
      <c r="BG16" s="166"/>
      <c r="BH16" s="166"/>
      <c r="BI16" s="166"/>
      <c r="BJ16" s="166"/>
      <c r="BK16" s="166"/>
    </row>
    <row r="17" spans="1:63" ht="15">
      <c r="A17" s="164" t="s">
        <v>98</v>
      </c>
      <c r="B17" s="164"/>
      <c r="C17" s="164"/>
      <c r="D17" s="164"/>
      <c r="E17" s="221"/>
      <c r="F17" s="164"/>
      <c r="G17" s="164"/>
      <c r="H17" s="164"/>
      <c r="I17" s="221"/>
      <c r="J17" s="164"/>
      <c r="K17" s="164"/>
      <c r="L17" s="164"/>
      <c r="M17" s="221"/>
      <c r="N17" s="164"/>
      <c r="O17" s="164"/>
      <c r="P17" s="164"/>
      <c r="Q17" s="221"/>
      <c r="R17" s="209">
        <f t="shared" si="0"/>
        <v>0</v>
      </c>
      <c r="S17" s="171">
        <f t="shared" si="2"/>
        <v>0</v>
      </c>
      <c r="T17" s="207"/>
      <c r="U17" s="207"/>
      <c r="V17" s="207"/>
      <c r="W17" s="207"/>
      <c r="X17" s="207"/>
      <c r="Y17" s="208"/>
      <c r="Z17" s="166"/>
      <c r="AA17" s="166"/>
      <c r="AB17" s="166"/>
      <c r="AC17" s="166"/>
      <c r="AD17" s="166"/>
      <c r="AE17" s="166"/>
      <c r="AG17" s="164" t="s">
        <v>98</v>
      </c>
      <c r="AH17" s="164"/>
      <c r="AI17" s="164"/>
      <c r="AJ17" s="164"/>
      <c r="AK17" s="221"/>
      <c r="AL17" s="164"/>
      <c r="AM17" s="164"/>
      <c r="AN17" s="164"/>
      <c r="AO17" s="221"/>
      <c r="AP17" s="164"/>
      <c r="AQ17" s="164"/>
      <c r="AR17" s="164"/>
      <c r="AS17" s="221"/>
      <c r="AT17" s="164"/>
      <c r="AU17" s="164"/>
      <c r="AV17" s="164"/>
      <c r="AW17" s="221"/>
      <c r="AX17" s="209">
        <f t="shared" si="1"/>
        <v>0</v>
      </c>
      <c r="AY17" s="171">
        <f t="shared" si="3"/>
        <v>0</v>
      </c>
      <c r="AZ17" s="166"/>
      <c r="BA17" s="166"/>
      <c r="BB17" s="166"/>
      <c r="BC17" s="166"/>
      <c r="BD17" s="166"/>
      <c r="BE17" s="166"/>
      <c r="BF17" s="166"/>
      <c r="BG17" s="166"/>
      <c r="BH17" s="166"/>
      <c r="BI17" s="166"/>
      <c r="BJ17" s="166"/>
      <c r="BK17" s="166"/>
    </row>
    <row r="18" spans="1:63" ht="15">
      <c r="A18" s="164" t="s">
        <v>99</v>
      </c>
      <c r="B18" s="164"/>
      <c r="C18" s="164"/>
      <c r="D18" s="164"/>
      <c r="E18" s="221"/>
      <c r="F18" s="164"/>
      <c r="G18" s="164"/>
      <c r="H18" s="164"/>
      <c r="I18" s="221"/>
      <c r="J18" s="164"/>
      <c r="K18" s="164"/>
      <c r="L18" s="164"/>
      <c r="M18" s="221"/>
      <c r="N18" s="164"/>
      <c r="O18" s="164"/>
      <c r="P18" s="164"/>
      <c r="Q18" s="221"/>
      <c r="R18" s="209">
        <f t="shared" si="0"/>
        <v>0</v>
      </c>
      <c r="S18" s="171">
        <f t="shared" si="2"/>
        <v>0</v>
      </c>
      <c r="T18" s="207"/>
      <c r="U18" s="207"/>
      <c r="V18" s="207"/>
      <c r="W18" s="207"/>
      <c r="X18" s="207"/>
      <c r="Y18" s="208"/>
      <c r="Z18" s="166"/>
      <c r="AA18" s="166"/>
      <c r="AB18" s="166"/>
      <c r="AC18" s="166"/>
      <c r="AD18" s="166"/>
      <c r="AE18" s="166"/>
      <c r="AG18" s="164" t="s">
        <v>99</v>
      </c>
      <c r="AH18" s="164"/>
      <c r="AI18" s="164"/>
      <c r="AJ18" s="164"/>
      <c r="AK18" s="221"/>
      <c r="AL18" s="164"/>
      <c r="AM18" s="164"/>
      <c r="AN18" s="164"/>
      <c r="AO18" s="221"/>
      <c r="AP18" s="164"/>
      <c r="AQ18" s="164"/>
      <c r="AR18" s="164"/>
      <c r="AS18" s="221"/>
      <c r="AT18" s="164"/>
      <c r="AU18" s="164"/>
      <c r="AV18" s="164"/>
      <c r="AW18" s="221"/>
      <c r="AX18" s="209">
        <f t="shared" si="1"/>
        <v>0</v>
      </c>
      <c r="AY18" s="171">
        <f t="shared" si="3"/>
        <v>0</v>
      </c>
      <c r="AZ18" s="166"/>
      <c r="BA18" s="166"/>
      <c r="BB18" s="166"/>
      <c r="BC18" s="166"/>
      <c r="BD18" s="166"/>
      <c r="BE18" s="166"/>
      <c r="BF18" s="166"/>
      <c r="BG18" s="166"/>
      <c r="BH18" s="166"/>
      <c r="BI18" s="166"/>
      <c r="BJ18" s="166"/>
      <c r="BK18" s="166"/>
    </row>
    <row r="19" spans="1:63" ht="15">
      <c r="A19" s="164" t="s">
        <v>100</v>
      </c>
      <c r="B19" s="164"/>
      <c r="C19" s="164"/>
      <c r="D19" s="164"/>
      <c r="E19" s="221"/>
      <c r="F19" s="164"/>
      <c r="G19" s="164"/>
      <c r="H19" s="164"/>
      <c r="I19" s="221"/>
      <c r="J19" s="164"/>
      <c r="K19" s="164"/>
      <c r="L19" s="164"/>
      <c r="M19" s="221"/>
      <c r="N19" s="164"/>
      <c r="O19" s="164"/>
      <c r="P19" s="164"/>
      <c r="Q19" s="221"/>
      <c r="R19" s="209">
        <f t="shared" si="0"/>
        <v>0</v>
      </c>
      <c r="S19" s="171">
        <f t="shared" si="2"/>
        <v>0</v>
      </c>
      <c r="T19" s="207"/>
      <c r="U19" s="207"/>
      <c r="V19" s="207"/>
      <c r="W19" s="207"/>
      <c r="X19" s="207"/>
      <c r="Y19" s="208"/>
      <c r="Z19" s="166"/>
      <c r="AA19" s="166"/>
      <c r="AB19" s="166"/>
      <c r="AC19" s="166"/>
      <c r="AD19" s="166"/>
      <c r="AE19" s="166"/>
      <c r="AG19" s="164" t="s">
        <v>100</v>
      </c>
      <c r="AH19" s="164"/>
      <c r="AI19" s="164"/>
      <c r="AJ19" s="164"/>
      <c r="AK19" s="221"/>
      <c r="AL19" s="164"/>
      <c r="AM19" s="164"/>
      <c r="AN19" s="164"/>
      <c r="AO19" s="221"/>
      <c r="AP19" s="164"/>
      <c r="AQ19" s="164"/>
      <c r="AR19" s="164"/>
      <c r="AS19" s="221"/>
      <c r="AT19" s="164"/>
      <c r="AU19" s="164"/>
      <c r="AV19" s="164"/>
      <c r="AW19" s="221"/>
      <c r="AX19" s="209">
        <f t="shared" si="1"/>
        <v>0</v>
      </c>
      <c r="AY19" s="171">
        <f t="shared" si="3"/>
        <v>0</v>
      </c>
      <c r="AZ19" s="166"/>
      <c r="BA19" s="208"/>
      <c r="BB19" s="166"/>
      <c r="BC19" s="166"/>
      <c r="BD19" s="166"/>
      <c r="BE19" s="166"/>
      <c r="BF19" s="166"/>
      <c r="BG19" s="166"/>
      <c r="BH19" s="166"/>
      <c r="BI19" s="164"/>
      <c r="BJ19" s="164"/>
      <c r="BK19" s="164"/>
    </row>
    <row r="20" spans="1:63" ht="15">
      <c r="A20" s="164" t="s">
        <v>101</v>
      </c>
      <c r="B20" s="164"/>
      <c r="C20" s="164"/>
      <c r="D20" s="164"/>
      <c r="E20" s="221"/>
      <c r="F20" s="164"/>
      <c r="G20" s="164"/>
      <c r="H20" s="164"/>
      <c r="I20" s="221"/>
      <c r="J20" s="164"/>
      <c r="K20" s="164"/>
      <c r="L20" s="164"/>
      <c r="M20" s="221"/>
      <c r="N20" s="164"/>
      <c r="O20" s="164"/>
      <c r="P20" s="164"/>
      <c r="Q20" s="221"/>
      <c r="R20" s="209">
        <f t="shared" si="0"/>
        <v>0</v>
      </c>
      <c r="S20" s="171">
        <f t="shared" si="2"/>
        <v>0</v>
      </c>
      <c r="T20" s="207"/>
      <c r="U20" s="207"/>
      <c r="V20" s="207"/>
      <c r="W20" s="207"/>
      <c r="X20" s="207"/>
      <c r="Y20" s="208"/>
      <c r="Z20" s="166"/>
      <c r="AA20" s="166"/>
      <c r="AB20" s="166"/>
      <c r="AC20" s="166"/>
      <c r="AD20" s="166"/>
      <c r="AE20" s="166"/>
      <c r="AG20" s="164" t="s">
        <v>101</v>
      </c>
      <c r="AH20" s="164"/>
      <c r="AI20" s="164"/>
      <c r="AJ20" s="164"/>
      <c r="AK20" s="221"/>
      <c r="AL20" s="164"/>
      <c r="AM20" s="164"/>
      <c r="AN20" s="164"/>
      <c r="AO20" s="221"/>
      <c r="AP20" s="164"/>
      <c r="AQ20" s="164"/>
      <c r="AR20" s="164"/>
      <c r="AS20" s="221"/>
      <c r="AT20" s="164"/>
      <c r="AU20" s="164"/>
      <c r="AV20" s="164"/>
      <c r="AW20" s="221"/>
      <c r="AX20" s="209">
        <f t="shared" si="1"/>
        <v>0</v>
      </c>
      <c r="AY20" s="171">
        <f t="shared" si="3"/>
        <v>0</v>
      </c>
      <c r="AZ20" s="166"/>
      <c r="BA20" s="208"/>
      <c r="BB20" s="166"/>
      <c r="BC20" s="166"/>
      <c r="BD20" s="166"/>
      <c r="BE20" s="166"/>
      <c r="BF20" s="166"/>
      <c r="BG20" s="166"/>
      <c r="BH20" s="166"/>
      <c r="BI20" s="164"/>
      <c r="BJ20" s="164"/>
      <c r="BK20" s="164"/>
    </row>
    <row r="21" spans="1:63" ht="15">
      <c r="A21" s="164" t="s">
        <v>102</v>
      </c>
      <c r="B21" s="164"/>
      <c r="C21" s="164"/>
      <c r="D21" s="164"/>
      <c r="E21" s="221"/>
      <c r="F21" s="164"/>
      <c r="G21" s="164"/>
      <c r="H21" s="164"/>
      <c r="I21" s="221"/>
      <c r="J21" s="164"/>
      <c r="K21" s="164"/>
      <c r="L21" s="164"/>
      <c r="M21" s="221"/>
      <c r="N21" s="164"/>
      <c r="O21" s="164"/>
      <c r="P21" s="164"/>
      <c r="Q21" s="221"/>
      <c r="R21" s="209">
        <f t="shared" si="0"/>
        <v>0</v>
      </c>
      <c r="S21" s="171">
        <f t="shared" si="2"/>
        <v>0</v>
      </c>
      <c r="T21" s="207"/>
      <c r="U21" s="207"/>
      <c r="V21" s="207"/>
      <c r="W21" s="207"/>
      <c r="X21" s="207"/>
      <c r="Y21" s="208"/>
      <c r="Z21" s="166"/>
      <c r="AA21" s="166"/>
      <c r="AB21" s="166"/>
      <c r="AC21" s="166"/>
      <c r="AD21" s="166"/>
      <c r="AE21" s="166"/>
      <c r="AG21" s="164" t="s">
        <v>102</v>
      </c>
      <c r="AH21" s="164"/>
      <c r="AI21" s="164"/>
      <c r="AJ21" s="164"/>
      <c r="AK21" s="221"/>
      <c r="AL21" s="164"/>
      <c r="AM21" s="164"/>
      <c r="AN21" s="164"/>
      <c r="AO21" s="221"/>
      <c r="AP21" s="164"/>
      <c r="AQ21" s="164"/>
      <c r="AR21" s="164"/>
      <c r="AS21" s="221"/>
      <c r="AT21" s="164"/>
      <c r="AU21" s="164"/>
      <c r="AV21" s="164"/>
      <c r="AW21" s="221"/>
      <c r="AX21" s="209">
        <f t="shared" si="1"/>
        <v>0</v>
      </c>
      <c r="AY21" s="171">
        <f t="shared" si="3"/>
        <v>0</v>
      </c>
      <c r="AZ21" s="166"/>
      <c r="BA21" s="208"/>
      <c r="BB21" s="166"/>
      <c r="BC21" s="166"/>
      <c r="BD21" s="166"/>
      <c r="BE21" s="166"/>
      <c r="BF21" s="166"/>
      <c r="BG21" s="166"/>
      <c r="BH21" s="166"/>
      <c r="BI21" s="164"/>
      <c r="BJ21" s="164"/>
      <c r="BK21" s="164"/>
    </row>
    <row r="22" spans="1:63" ht="15">
      <c r="A22" s="164" t="s">
        <v>103</v>
      </c>
      <c r="B22" s="164"/>
      <c r="C22" s="164"/>
      <c r="D22" s="164"/>
      <c r="E22" s="221"/>
      <c r="F22" s="164"/>
      <c r="G22" s="164"/>
      <c r="H22" s="164"/>
      <c r="I22" s="221"/>
      <c r="J22" s="164"/>
      <c r="K22" s="164"/>
      <c r="L22" s="164"/>
      <c r="M22" s="221"/>
      <c r="N22" s="164"/>
      <c r="O22" s="164"/>
      <c r="P22" s="164"/>
      <c r="Q22" s="221"/>
      <c r="R22" s="209">
        <f t="shared" si="0"/>
        <v>0</v>
      </c>
      <c r="S22" s="171">
        <f t="shared" si="2"/>
        <v>0</v>
      </c>
      <c r="T22" s="207"/>
      <c r="U22" s="207"/>
      <c r="V22" s="207"/>
      <c r="W22" s="207"/>
      <c r="X22" s="207"/>
      <c r="Y22" s="208"/>
      <c r="Z22" s="166"/>
      <c r="AA22" s="166"/>
      <c r="AB22" s="166"/>
      <c r="AC22" s="166"/>
      <c r="AD22" s="166"/>
      <c r="AE22" s="166"/>
      <c r="AG22" s="164" t="s">
        <v>103</v>
      </c>
      <c r="AH22" s="164"/>
      <c r="AI22" s="164"/>
      <c r="AJ22" s="164"/>
      <c r="AK22" s="221"/>
      <c r="AL22" s="164"/>
      <c r="AM22" s="164"/>
      <c r="AN22" s="164"/>
      <c r="AO22" s="221"/>
      <c r="AP22" s="164"/>
      <c r="AQ22" s="164"/>
      <c r="AR22" s="164"/>
      <c r="AS22" s="221"/>
      <c r="AT22" s="164"/>
      <c r="AU22" s="164"/>
      <c r="AV22" s="164"/>
      <c r="AW22" s="221"/>
      <c r="AX22" s="209">
        <f t="shared" si="1"/>
        <v>0</v>
      </c>
      <c r="AY22" s="171">
        <f t="shared" si="3"/>
        <v>0</v>
      </c>
      <c r="AZ22" s="166"/>
      <c r="BA22" s="166"/>
      <c r="BB22" s="166"/>
      <c r="BC22" s="166"/>
      <c r="BD22" s="166"/>
      <c r="BE22" s="166"/>
      <c r="BF22" s="166"/>
      <c r="BG22" s="166"/>
      <c r="BH22" s="166"/>
      <c r="BI22" s="166"/>
      <c r="BJ22" s="166"/>
      <c r="BK22" s="166"/>
    </row>
    <row r="23" spans="1:63" ht="15">
      <c r="A23" s="164" t="s">
        <v>104</v>
      </c>
      <c r="B23" s="164"/>
      <c r="C23" s="164"/>
      <c r="D23" s="164"/>
      <c r="E23" s="221"/>
      <c r="F23" s="164"/>
      <c r="G23" s="164"/>
      <c r="H23" s="164"/>
      <c r="I23" s="221"/>
      <c r="J23" s="164"/>
      <c r="K23" s="164"/>
      <c r="L23" s="164"/>
      <c r="M23" s="221"/>
      <c r="N23" s="164"/>
      <c r="O23" s="164"/>
      <c r="P23" s="164"/>
      <c r="Q23" s="221"/>
      <c r="R23" s="209">
        <f t="shared" si="0"/>
        <v>0</v>
      </c>
      <c r="S23" s="171">
        <f t="shared" si="2"/>
        <v>0</v>
      </c>
      <c r="T23" s="207"/>
      <c r="U23" s="207"/>
      <c r="V23" s="207"/>
      <c r="W23" s="207"/>
      <c r="X23" s="207"/>
      <c r="Y23" s="208"/>
      <c r="Z23" s="166"/>
      <c r="AA23" s="166"/>
      <c r="AB23" s="166"/>
      <c r="AC23" s="166"/>
      <c r="AD23" s="166"/>
      <c r="AE23" s="166"/>
      <c r="AG23" s="164" t="s">
        <v>104</v>
      </c>
      <c r="AH23" s="164"/>
      <c r="AI23" s="164"/>
      <c r="AJ23" s="164"/>
      <c r="AK23" s="221"/>
      <c r="AL23" s="164"/>
      <c r="AM23" s="164"/>
      <c r="AN23" s="164"/>
      <c r="AO23" s="221"/>
      <c r="AP23" s="164"/>
      <c r="AQ23" s="164"/>
      <c r="AR23" s="164"/>
      <c r="AS23" s="221"/>
      <c r="AT23" s="164"/>
      <c r="AU23" s="164"/>
      <c r="AV23" s="164"/>
      <c r="AW23" s="221"/>
      <c r="AX23" s="209">
        <f t="shared" si="1"/>
        <v>0</v>
      </c>
      <c r="AY23" s="171">
        <f t="shared" si="3"/>
        <v>0</v>
      </c>
      <c r="AZ23" s="166"/>
      <c r="BA23" s="166"/>
      <c r="BB23" s="166"/>
      <c r="BC23" s="166"/>
      <c r="BD23" s="166"/>
      <c r="BE23" s="166"/>
      <c r="BF23" s="166"/>
      <c r="BG23" s="166"/>
      <c r="BH23" s="166"/>
      <c r="BI23" s="166"/>
      <c r="BJ23" s="166"/>
      <c r="BK23" s="166"/>
    </row>
    <row r="24" spans="1:63" ht="15">
      <c r="A24" s="164" t="s">
        <v>105</v>
      </c>
      <c r="B24" s="164"/>
      <c r="C24" s="164"/>
      <c r="D24" s="164"/>
      <c r="E24" s="221"/>
      <c r="F24" s="164"/>
      <c r="G24" s="164"/>
      <c r="H24" s="164"/>
      <c r="I24" s="221"/>
      <c r="J24" s="164"/>
      <c r="K24" s="164"/>
      <c r="L24" s="164"/>
      <c r="M24" s="221"/>
      <c r="N24" s="164"/>
      <c r="O24" s="164"/>
      <c r="P24" s="164"/>
      <c r="Q24" s="221"/>
      <c r="R24" s="209">
        <f t="shared" si="0"/>
        <v>0</v>
      </c>
      <c r="S24" s="171">
        <f t="shared" si="2"/>
        <v>0</v>
      </c>
      <c r="T24" s="207"/>
      <c r="U24" s="207"/>
      <c r="V24" s="207"/>
      <c r="W24" s="207"/>
      <c r="X24" s="207"/>
      <c r="Y24" s="208"/>
      <c r="Z24" s="166"/>
      <c r="AA24" s="166"/>
      <c r="AB24" s="166"/>
      <c r="AC24" s="166"/>
      <c r="AD24" s="166"/>
      <c r="AE24" s="166"/>
      <c r="AG24" s="164" t="s">
        <v>105</v>
      </c>
      <c r="AH24" s="164"/>
      <c r="AI24" s="164"/>
      <c r="AJ24" s="164"/>
      <c r="AK24" s="221"/>
      <c r="AL24" s="164"/>
      <c r="AM24" s="164"/>
      <c r="AN24" s="164"/>
      <c r="AO24" s="221"/>
      <c r="AP24" s="164"/>
      <c r="AQ24" s="164"/>
      <c r="AR24" s="164"/>
      <c r="AS24" s="221"/>
      <c r="AT24" s="164"/>
      <c r="AU24" s="164"/>
      <c r="AV24" s="164"/>
      <c r="AW24" s="221"/>
      <c r="AX24" s="209">
        <f t="shared" si="1"/>
        <v>0</v>
      </c>
      <c r="AY24" s="171">
        <f t="shared" si="3"/>
        <v>0</v>
      </c>
      <c r="AZ24" s="166"/>
      <c r="BA24" s="166"/>
      <c r="BB24" s="166"/>
      <c r="BC24" s="166"/>
      <c r="BD24" s="166"/>
      <c r="BE24" s="166"/>
      <c r="BF24" s="166"/>
      <c r="BG24" s="166"/>
      <c r="BH24" s="166"/>
      <c r="BI24" s="166"/>
      <c r="BJ24" s="166"/>
      <c r="BK24" s="166"/>
    </row>
    <row r="25" spans="1:63" ht="15">
      <c r="A25" s="164" t="s">
        <v>106</v>
      </c>
      <c r="B25" s="164"/>
      <c r="C25" s="164"/>
      <c r="D25" s="164"/>
      <c r="E25" s="221"/>
      <c r="F25" s="164"/>
      <c r="G25" s="164"/>
      <c r="H25" s="164"/>
      <c r="I25" s="221"/>
      <c r="J25" s="164"/>
      <c r="K25" s="164"/>
      <c r="L25" s="164"/>
      <c r="M25" s="221"/>
      <c r="N25" s="164"/>
      <c r="O25" s="164"/>
      <c r="P25" s="164"/>
      <c r="Q25" s="221"/>
      <c r="R25" s="209">
        <f t="shared" si="0"/>
        <v>0</v>
      </c>
      <c r="S25" s="171">
        <f t="shared" si="2"/>
        <v>0</v>
      </c>
      <c r="T25" s="207"/>
      <c r="U25" s="207"/>
      <c r="V25" s="207"/>
      <c r="W25" s="207"/>
      <c r="X25" s="207"/>
      <c r="Y25" s="208"/>
      <c r="Z25" s="166"/>
      <c r="AA25" s="166"/>
      <c r="AB25" s="166"/>
      <c r="AC25" s="166"/>
      <c r="AD25" s="166"/>
      <c r="AE25" s="166"/>
      <c r="AG25" s="164" t="s">
        <v>106</v>
      </c>
      <c r="AH25" s="164"/>
      <c r="AI25" s="164"/>
      <c r="AJ25" s="164"/>
      <c r="AK25" s="221"/>
      <c r="AL25" s="164"/>
      <c r="AM25" s="164"/>
      <c r="AN25" s="164"/>
      <c r="AO25" s="221"/>
      <c r="AP25" s="164"/>
      <c r="AQ25" s="164"/>
      <c r="AR25" s="164"/>
      <c r="AS25" s="221"/>
      <c r="AT25" s="164"/>
      <c r="AU25" s="164"/>
      <c r="AV25" s="164"/>
      <c r="AW25" s="221"/>
      <c r="AX25" s="209">
        <f t="shared" si="1"/>
        <v>0</v>
      </c>
      <c r="AY25" s="171">
        <f t="shared" si="3"/>
        <v>0</v>
      </c>
      <c r="AZ25" s="166"/>
      <c r="BA25" s="166"/>
      <c r="BB25" s="166"/>
      <c r="BC25" s="166"/>
      <c r="BD25" s="166"/>
      <c r="BE25" s="166"/>
      <c r="BF25" s="166"/>
      <c r="BG25" s="166"/>
      <c r="BH25" s="166"/>
      <c r="BI25" s="166"/>
      <c r="BJ25" s="166"/>
      <c r="BK25" s="166"/>
    </row>
    <row r="26" spans="1:63" ht="15">
      <c r="A26" s="164" t="s">
        <v>107</v>
      </c>
      <c r="B26" s="164"/>
      <c r="C26" s="164"/>
      <c r="D26" s="164"/>
      <c r="E26" s="221"/>
      <c r="F26" s="164"/>
      <c r="G26" s="164"/>
      <c r="H26" s="164"/>
      <c r="I26" s="221"/>
      <c r="J26" s="164"/>
      <c r="K26" s="164"/>
      <c r="L26" s="164"/>
      <c r="M26" s="221"/>
      <c r="N26" s="164"/>
      <c r="O26" s="164"/>
      <c r="P26" s="164"/>
      <c r="Q26" s="221"/>
      <c r="R26" s="209">
        <f t="shared" si="0"/>
        <v>0</v>
      </c>
      <c r="S26" s="171">
        <f t="shared" si="2"/>
        <v>0</v>
      </c>
      <c r="T26" s="207"/>
      <c r="U26" s="207"/>
      <c r="V26" s="207"/>
      <c r="W26" s="207"/>
      <c r="X26" s="207"/>
      <c r="Y26" s="208"/>
      <c r="Z26" s="166"/>
      <c r="AA26" s="166"/>
      <c r="AB26" s="166"/>
      <c r="AC26" s="166"/>
      <c r="AD26" s="166"/>
      <c r="AE26" s="166"/>
      <c r="AG26" s="164" t="s">
        <v>107</v>
      </c>
      <c r="AH26" s="164"/>
      <c r="AI26" s="164"/>
      <c r="AJ26" s="164"/>
      <c r="AK26" s="221"/>
      <c r="AL26" s="164"/>
      <c r="AM26" s="164"/>
      <c r="AN26" s="164"/>
      <c r="AO26" s="221"/>
      <c r="AP26" s="164"/>
      <c r="AQ26" s="164"/>
      <c r="AR26" s="164"/>
      <c r="AS26" s="221"/>
      <c r="AT26" s="164"/>
      <c r="AU26" s="164"/>
      <c r="AV26" s="164"/>
      <c r="AW26" s="221"/>
      <c r="AX26" s="209">
        <f t="shared" si="1"/>
        <v>0</v>
      </c>
      <c r="AY26" s="171">
        <f t="shared" si="3"/>
        <v>0</v>
      </c>
      <c r="AZ26" s="166"/>
      <c r="BA26" s="166"/>
      <c r="BB26" s="166"/>
      <c r="BC26" s="166"/>
      <c r="BD26" s="166"/>
      <c r="BE26" s="166"/>
      <c r="BF26" s="166"/>
      <c r="BG26" s="166"/>
      <c r="BH26" s="166"/>
      <c r="BI26" s="166"/>
      <c r="BJ26" s="166"/>
      <c r="BK26" s="166"/>
    </row>
    <row r="27" spans="1:63" ht="15">
      <c r="A27" s="164" t="s">
        <v>108</v>
      </c>
      <c r="B27" s="164"/>
      <c r="C27" s="164"/>
      <c r="D27" s="164"/>
      <c r="E27" s="221"/>
      <c r="F27" s="164"/>
      <c r="G27" s="164"/>
      <c r="H27" s="164"/>
      <c r="I27" s="221"/>
      <c r="J27" s="164"/>
      <c r="K27" s="164"/>
      <c r="L27" s="164"/>
      <c r="M27" s="221"/>
      <c r="N27" s="164"/>
      <c r="O27" s="164"/>
      <c r="P27" s="164"/>
      <c r="Q27" s="221"/>
      <c r="R27" s="209">
        <f t="shared" si="0"/>
        <v>0</v>
      </c>
      <c r="S27" s="171">
        <f t="shared" si="2"/>
        <v>0</v>
      </c>
      <c r="T27" s="207"/>
      <c r="U27" s="207"/>
      <c r="V27" s="207"/>
      <c r="W27" s="207"/>
      <c r="X27" s="207"/>
      <c r="Y27" s="208"/>
      <c r="Z27" s="166"/>
      <c r="AA27" s="166"/>
      <c r="AB27" s="166"/>
      <c r="AC27" s="166"/>
      <c r="AD27" s="166"/>
      <c r="AE27" s="166"/>
      <c r="AG27" s="164" t="s">
        <v>108</v>
      </c>
      <c r="AH27" s="164"/>
      <c r="AI27" s="164"/>
      <c r="AJ27" s="164"/>
      <c r="AK27" s="221"/>
      <c r="AL27" s="164"/>
      <c r="AM27" s="164"/>
      <c r="AN27" s="164"/>
      <c r="AO27" s="221"/>
      <c r="AP27" s="164"/>
      <c r="AQ27" s="164"/>
      <c r="AR27" s="164"/>
      <c r="AS27" s="221"/>
      <c r="AT27" s="164"/>
      <c r="AU27" s="164"/>
      <c r="AV27" s="164"/>
      <c r="AW27" s="221"/>
      <c r="AX27" s="209">
        <f t="shared" si="1"/>
        <v>0</v>
      </c>
      <c r="AY27" s="171">
        <f t="shared" si="3"/>
        <v>0</v>
      </c>
      <c r="AZ27" s="166"/>
      <c r="BA27" s="166"/>
      <c r="BB27" s="166"/>
      <c r="BC27" s="166"/>
      <c r="BD27" s="166"/>
      <c r="BE27" s="166"/>
      <c r="BF27" s="166"/>
      <c r="BG27" s="166"/>
      <c r="BH27" s="166"/>
      <c r="BI27" s="166"/>
      <c r="BJ27" s="166"/>
      <c r="BK27" s="166"/>
    </row>
    <row r="28" spans="1:63" ht="15">
      <c r="A28" s="164" t="s">
        <v>109</v>
      </c>
      <c r="B28" s="164"/>
      <c r="C28" s="164"/>
      <c r="D28" s="164"/>
      <c r="E28" s="221"/>
      <c r="F28" s="164"/>
      <c r="G28" s="164"/>
      <c r="H28" s="164"/>
      <c r="I28" s="221"/>
      <c r="J28" s="164"/>
      <c r="K28" s="164"/>
      <c r="L28" s="164"/>
      <c r="M28" s="221"/>
      <c r="N28" s="164"/>
      <c r="O28" s="164"/>
      <c r="P28" s="164"/>
      <c r="Q28" s="221"/>
      <c r="R28" s="209">
        <f t="shared" si="0"/>
        <v>0</v>
      </c>
      <c r="S28" s="171">
        <f t="shared" si="2"/>
        <v>0</v>
      </c>
      <c r="T28" s="207"/>
      <c r="U28" s="207"/>
      <c r="V28" s="207"/>
      <c r="W28" s="207"/>
      <c r="X28" s="207"/>
      <c r="Y28" s="208"/>
      <c r="Z28" s="166"/>
      <c r="AA28" s="166"/>
      <c r="AB28" s="166"/>
      <c r="AC28" s="166"/>
      <c r="AD28" s="166"/>
      <c r="AE28" s="166"/>
      <c r="AG28" s="164" t="s">
        <v>109</v>
      </c>
      <c r="AH28" s="164"/>
      <c r="AI28" s="164"/>
      <c r="AJ28" s="164"/>
      <c r="AK28" s="221"/>
      <c r="AL28" s="164"/>
      <c r="AM28" s="164"/>
      <c r="AN28" s="164"/>
      <c r="AO28" s="221"/>
      <c r="AP28" s="164"/>
      <c r="AQ28" s="164"/>
      <c r="AR28" s="164"/>
      <c r="AS28" s="221"/>
      <c r="AT28" s="164"/>
      <c r="AU28" s="164"/>
      <c r="AV28" s="164"/>
      <c r="AW28" s="221"/>
      <c r="AX28" s="209">
        <f t="shared" si="1"/>
        <v>0</v>
      </c>
      <c r="AY28" s="171">
        <f t="shared" si="3"/>
        <v>0</v>
      </c>
      <c r="AZ28" s="166"/>
      <c r="BA28" s="166"/>
      <c r="BB28" s="166"/>
      <c r="BC28" s="166"/>
      <c r="BD28" s="166"/>
      <c r="BE28" s="166"/>
      <c r="BF28" s="166"/>
      <c r="BG28" s="166"/>
      <c r="BH28" s="166"/>
      <c r="BI28" s="166"/>
      <c r="BJ28" s="166"/>
      <c r="BK28" s="166"/>
    </row>
    <row r="29" spans="1:63" ht="15">
      <c r="A29" s="164" t="s">
        <v>110</v>
      </c>
      <c r="B29" s="164"/>
      <c r="C29" s="164"/>
      <c r="D29" s="164"/>
      <c r="E29" s="221"/>
      <c r="F29" s="164"/>
      <c r="G29" s="164"/>
      <c r="H29" s="164"/>
      <c r="I29" s="221"/>
      <c r="J29" s="164"/>
      <c r="K29" s="164"/>
      <c r="L29" s="164"/>
      <c r="M29" s="221"/>
      <c r="N29" s="164"/>
      <c r="O29" s="164"/>
      <c r="P29" s="164"/>
      <c r="Q29" s="221"/>
      <c r="R29" s="209">
        <f t="shared" si="0"/>
        <v>0</v>
      </c>
      <c r="S29" s="171">
        <f t="shared" si="2"/>
        <v>0</v>
      </c>
      <c r="T29" s="207"/>
      <c r="U29" s="207"/>
      <c r="V29" s="207"/>
      <c r="W29" s="207"/>
      <c r="X29" s="207"/>
      <c r="Y29" s="208"/>
      <c r="Z29" s="166"/>
      <c r="AA29" s="166"/>
      <c r="AB29" s="166"/>
      <c r="AC29" s="166"/>
      <c r="AD29" s="166"/>
      <c r="AE29" s="166"/>
      <c r="AG29" s="164" t="s">
        <v>110</v>
      </c>
      <c r="AH29" s="164"/>
      <c r="AI29" s="164"/>
      <c r="AJ29" s="164"/>
      <c r="AK29" s="221"/>
      <c r="AL29" s="164"/>
      <c r="AM29" s="164"/>
      <c r="AN29" s="164"/>
      <c r="AO29" s="221"/>
      <c r="AP29" s="164"/>
      <c r="AQ29" s="164"/>
      <c r="AR29" s="164"/>
      <c r="AS29" s="221"/>
      <c r="AT29" s="164"/>
      <c r="AU29" s="164"/>
      <c r="AV29" s="164"/>
      <c r="AW29" s="221"/>
      <c r="AX29" s="209">
        <f t="shared" si="1"/>
        <v>0</v>
      </c>
      <c r="AY29" s="171">
        <f t="shared" si="3"/>
        <v>0</v>
      </c>
      <c r="AZ29" s="166"/>
      <c r="BA29" s="166"/>
      <c r="BB29" s="166"/>
      <c r="BC29" s="166"/>
      <c r="BD29" s="166"/>
      <c r="BE29" s="166"/>
      <c r="BF29" s="166"/>
      <c r="BG29" s="166"/>
      <c r="BH29" s="166"/>
      <c r="BI29" s="166"/>
      <c r="BJ29" s="166"/>
      <c r="BK29" s="166"/>
    </row>
    <row r="30" spans="1:63" ht="15">
      <c r="A30" s="164" t="s">
        <v>111</v>
      </c>
      <c r="B30" s="164"/>
      <c r="C30" s="164"/>
      <c r="D30" s="164"/>
      <c r="E30" s="221"/>
      <c r="F30" s="164"/>
      <c r="G30" s="164"/>
      <c r="H30" s="164"/>
      <c r="I30" s="221"/>
      <c r="J30" s="164"/>
      <c r="K30" s="164"/>
      <c r="L30" s="164"/>
      <c r="M30" s="221"/>
      <c r="N30" s="164"/>
      <c r="O30" s="164"/>
      <c r="P30" s="164"/>
      <c r="Q30" s="221"/>
      <c r="R30" s="209">
        <f t="shared" si="0"/>
        <v>0</v>
      </c>
      <c r="S30" s="171">
        <f t="shared" si="2"/>
        <v>0</v>
      </c>
      <c r="T30" s="207"/>
      <c r="U30" s="207"/>
      <c r="V30" s="207"/>
      <c r="W30" s="207"/>
      <c r="X30" s="207"/>
      <c r="Y30" s="208"/>
      <c r="Z30" s="166"/>
      <c r="AA30" s="166"/>
      <c r="AB30" s="166"/>
      <c r="AC30" s="166"/>
      <c r="AD30" s="166"/>
      <c r="AE30" s="166"/>
      <c r="AG30" s="164" t="s">
        <v>111</v>
      </c>
      <c r="AH30" s="164"/>
      <c r="AI30" s="164"/>
      <c r="AJ30" s="164"/>
      <c r="AK30" s="221"/>
      <c r="AL30" s="164"/>
      <c r="AM30" s="164"/>
      <c r="AN30" s="164"/>
      <c r="AO30" s="221"/>
      <c r="AP30" s="164"/>
      <c r="AQ30" s="164"/>
      <c r="AR30" s="164"/>
      <c r="AS30" s="221"/>
      <c r="AT30" s="164"/>
      <c r="AU30" s="164"/>
      <c r="AV30" s="164"/>
      <c r="AW30" s="221"/>
      <c r="AX30" s="209">
        <f t="shared" si="1"/>
        <v>0</v>
      </c>
      <c r="AY30" s="171">
        <f t="shared" si="3"/>
        <v>0</v>
      </c>
      <c r="AZ30" s="166"/>
      <c r="BA30" s="166"/>
      <c r="BB30" s="166"/>
      <c r="BC30" s="166"/>
      <c r="BD30" s="166"/>
      <c r="BE30" s="166"/>
      <c r="BF30" s="166"/>
      <c r="BG30" s="166"/>
      <c r="BH30" s="166"/>
      <c r="BI30" s="166"/>
      <c r="BJ30" s="166"/>
      <c r="BK30" s="166"/>
    </row>
    <row r="31" spans="1:63" ht="15">
      <c r="A31" s="164" t="s">
        <v>112</v>
      </c>
      <c r="B31" s="164"/>
      <c r="C31" s="164"/>
      <c r="D31" s="164"/>
      <c r="E31" s="221"/>
      <c r="F31" s="164"/>
      <c r="G31" s="164"/>
      <c r="H31" s="164"/>
      <c r="I31" s="221"/>
      <c r="J31" s="164"/>
      <c r="K31" s="164"/>
      <c r="L31" s="164"/>
      <c r="M31" s="221"/>
      <c r="N31" s="164"/>
      <c r="O31" s="164"/>
      <c r="P31" s="164"/>
      <c r="Q31" s="221"/>
      <c r="R31" s="209">
        <f t="shared" si="0"/>
        <v>0</v>
      </c>
      <c r="S31" s="171">
        <f t="shared" si="2"/>
        <v>0</v>
      </c>
      <c r="T31" s="207"/>
      <c r="U31" s="207"/>
      <c r="V31" s="207"/>
      <c r="W31" s="207"/>
      <c r="X31" s="207"/>
      <c r="Y31" s="208"/>
      <c r="Z31" s="166"/>
      <c r="AA31" s="166"/>
      <c r="AB31" s="166"/>
      <c r="AC31" s="166"/>
      <c r="AD31" s="166"/>
      <c r="AE31" s="166"/>
      <c r="AG31" s="164" t="s">
        <v>112</v>
      </c>
      <c r="AH31" s="164"/>
      <c r="AI31" s="164"/>
      <c r="AJ31" s="164"/>
      <c r="AK31" s="221"/>
      <c r="AL31" s="164"/>
      <c r="AM31" s="164"/>
      <c r="AN31" s="164"/>
      <c r="AO31" s="221"/>
      <c r="AP31" s="164"/>
      <c r="AQ31" s="164"/>
      <c r="AR31" s="164"/>
      <c r="AS31" s="221"/>
      <c r="AT31" s="164"/>
      <c r="AU31" s="164"/>
      <c r="AV31" s="164"/>
      <c r="AW31" s="221"/>
      <c r="AX31" s="209">
        <f t="shared" si="1"/>
        <v>0</v>
      </c>
      <c r="AY31" s="171">
        <f t="shared" si="3"/>
        <v>0</v>
      </c>
      <c r="AZ31" s="166"/>
      <c r="BA31" s="166"/>
      <c r="BB31" s="166"/>
      <c r="BC31" s="166"/>
      <c r="BD31" s="166"/>
      <c r="BE31" s="166"/>
      <c r="BF31" s="166"/>
      <c r="BG31" s="166"/>
      <c r="BH31" s="166"/>
      <c r="BI31" s="166"/>
      <c r="BJ31" s="166"/>
      <c r="BK31" s="166"/>
    </row>
    <row r="32" spans="1:63" ht="15">
      <c r="A32" s="168" t="s">
        <v>113</v>
      </c>
      <c r="B32" s="165">
        <f>SUM(B11:B31)</f>
        <v>0</v>
      </c>
      <c r="C32" s="165">
        <f aca="true" t="shared" si="4" ref="C32:AE32">SUM(C11:C31)</f>
        <v>0</v>
      </c>
      <c r="D32" s="165">
        <f t="shared" si="4"/>
        <v>0</v>
      </c>
      <c r="E32" s="222">
        <f>SUM(E11:E31)</f>
        <v>0</v>
      </c>
      <c r="F32" s="165">
        <f t="shared" si="4"/>
        <v>0</v>
      </c>
      <c r="G32" s="165">
        <f t="shared" si="4"/>
        <v>0</v>
      </c>
      <c r="H32" s="165">
        <f t="shared" si="4"/>
        <v>0</v>
      </c>
      <c r="I32" s="222">
        <f>SUM(I11:I31)</f>
        <v>0</v>
      </c>
      <c r="J32" s="165">
        <f t="shared" si="4"/>
        <v>0</v>
      </c>
      <c r="K32" s="165">
        <f t="shared" si="4"/>
        <v>0</v>
      </c>
      <c r="L32" s="165">
        <f t="shared" si="4"/>
        <v>0</v>
      </c>
      <c r="M32" s="222">
        <f>SUM(M11:M31)</f>
        <v>0</v>
      </c>
      <c r="N32" s="165">
        <f t="shared" si="4"/>
        <v>0</v>
      </c>
      <c r="O32" s="165">
        <f t="shared" si="4"/>
        <v>0</v>
      </c>
      <c r="P32" s="165">
        <f t="shared" si="4"/>
        <v>0</v>
      </c>
      <c r="Q32" s="222">
        <f>SUM(Q11:Q31)</f>
        <v>0</v>
      </c>
      <c r="R32" s="165">
        <f t="shared" si="4"/>
        <v>0</v>
      </c>
      <c r="S32" s="171">
        <f t="shared" si="4"/>
        <v>0</v>
      </c>
      <c r="T32" s="165">
        <f t="shared" si="4"/>
        <v>0</v>
      </c>
      <c r="U32" s="165">
        <f t="shared" si="4"/>
        <v>0</v>
      </c>
      <c r="V32" s="165">
        <f t="shared" si="4"/>
        <v>0</v>
      </c>
      <c r="W32" s="165">
        <f t="shared" si="4"/>
        <v>0</v>
      </c>
      <c r="X32" s="165">
        <f t="shared" si="4"/>
        <v>0</v>
      </c>
      <c r="Y32" s="165">
        <f t="shared" si="4"/>
        <v>0</v>
      </c>
      <c r="Z32" s="165">
        <f t="shared" si="4"/>
        <v>0</v>
      </c>
      <c r="AA32" s="165">
        <f t="shared" si="4"/>
        <v>0</v>
      </c>
      <c r="AB32" s="165">
        <f t="shared" si="4"/>
        <v>0</v>
      </c>
      <c r="AC32" s="165">
        <f t="shared" si="4"/>
        <v>0</v>
      </c>
      <c r="AD32" s="165">
        <f t="shared" si="4"/>
        <v>0</v>
      </c>
      <c r="AE32" s="165">
        <f t="shared" si="4"/>
        <v>0</v>
      </c>
      <c r="AG32" s="168" t="s">
        <v>113</v>
      </c>
      <c r="AH32" s="165">
        <f aca="true" t="shared" si="5" ref="AH32:AW32">SUM(AH11:AH31)</f>
        <v>0</v>
      </c>
      <c r="AI32" s="165">
        <f t="shared" si="5"/>
        <v>0</v>
      </c>
      <c r="AJ32" s="165">
        <f t="shared" si="5"/>
        <v>0</v>
      </c>
      <c r="AK32" s="222">
        <f t="shared" si="5"/>
        <v>0</v>
      </c>
      <c r="AL32" s="165">
        <f t="shared" si="5"/>
        <v>0</v>
      </c>
      <c r="AM32" s="165">
        <f t="shared" si="5"/>
        <v>0</v>
      </c>
      <c r="AN32" s="165">
        <f t="shared" si="5"/>
        <v>0</v>
      </c>
      <c r="AO32" s="222">
        <f t="shared" si="5"/>
        <v>0</v>
      </c>
      <c r="AP32" s="165">
        <f t="shared" si="5"/>
        <v>0</v>
      </c>
      <c r="AQ32" s="165">
        <f t="shared" si="5"/>
        <v>0</v>
      </c>
      <c r="AR32" s="165">
        <f t="shared" si="5"/>
        <v>0</v>
      </c>
      <c r="AS32" s="222">
        <f t="shared" si="5"/>
        <v>0</v>
      </c>
      <c r="AT32" s="165">
        <f t="shared" si="5"/>
        <v>0</v>
      </c>
      <c r="AU32" s="165">
        <f t="shared" si="5"/>
        <v>0</v>
      </c>
      <c r="AV32" s="165">
        <f t="shared" si="5"/>
        <v>0</v>
      </c>
      <c r="AW32" s="222">
        <f t="shared" si="5"/>
        <v>0</v>
      </c>
      <c r="AX32" s="210">
        <f aca="true" t="shared" si="6" ref="AX32:BK32">SUM(AX11:AX31)</f>
        <v>0</v>
      </c>
      <c r="AY32" s="172">
        <f t="shared" si="6"/>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0</v>
      </c>
      <c r="BJ32" s="165">
        <f t="shared" si="6"/>
        <v>0</v>
      </c>
      <c r="BK32" s="165">
        <f t="shared" si="6"/>
        <v>0</v>
      </c>
    </row>
    <row r="35" spans="1:63" ht="30" customHeight="1">
      <c r="A35" s="814" t="s">
        <v>90</v>
      </c>
      <c r="B35" s="213" t="s">
        <v>39</v>
      </c>
      <c r="C35" s="213" t="s">
        <v>40</v>
      </c>
      <c r="D35" s="816" t="s">
        <v>41</v>
      </c>
      <c r="E35" s="817"/>
      <c r="F35" s="213" t="s">
        <v>42</v>
      </c>
      <c r="G35" s="213" t="s">
        <v>43</v>
      </c>
      <c r="H35" s="816" t="s">
        <v>44</v>
      </c>
      <c r="I35" s="817"/>
      <c r="J35" s="213" t="s">
        <v>45</v>
      </c>
      <c r="K35" s="213" t="s">
        <v>46</v>
      </c>
      <c r="L35" s="816" t="s">
        <v>47</v>
      </c>
      <c r="M35" s="817"/>
      <c r="N35" s="213" t="s">
        <v>48</v>
      </c>
      <c r="O35" s="213" t="s">
        <v>49</v>
      </c>
      <c r="P35" s="816" t="s">
        <v>50</v>
      </c>
      <c r="Q35" s="817"/>
      <c r="R35" s="816" t="s">
        <v>91</v>
      </c>
      <c r="S35" s="817"/>
      <c r="T35" s="816" t="s">
        <v>289</v>
      </c>
      <c r="U35" s="819"/>
      <c r="V35" s="819"/>
      <c r="W35" s="819"/>
      <c r="X35" s="819"/>
      <c r="Y35" s="817"/>
      <c r="Z35" s="816" t="s">
        <v>288</v>
      </c>
      <c r="AA35" s="819"/>
      <c r="AB35" s="819"/>
      <c r="AC35" s="819"/>
      <c r="AD35" s="819"/>
      <c r="AE35" s="817"/>
      <c r="AG35" s="814" t="s">
        <v>90</v>
      </c>
      <c r="AH35" s="213" t="s">
        <v>39</v>
      </c>
      <c r="AI35" s="213" t="s">
        <v>40</v>
      </c>
      <c r="AJ35" s="816" t="s">
        <v>41</v>
      </c>
      <c r="AK35" s="817"/>
      <c r="AL35" s="213" t="s">
        <v>42</v>
      </c>
      <c r="AM35" s="213" t="s">
        <v>43</v>
      </c>
      <c r="AN35" s="816" t="s">
        <v>44</v>
      </c>
      <c r="AO35" s="817"/>
      <c r="AP35" s="213" t="s">
        <v>45</v>
      </c>
      <c r="AQ35" s="213" t="s">
        <v>46</v>
      </c>
      <c r="AR35" s="816" t="s">
        <v>47</v>
      </c>
      <c r="AS35" s="817"/>
      <c r="AT35" s="213" t="s">
        <v>48</v>
      </c>
      <c r="AU35" s="213" t="s">
        <v>49</v>
      </c>
      <c r="AV35" s="816" t="s">
        <v>50</v>
      </c>
      <c r="AW35" s="817"/>
      <c r="AX35" s="816" t="s">
        <v>91</v>
      </c>
      <c r="AY35" s="817"/>
      <c r="AZ35" s="816" t="s">
        <v>289</v>
      </c>
      <c r="BA35" s="819"/>
      <c r="BB35" s="819"/>
      <c r="BC35" s="819"/>
      <c r="BD35" s="819"/>
      <c r="BE35" s="817"/>
      <c r="BF35" s="816" t="s">
        <v>288</v>
      </c>
      <c r="BG35" s="819"/>
      <c r="BH35" s="819"/>
      <c r="BI35" s="819"/>
      <c r="BJ35" s="819"/>
      <c r="BK35" s="817"/>
    </row>
    <row r="36" spans="1:63" ht="36" customHeight="1">
      <c r="A36" s="815"/>
      <c r="B36" s="214" t="s">
        <v>372</v>
      </c>
      <c r="C36" s="214" t="s">
        <v>372</v>
      </c>
      <c r="D36" s="214" t="s">
        <v>372</v>
      </c>
      <c r="E36" s="214" t="s">
        <v>373</v>
      </c>
      <c r="F36" s="214" t="s">
        <v>372</v>
      </c>
      <c r="G36" s="214" t="s">
        <v>372</v>
      </c>
      <c r="H36" s="214" t="s">
        <v>372</v>
      </c>
      <c r="I36" s="214" t="s">
        <v>373</v>
      </c>
      <c r="J36" s="214" t="s">
        <v>372</v>
      </c>
      <c r="K36" s="214" t="s">
        <v>372</v>
      </c>
      <c r="L36" s="214" t="s">
        <v>372</v>
      </c>
      <c r="M36" s="214" t="s">
        <v>373</v>
      </c>
      <c r="N36" s="214" t="s">
        <v>372</v>
      </c>
      <c r="O36" s="214" t="s">
        <v>372</v>
      </c>
      <c r="P36" s="214" t="s">
        <v>372</v>
      </c>
      <c r="Q36" s="214" t="s">
        <v>373</v>
      </c>
      <c r="R36" s="214" t="s">
        <v>372</v>
      </c>
      <c r="S36" s="214" t="s">
        <v>373</v>
      </c>
      <c r="T36" s="205" t="s">
        <v>393</v>
      </c>
      <c r="U36" s="205" t="s">
        <v>394</v>
      </c>
      <c r="V36" s="205" t="s">
        <v>395</v>
      </c>
      <c r="W36" s="205" t="s">
        <v>305</v>
      </c>
      <c r="X36" s="206" t="s">
        <v>396</v>
      </c>
      <c r="Y36" s="205" t="s">
        <v>304</v>
      </c>
      <c r="Z36" s="214" t="s">
        <v>387</v>
      </c>
      <c r="AA36" s="163" t="s">
        <v>388</v>
      </c>
      <c r="AB36" s="214" t="s">
        <v>389</v>
      </c>
      <c r="AC36" s="214" t="s">
        <v>390</v>
      </c>
      <c r="AD36" s="214" t="s">
        <v>391</v>
      </c>
      <c r="AE36" s="214" t="s">
        <v>392</v>
      </c>
      <c r="AG36" s="815"/>
      <c r="AH36" s="214" t="s">
        <v>372</v>
      </c>
      <c r="AI36" s="214" t="s">
        <v>372</v>
      </c>
      <c r="AJ36" s="214" t="s">
        <v>372</v>
      </c>
      <c r="AK36" s="214" t="s">
        <v>373</v>
      </c>
      <c r="AL36" s="214" t="s">
        <v>372</v>
      </c>
      <c r="AM36" s="214" t="s">
        <v>372</v>
      </c>
      <c r="AN36" s="214" t="s">
        <v>372</v>
      </c>
      <c r="AO36" s="214" t="s">
        <v>373</v>
      </c>
      <c r="AP36" s="214" t="s">
        <v>372</v>
      </c>
      <c r="AQ36" s="214" t="s">
        <v>372</v>
      </c>
      <c r="AR36" s="214" t="s">
        <v>372</v>
      </c>
      <c r="AS36" s="214" t="s">
        <v>373</v>
      </c>
      <c r="AT36" s="214" t="s">
        <v>372</v>
      </c>
      <c r="AU36" s="214" t="s">
        <v>372</v>
      </c>
      <c r="AV36" s="214" t="s">
        <v>372</v>
      </c>
      <c r="AW36" s="214" t="s">
        <v>373</v>
      </c>
      <c r="AX36" s="214" t="s">
        <v>372</v>
      </c>
      <c r="AY36" s="214" t="s">
        <v>373</v>
      </c>
      <c r="AZ36" s="205" t="s">
        <v>393</v>
      </c>
      <c r="BA36" s="205" t="s">
        <v>394</v>
      </c>
      <c r="BB36" s="205" t="s">
        <v>395</v>
      </c>
      <c r="BC36" s="205" t="s">
        <v>305</v>
      </c>
      <c r="BD36" s="206" t="s">
        <v>396</v>
      </c>
      <c r="BE36" s="205" t="s">
        <v>304</v>
      </c>
      <c r="BF36" s="203" t="s">
        <v>387</v>
      </c>
      <c r="BG36" s="204" t="s">
        <v>388</v>
      </c>
      <c r="BH36" s="203" t="s">
        <v>389</v>
      </c>
      <c r="BI36" s="203" t="s">
        <v>390</v>
      </c>
      <c r="BJ36" s="203" t="s">
        <v>391</v>
      </c>
      <c r="BK36" s="203" t="s">
        <v>392</v>
      </c>
    </row>
    <row r="37" spans="1:63" ht="15">
      <c r="A37" s="164" t="s">
        <v>92</v>
      </c>
      <c r="B37" s="164"/>
      <c r="C37" s="164"/>
      <c r="D37" s="164"/>
      <c r="E37" s="221"/>
      <c r="F37" s="164"/>
      <c r="G37" s="164"/>
      <c r="H37" s="164"/>
      <c r="I37" s="221"/>
      <c r="J37" s="164"/>
      <c r="K37" s="164"/>
      <c r="L37" s="164"/>
      <c r="M37" s="221"/>
      <c r="N37" s="164"/>
      <c r="O37" s="164"/>
      <c r="P37" s="164"/>
      <c r="Q37" s="221"/>
      <c r="R37" s="209">
        <f aca="true" t="shared" si="7" ref="R37:R57">B37+C37+D37+F37+G37+H37+J37+K37+L37+N37+O37+P37</f>
        <v>0</v>
      </c>
      <c r="S37" s="171">
        <f>+E37+I37+M37+Q37</f>
        <v>0</v>
      </c>
      <c r="T37" s="207"/>
      <c r="U37" s="207"/>
      <c r="V37" s="207"/>
      <c r="W37" s="207"/>
      <c r="X37" s="207"/>
      <c r="Y37" s="166"/>
      <c r="Z37" s="166"/>
      <c r="AA37" s="166"/>
      <c r="AB37" s="166"/>
      <c r="AC37" s="166"/>
      <c r="AD37" s="166"/>
      <c r="AE37" s="167"/>
      <c r="AG37" s="164" t="s">
        <v>92</v>
      </c>
      <c r="AH37" s="164"/>
      <c r="AI37" s="164"/>
      <c r="AJ37" s="164"/>
      <c r="AK37" s="221"/>
      <c r="AL37" s="164"/>
      <c r="AM37" s="164"/>
      <c r="AN37" s="164"/>
      <c r="AO37" s="221"/>
      <c r="AP37" s="164"/>
      <c r="AQ37" s="164"/>
      <c r="AR37" s="164"/>
      <c r="AS37" s="221"/>
      <c r="AT37" s="164"/>
      <c r="AU37" s="164"/>
      <c r="AV37" s="164"/>
      <c r="AW37" s="221"/>
      <c r="AX37" s="209">
        <f aca="true" t="shared" si="8" ref="AX37:AX57">AH37+AI37+AJ37+AL37+AM37+AN37+AP37+AQ37+AR37+AT37+AU37+AV37</f>
        <v>0</v>
      </c>
      <c r="AY37" s="171">
        <f>+AK37+AO37+AS37+AW37</f>
        <v>0</v>
      </c>
      <c r="AZ37" s="166"/>
      <c r="BA37" s="166"/>
      <c r="BB37" s="166"/>
      <c r="BC37" s="166"/>
      <c r="BD37" s="166"/>
      <c r="BE37" s="166"/>
      <c r="BF37" s="166"/>
      <c r="BG37" s="166"/>
      <c r="BH37" s="166"/>
      <c r="BI37" s="166"/>
      <c r="BJ37" s="166"/>
      <c r="BK37" s="167"/>
    </row>
    <row r="38" spans="1:63" ht="15">
      <c r="A38" s="164" t="s">
        <v>93</v>
      </c>
      <c r="B38" s="164"/>
      <c r="C38" s="164"/>
      <c r="D38" s="164"/>
      <c r="E38" s="221"/>
      <c r="F38" s="164"/>
      <c r="G38" s="164"/>
      <c r="H38" s="164"/>
      <c r="I38" s="221"/>
      <c r="J38" s="164"/>
      <c r="K38" s="164"/>
      <c r="L38" s="164"/>
      <c r="M38" s="221"/>
      <c r="N38" s="164"/>
      <c r="O38" s="164"/>
      <c r="P38" s="164"/>
      <c r="Q38" s="221"/>
      <c r="R38" s="209">
        <f t="shared" si="7"/>
        <v>0</v>
      </c>
      <c r="S38" s="171">
        <f aca="true" t="shared" si="9" ref="S38:S57">+E38+I38+M38+Q38</f>
        <v>0</v>
      </c>
      <c r="T38" s="207"/>
      <c r="U38" s="207"/>
      <c r="V38" s="207"/>
      <c r="W38" s="207"/>
      <c r="X38" s="207"/>
      <c r="Y38" s="208"/>
      <c r="Z38" s="166"/>
      <c r="AA38" s="166"/>
      <c r="AB38" s="166"/>
      <c r="AC38" s="166"/>
      <c r="AD38" s="166"/>
      <c r="AE38" s="166"/>
      <c r="AG38" s="164" t="s">
        <v>93</v>
      </c>
      <c r="AH38" s="164"/>
      <c r="AI38" s="164"/>
      <c r="AJ38" s="164"/>
      <c r="AK38" s="221"/>
      <c r="AL38" s="164"/>
      <c r="AM38" s="164"/>
      <c r="AN38" s="164"/>
      <c r="AO38" s="221"/>
      <c r="AP38" s="164"/>
      <c r="AQ38" s="164"/>
      <c r="AR38" s="164"/>
      <c r="AS38" s="221"/>
      <c r="AT38" s="164"/>
      <c r="AU38" s="164"/>
      <c r="AV38" s="164"/>
      <c r="AW38" s="221"/>
      <c r="AX38" s="209">
        <f t="shared" si="8"/>
        <v>0</v>
      </c>
      <c r="AY38" s="171">
        <f aca="true" t="shared" si="10" ref="AY38:AY57">+AK38+AO38+AS38+AW38</f>
        <v>0</v>
      </c>
      <c r="AZ38" s="166"/>
      <c r="BA38" s="166"/>
      <c r="BB38" s="166"/>
      <c r="BC38" s="166"/>
      <c r="BD38" s="166"/>
      <c r="BE38" s="166"/>
      <c r="BF38" s="166"/>
      <c r="BG38" s="166"/>
      <c r="BH38" s="166"/>
      <c r="BI38" s="166"/>
      <c r="BJ38" s="166"/>
      <c r="BK38" s="166"/>
    </row>
    <row r="39" spans="1:63" ht="15">
      <c r="A39" s="164" t="s">
        <v>94</v>
      </c>
      <c r="B39" s="164"/>
      <c r="C39" s="164"/>
      <c r="D39" s="164"/>
      <c r="E39" s="221"/>
      <c r="F39" s="164"/>
      <c r="G39" s="164"/>
      <c r="H39" s="164"/>
      <c r="I39" s="221"/>
      <c r="J39" s="164"/>
      <c r="K39" s="164"/>
      <c r="L39" s="164"/>
      <c r="M39" s="221"/>
      <c r="N39" s="164"/>
      <c r="O39" s="164"/>
      <c r="P39" s="164"/>
      <c r="Q39" s="221"/>
      <c r="R39" s="209">
        <f t="shared" si="7"/>
        <v>0</v>
      </c>
      <c r="S39" s="171">
        <f t="shared" si="9"/>
        <v>0</v>
      </c>
      <c r="T39" s="207"/>
      <c r="U39" s="207"/>
      <c r="V39" s="207"/>
      <c r="W39" s="207"/>
      <c r="X39" s="207"/>
      <c r="Y39" s="208"/>
      <c r="Z39" s="166"/>
      <c r="AA39" s="166"/>
      <c r="AB39" s="166"/>
      <c r="AC39" s="166"/>
      <c r="AD39" s="166"/>
      <c r="AE39" s="166"/>
      <c r="AG39" s="164" t="s">
        <v>94</v>
      </c>
      <c r="AH39" s="164"/>
      <c r="AI39" s="164"/>
      <c r="AJ39" s="164"/>
      <c r="AK39" s="221"/>
      <c r="AL39" s="164"/>
      <c r="AM39" s="164"/>
      <c r="AN39" s="164"/>
      <c r="AO39" s="221"/>
      <c r="AP39" s="164"/>
      <c r="AQ39" s="164"/>
      <c r="AR39" s="164"/>
      <c r="AS39" s="221"/>
      <c r="AT39" s="164"/>
      <c r="AU39" s="164"/>
      <c r="AV39" s="164"/>
      <c r="AW39" s="221"/>
      <c r="AX39" s="209">
        <f t="shared" si="8"/>
        <v>0</v>
      </c>
      <c r="AY39" s="171">
        <f t="shared" si="10"/>
        <v>0</v>
      </c>
      <c r="AZ39" s="166"/>
      <c r="BA39" s="166"/>
      <c r="BB39" s="166"/>
      <c r="BC39" s="166"/>
      <c r="BD39" s="166"/>
      <c r="BE39" s="166"/>
      <c r="BF39" s="166"/>
      <c r="BG39" s="166"/>
      <c r="BH39" s="166"/>
      <c r="BI39" s="166"/>
      <c r="BJ39" s="166"/>
      <c r="BK39" s="166"/>
    </row>
    <row r="40" spans="1:63" ht="15">
      <c r="A40" s="164" t="s">
        <v>95</v>
      </c>
      <c r="B40" s="164"/>
      <c r="C40" s="164"/>
      <c r="D40" s="164"/>
      <c r="E40" s="221"/>
      <c r="F40" s="164"/>
      <c r="G40" s="164"/>
      <c r="H40" s="164"/>
      <c r="I40" s="221"/>
      <c r="J40" s="164"/>
      <c r="K40" s="164"/>
      <c r="L40" s="164"/>
      <c r="M40" s="221"/>
      <c r="N40" s="164"/>
      <c r="O40" s="164"/>
      <c r="P40" s="164"/>
      <c r="Q40" s="221"/>
      <c r="R40" s="209">
        <f t="shared" si="7"/>
        <v>0</v>
      </c>
      <c r="S40" s="171">
        <f t="shared" si="9"/>
        <v>0</v>
      </c>
      <c r="T40" s="207"/>
      <c r="U40" s="207"/>
      <c r="V40" s="207"/>
      <c r="W40" s="207"/>
      <c r="X40" s="207"/>
      <c r="Y40" s="208"/>
      <c r="Z40" s="166"/>
      <c r="AA40" s="166"/>
      <c r="AB40" s="166"/>
      <c r="AC40" s="166"/>
      <c r="AD40" s="166"/>
      <c r="AE40" s="166"/>
      <c r="AG40" s="164" t="s">
        <v>95</v>
      </c>
      <c r="AH40" s="164"/>
      <c r="AI40" s="164"/>
      <c r="AJ40" s="164"/>
      <c r="AK40" s="221"/>
      <c r="AL40" s="164"/>
      <c r="AM40" s="164"/>
      <c r="AN40" s="164"/>
      <c r="AO40" s="221"/>
      <c r="AP40" s="164"/>
      <c r="AQ40" s="164"/>
      <c r="AR40" s="164"/>
      <c r="AS40" s="221"/>
      <c r="AT40" s="164"/>
      <c r="AU40" s="164"/>
      <c r="AV40" s="164"/>
      <c r="AW40" s="221"/>
      <c r="AX40" s="209">
        <f t="shared" si="8"/>
        <v>0</v>
      </c>
      <c r="AY40" s="171">
        <f t="shared" si="10"/>
        <v>0</v>
      </c>
      <c r="AZ40" s="166"/>
      <c r="BA40" s="166"/>
      <c r="BB40" s="166"/>
      <c r="BC40" s="166"/>
      <c r="BD40" s="166"/>
      <c r="BE40" s="166"/>
      <c r="BF40" s="166"/>
      <c r="BG40" s="166"/>
      <c r="BH40" s="166"/>
      <c r="BI40" s="166"/>
      <c r="BJ40" s="166"/>
      <c r="BK40" s="166"/>
    </row>
    <row r="41" spans="1:63" ht="15">
      <c r="A41" s="164" t="s">
        <v>96</v>
      </c>
      <c r="B41" s="164"/>
      <c r="C41" s="164"/>
      <c r="D41" s="164"/>
      <c r="E41" s="221"/>
      <c r="F41" s="164"/>
      <c r="G41" s="164"/>
      <c r="H41" s="164"/>
      <c r="I41" s="221"/>
      <c r="J41" s="164"/>
      <c r="K41" s="164"/>
      <c r="L41" s="164"/>
      <c r="M41" s="221"/>
      <c r="N41" s="164"/>
      <c r="O41" s="164"/>
      <c r="P41" s="164"/>
      <c r="Q41" s="221"/>
      <c r="R41" s="209">
        <f t="shared" si="7"/>
        <v>0</v>
      </c>
      <c r="S41" s="171">
        <f t="shared" si="9"/>
        <v>0</v>
      </c>
      <c r="T41" s="207"/>
      <c r="U41" s="207"/>
      <c r="V41" s="207"/>
      <c r="W41" s="207"/>
      <c r="X41" s="207"/>
      <c r="Y41" s="208"/>
      <c r="Z41" s="166"/>
      <c r="AA41" s="166"/>
      <c r="AB41" s="166"/>
      <c r="AC41" s="166"/>
      <c r="AD41" s="166"/>
      <c r="AE41" s="166"/>
      <c r="AG41" s="164" t="s">
        <v>96</v>
      </c>
      <c r="AH41" s="164"/>
      <c r="AI41" s="164"/>
      <c r="AJ41" s="164"/>
      <c r="AK41" s="221"/>
      <c r="AL41" s="164"/>
      <c r="AM41" s="164"/>
      <c r="AN41" s="164"/>
      <c r="AO41" s="221"/>
      <c r="AP41" s="164"/>
      <c r="AQ41" s="164"/>
      <c r="AR41" s="164"/>
      <c r="AS41" s="221"/>
      <c r="AT41" s="164"/>
      <c r="AU41" s="164"/>
      <c r="AV41" s="164"/>
      <c r="AW41" s="221"/>
      <c r="AX41" s="209">
        <f t="shared" si="8"/>
        <v>0</v>
      </c>
      <c r="AY41" s="171">
        <f t="shared" si="10"/>
        <v>0</v>
      </c>
      <c r="AZ41" s="166"/>
      <c r="BA41" s="166"/>
      <c r="BB41" s="166"/>
      <c r="BC41" s="166"/>
      <c r="BD41" s="166"/>
      <c r="BE41" s="166"/>
      <c r="BF41" s="166"/>
      <c r="BG41" s="166"/>
      <c r="BH41" s="166"/>
      <c r="BI41" s="166"/>
      <c r="BJ41" s="166"/>
      <c r="BK41" s="166"/>
    </row>
    <row r="42" spans="1:63" ht="15">
      <c r="A42" s="164" t="s">
        <v>97</v>
      </c>
      <c r="B42" s="164"/>
      <c r="C42" s="164"/>
      <c r="D42" s="164"/>
      <c r="E42" s="221"/>
      <c r="F42" s="164"/>
      <c r="G42" s="164"/>
      <c r="H42" s="164"/>
      <c r="I42" s="221"/>
      <c r="J42" s="164"/>
      <c r="K42" s="164"/>
      <c r="L42" s="164"/>
      <c r="M42" s="221"/>
      <c r="N42" s="164"/>
      <c r="O42" s="164"/>
      <c r="P42" s="164"/>
      <c r="Q42" s="221"/>
      <c r="R42" s="209">
        <f t="shared" si="7"/>
        <v>0</v>
      </c>
      <c r="S42" s="171">
        <f t="shared" si="9"/>
        <v>0</v>
      </c>
      <c r="T42" s="207"/>
      <c r="U42" s="207"/>
      <c r="V42" s="207"/>
      <c r="W42" s="207"/>
      <c r="X42" s="207"/>
      <c r="Y42" s="208"/>
      <c r="Z42" s="166"/>
      <c r="AA42" s="166"/>
      <c r="AB42" s="166"/>
      <c r="AC42" s="166"/>
      <c r="AD42" s="166"/>
      <c r="AE42" s="166"/>
      <c r="AG42" s="164" t="s">
        <v>97</v>
      </c>
      <c r="AH42" s="164"/>
      <c r="AI42" s="164"/>
      <c r="AJ42" s="164"/>
      <c r="AK42" s="221"/>
      <c r="AL42" s="164"/>
      <c r="AM42" s="164"/>
      <c r="AN42" s="164"/>
      <c r="AO42" s="221"/>
      <c r="AP42" s="164"/>
      <c r="AQ42" s="164"/>
      <c r="AR42" s="164"/>
      <c r="AS42" s="221"/>
      <c r="AT42" s="164"/>
      <c r="AU42" s="164"/>
      <c r="AV42" s="164"/>
      <c r="AW42" s="221"/>
      <c r="AX42" s="209">
        <f t="shared" si="8"/>
        <v>0</v>
      </c>
      <c r="AY42" s="171">
        <f t="shared" si="10"/>
        <v>0</v>
      </c>
      <c r="AZ42" s="166"/>
      <c r="BA42" s="166"/>
      <c r="BB42" s="166"/>
      <c r="BC42" s="166"/>
      <c r="BD42" s="166"/>
      <c r="BE42" s="166"/>
      <c r="BF42" s="166"/>
      <c r="BG42" s="166"/>
      <c r="BH42" s="166"/>
      <c r="BI42" s="166"/>
      <c r="BJ42" s="166"/>
      <c r="BK42" s="166"/>
    </row>
    <row r="43" spans="1:63" ht="15">
      <c r="A43" s="164" t="s">
        <v>98</v>
      </c>
      <c r="B43" s="164"/>
      <c r="C43" s="164"/>
      <c r="D43" s="164"/>
      <c r="E43" s="221"/>
      <c r="F43" s="164"/>
      <c r="G43" s="164"/>
      <c r="H43" s="164"/>
      <c r="I43" s="221"/>
      <c r="J43" s="164"/>
      <c r="K43" s="164"/>
      <c r="L43" s="164"/>
      <c r="M43" s="221"/>
      <c r="N43" s="164"/>
      <c r="O43" s="164"/>
      <c r="P43" s="164"/>
      <c r="Q43" s="221"/>
      <c r="R43" s="209">
        <f t="shared" si="7"/>
        <v>0</v>
      </c>
      <c r="S43" s="171">
        <f t="shared" si="9"/>
        <v>0</v>
      </c>
      <c r="T43" s="207"/>
      <c r="U43" s="207"/>
      <c r="V43" s="207"/>
      <c r="W43" s="207"/>
      <c r="X43" s="207"/>
      <c r="Y43" s="208"/>
      <c r="Z43" s="166"/>
      <c r="AA43" s="166"/>
      <c r="AB43" s="166"/>
      <c r="AC43" s="166"/>
      <c r="AD43" s="166"/>
      <c r="AE43" s="166"/>
      <c r="AG43" s="164" t="s">
        <v>98</v>
      </c>
      <c r="AH43" s="164"/>
      <c r="AI43" s="164"/>
      <c r="AJ43" s="164"/>
      <c r="AK43" s="221"/>
      <c r="AL43" s="164"/>
      <c r="AM43" s="164"/>
      <c r="AN43" s="164"/>
      <c r="AO43" s="221"/>
      <c r="AP43" s="164"/>
      <c r="AQ43" s="164"/>
      <c r="AR43" s="164"/>
      <c r="AS43" s="221"/>
      <c r="AT43" s="164"/>
      <c r="AU43" s="164"/>
      <c r="AV43" s="164"/>
      <c r="AW43" s="221"/>
      <c r="AX43" s="209">
        <f t="shared" si="8"/>
        <v>0</v>
      </c>
      <c r="AY43" s="171">
        <f t="shared" si="10"/>
        <v>0</v>
      </c>
      <c r="AZ43" s="166"/>
      <c r="BA43" s="166"/>
      <c r="BB43" s="166"/>
      <c r="BC43" s="166"/>
      <c r="BD43" s="166"/>
      <c r="BE43" s="166"/>
      <c r="BF43" s="166"/>
      <c r="BG43" s="166"/>
      <c r="BH43" s="166"/>
      <c r="BI43" s="166"/>
      <c r="BJ43" s="166"/>
      <c r="BK43" s="166"/>
    </row>
    <row r="44" spans="1:63" ht="15">
      <c r="A44" s="164" t="s">
        <v>99</v>
      </c>
      <c r="B44" s="164"/>
      <c r="C44" s="164"/>
      <c r="D44" s="164"/>
      <c r="E44" s="221"/>
      <c r="F44" s="164"/>
      <c r="G44" s="164"/>
      <c r="H44" s="164"/>
      <c r="I44" s="221"/>
      <c r="J44" s="164"/>
      <c r="K44" s="164"/>
      <c r="L44" s="164"/>
      <c r="M44" s="221"/>
      <c r="N44" s="164"/>
      <c r="O44" s="164"/>
      <c r="P44" s="164"/>
      <c r="Q44" s="221"/>
      <c r="R44" s="209">
        <f t="shared" si="7"/>
        <v>0</v>
      </c>
      <c r="S44" s="171">
        <f t="shared" si="9"/>
        <v>0</v>
      </c>
      <c r="T44" s="207"/>
      <c r="U44" s="207"/>
      <c r="V44" s="207"/>
      <c r="W44" s="207"/>
      <c r="X44" s="207"/>
      <c r="Y44" s="208"/>
      <c r="Z44" s="166"/>
      <c r="AA44" s="166"/>
      <c r="AB44" s="166"/>
      <c r="AC44" s="166"/>
      <c r="AD44" s="166"/>
      <c r="AE44" s="166"/>
      <c r="AG44" s="164" t="s">
        <v>99</v>
      </c>
      <c r="AH44" s="164"/>
      <c r="AI44" s="164"/>
      <c r="AJ44" s="164"/>
      <c r="AK44" s="221"/>
      <c r="AL44" s="164"/>
      <c r="AM44" s="164"/>
      <c r="AN44" s="164"/>
      <c r="AO44" s="221"/>
      <c r="AP44" s="164"/>
      <c r="AQ44" s="164"/>
      <c r="AR44" s="164"/>
      <c r="AS44" s="221"/>
      <c r="AT44" s="164"/>
      <c r="AU44" s="164"/>
      <c r="AV44" s="164"/>
      <c r="AW44" s="221"/>
      <c r="AX44" s="209">
        <f t="shared" si="8"/>
        <v>0</v>
      </c>
      <c r="AY44" s="171">
        <f t="shared" si="10"/>
        <v>0</v>
      </c>
      <c r="AZ44" s="166"/>
      <c r="BA44" s="166"/>
      <c r="BB44" s="166"/>
      <c r="BC44" s="166"/>
      <c r="BD44" s="166"/>
      <c r="BE44" s="166"/>
      <c r="BF44" s="166"/>
      <c r="BG44" s="166"/>
      <c r="BH44" s="166"/>
      <c r="BI44" s="166"/>
      <c r="BJ44" s="166"/>
      <c r="BK44" s="166"/>
    </row>
    <row r="45" spans="1:63" ht="15">
      <c r="A45" s="164" t="s">
        <v>100</v>
      </c>
      <c r="B45" s="164"/>
      <c r="C45" s="164"/>
      <c r="D45" s="164"/>
      <c r="E45" s="221"/>
      <c r="F45" s="164"/>
      <c r="G45" s="164"/>
      <c r="H45" s="164"/>
      <c r="I45" s="221"/>
      <c r="J45" s="164"/>
      <c r="K45" s="164"/>
      <c r="L45" s="164"/>
      <c r="M45" s="221"/>
      <c r="N45" s="164"/>
      <c r="O45" s="164"/>
      <c r="P45" s="164"/>
      <c r="Q45" s="221"/>
      <c r="R45" s="209">
        <f t="shared" si="7"/>
        <v>0</v>
      </c>
      <c r="S45" s="171">
        <f t="shared" si="9"/>
        <v>0</v>
      </c>
      <c r="T45" s="207"/>
      <c r="U45" s="207"/>
      <c r="V45" s="207"/>
      <c r="W45" s="207"/>
      <c r="X45" s="207"/>
      <c r="Y45" s="208"/>
      <c r="Z45" s="166"/>
      <c r="AA45" s="166"/>
      <c r="AB45" s="166"/>
      <c r="AC45" s="166"/>
      <c r="AD45" s="166"/>
      <c r="AE45" s="166"/>
      <c r="AG45" s="164" t="s">
        <v>100</v>
      </c>
      <c r="AH45" s="164"/>
      <c r="AI45" s="164"/>
      <c r="AJ45" s="164"/>
      <c r="AK45" s="221"/>
      <c r="AL45" s="164"/>
      <c r="AM45" s="164"/>
      <c r="AN45" s="164"/>
      <c r="AO45" s="221"/>
      <c r="AP45" s="164"/>
      <c r="AQ45" s="164"/>
      <c r="AR45" s="164"/>
      <c r="AS45" s="221"/>
      <c r="AT45" s="164"/>
      <c r="AU45" s="164"/>
      <c r="AV45" s="164"/>
      <c r="AW45" s="221"/>
      <c r="AX45" s="209">
        <f t="shared" si="8"/>
        <v>0</v>
      </c>
      <c r="AY45" s="171">
        <f t="shared" si="10"/>
        <v>0</v>
      </c>
      <c r="AZ45" s="166"/>
      <c r="BA45" s="208"/>
      <c r="BB45" s="166"/>
      <c r="BC45" s="166"/>
      <c r="BD45" s="166"/>
      <c r="BE45" s="166"/>
      <c r="BF45" s="166"/>
      <c r="BG45" s="166"/>
      <c r="BH45" s="166"/>
      <c r="BI45" s="164"/>
      <c r="BJ45" s="164"/>
      <c r="BK45" s="164"/>
    </row>
    <row r="46" spans="1:63" ht="15">
      <c r="A46" s="164" t="s">
        <v>101</v>
      </c>
      <c r="B46" s="164"/>
      <c r="C46" s="164"/>
      <c r="D46" s="164"/>
      <c r="E46" s="221"/>
      <c r="F46" s="164"/>
      <c r="G46" s="164"/>
      <c r="H46" s="164"/>
      <c r="I46" s="221"/>
      <c r="J46" s="164"/>
      <c r="K46" s="164"/>
      <c r="L46" s="164"/>
      <c r="M46" s="221"/>
      <c r="N46" s="164"/>
      <c r="O46" s="164"/>
      <c r="P46" s="164"/>
      <c r="Q46" s="221"/>
      <c r="R46" s="209">
        <f t="shared" si="7"/>
        <v>0</v>
      </c>
      <c r="S46" s="171">
        <f t="shared" si="9"/>
        <v>0</v>
      </c>
      <c r="T46" s="207"/>
      <c r="U46" s="207"/>
      <c r="V46" s="207"/>
      <c r="W46" s="207"/>
      <c r="X46" s="207"/>
      <c r="Y46" s="208"/>
      <c r="Z46" s="166"/>
      <c r="AA46" s="166"/>
      <c r="AB46" s="166"/>
      <c r="AC46" s="166"/>
      <c r="AD46" s="166"/>
      <c r="AE46" s="166"/>
      <c r="AG46" s="164" t="s">
        <v>101</v>
      </c>
      <c r="AH46" s="164"/>
      <c r="AI46" s="164"/>
      <c r="AJ46" s="164"/>
      <c r="AK46" s="221"/>
      <c r="AL46" s="164"/>
      <c r="AM46" s="164"/>
      <c r="AN46" s="164"/>
      <c r="AO46" s="221"/>
      <c r="AP46" s="164"/>
      <c r="AQ46" s="164"/>
      <c r="AR46" s="164"/>
      <c r="AS46" s="221"/>
      <c r="AT46" s="164"/>
      <c r="AU46" s="164"/>
      <c r="AV46" s="164"/>
      <c r="AW46" s="221"/>
      <c r="AX46" s="209">
        <f t="shared" si="8"/>
        <v>0</v>
      </c>
      <c r="AY46" s="171">
        <f t="shared" si="10"/>
        <v>0</v>
      </c>
      <c r="AZ46" s="166"/>
      <c r="BA46" s="208"/>
      <c r="BB46" s="166"/>
      <c r="BC46" s="166"/>
      <c r="BD46" s="166"/>
      <c r="BE46" s="166"/>
      <c r="BF46" s="166"/>
      <c r="BG46" s="166"/>
      <c r="BH46" s="166"/>
      <c r="BI46" s="164"/>
      <c r="BJ46" s="164"/>
      <c r="BK46" s="164"/>
    </row>
    <row r="47" spans="1:63" ht="15">
      <c r="A47" s="164" t="s">
        <v>102</v>
      </c>
      <c r="B47" s="164"/>
      <c r="C47" s="164"/>
      <c r="D47" s="164"/>
      <c r="E47" s="221"/>
      <c r="F47" s="164"/>
      <c r="G47" s="164"/>
      <c r="H47" s="164"/>
      <c r="I47" s="221"/>
      <c r="J47" s="164"/>
      <c r="K47" s="164"/>
      <c r="L47" s="164"/>
      <c r="M47" s="221"/>
      <c r="N47" s="164"/>
      <c r="O47" s="164"/>
      <c r="P47" s="164"/>
      <c r="Q47" s="221"/>
      <c r="R47" s="209">
        <f t="shared" si="7"/>
        <v>0</v>
      </c>
      <c r="S47" s="171">
        <f t="shared" si="9"/>
        <v>0</v>
      </c>
      <c r="T47" s="207"/>
      <c r="U47" s="207"/>
      <c r="V47" s="207"/>
      <c r="W47" s="207"/>
      <c r="X47" s="207"/>
      <c r="Y47" s="208"/>
      <c r="Z47" s="166"/>
      <c r="AA47" s="166"/>
      <c r="AB47" s="166"/>
      <c r="AC47" s="166"/>
      <c r="AD47" s="166"/>
      <c r="AE47" s="166"/>
      <c r="AG47" s="164" t="s">
        <v>102</v>
      </c>
      <c r="AH47" s="164"/>
      <c r="AI47" s="164"/>
      <c r="AJ47" s="164"/>
      <c r="AK47" s="221"/>
      <c r="AL47" s="164"/>
      <c r="AM47" s="164"/>
      <c r="AN47" s="164"/>
      <c r="AO47" s="221"/>
      <c r="AP47" s="164"/>
      <c r="AQ47" s="164"/>
      <c r="AR47" s="164"/>
      <c r="AS47" s="221"/>
      <c r="AT47" s="164"/>
      <c r="AU47" s="164"/>
      <c r="AV47" s="164"/>
      <c r="AW47" s="221"/>
      <c r="AX47" s="209">
        <f t="shared" si="8"/>
        <v>0</v>
      </c>
      <c r="AY47" s="171">
        <f t="shared" si="10"/>
        <v>0</v>
      </c>
      <c r="AZ47" s="166"/>
      <c r="BA47" s="208"/>
      <c r="BB47" s="166"/>
      <c r="BC47" s="166"/>
      <c r="BD47" s="166"/>
      <c r="BE47" s="166"/>
      <c r="BF47" s="166"/>
      <c r="BG47" s="166"/>
      <c r="BH47" s="166"/>
      <c r="BI47" s="164"/>
      <c r="BJ47" s="164"/>
      <c r="BK47" s="164"/>
    </row>
    <row r="48" spans="1:63" ht="15">
      <c r="A48" s="164" t="s">
        <v>103</v>
      </c>
      <c r="B48" s="164"/>
      <c r="C48" s="164"/>
      <c r="D48" s="164"/>
      <c r="E48" s="221"/>
      <c r="F48" s="164"/>
      <c r="G48" s="164"/>
      <c r="H48" s="164"/>
      <c r="I48" s="221"/>
      <c r="J48" s="164"/>
      <c r="K48" s="164"/>
      <c r="L48" s="164"/>
      <c r="M48" s="221"/>
      <c r="N48" s="164"/>
      <c r="O48" s="164"/>
      <c r="P48" s="164"/>
      <c r="Q48" s="221"/>
      <c r="R48" s="209">
        <f t="shared" si="7"/>
        <v>0</v>
      </c>
      <c r="S48" s="171">
        <f t="shared" si="9"/>
        <v>0</v>
      </c>
      <c r="T48" s="207"/>
      <c r="U48" s="207"/>
      <c r="V48" s="207"/>
      <c r="W48" s="207"/>
      <c r="X48" s="207"/>
      <c r="Y48" s="208"/>
      <c r="Z48" s="166"/>
      <c r="AA48" s="166"/>
      <c r="AB48" s="166"/>
      <c r="AC48" s="166"/>
      <c r="AD48" s="166"/>
      <c r="AE48" s="166"/>
      <c r="AG48" s="164" t="s">
        <v>103</v>
      </c>
      <c r="AH48" s="164"/>
      <c r="AI48" s="164"/>
      <c r="AJ48" s="164"/>
      <c r="AK48" s="221"/>
      <c r="AL48" s="164"/>
      <c r="AM48" s="164"/>
      <c r="AN48" s="164"/>
      <c r="AO48" s="221"/>
      <c r="AP48" s="164"/>
      <c r="AQ48" s="164"/>
      <c r="AR48" s="164"/>
      <c r="AS48" s="221"/>
      <c r="AT48" s="164"/>
      <c r="AU48" s="164"/>
      <c r="AV48" s="164"/>
      <c r="AW48" s="221"/>
      <c r="AX48" s="209">
        <f t="shared" si="8"/>
        <v>0</v>
      </c>
      <c r="AY48" s="171">
        <f t="shared" si="10"/>
        <v>0</v>
      </c>
      <c r="AZ48" s="166"/>
      <c r="BA48" s="166"/>
      <c r="BB48" s="166"/>
      <c r="BC48" s="166"/>
      <c r="BD48" s="166"/>
      <c r="BE48" s="166"/>
      <c r="BF48" s="166"/>
      <c r="BG48" s="166"/>
      <c r="BH48" s="166"/>
      <c r="BI48" s="166"/>
      <c r="BJ48" s="166"/>
      <c r="BK48" s="166"/>
    </row>
    <row r="49" spans="1:63" ht="15">
      <c r="A49" s="164" t="s">
        <v>104</v>
      </c>
      <c r="B49" s="164"/>
      <c r="C49" s="164"/>
      <c r="D49" s="164"/>
      <c r="E49" s="221"/>
      <c r="F49" s="164"/>
      <c r="G49" s="164"/>
      <c r="H49" s="164"/>
      <c r="I49" s="221"/>
      <c r="J49" s="164"/>
      <c r="K49" s="164"/>
      <c r="L49" s="164"/>
      <c r="M49" s="221"/>
      <c r="N49" s="164"/>
      <c r="O49" s="164"/>
      <c r="P49" s="164"/>
      <c r="Q49" s="221"/>
      <c r="R49" s="209">
        <f t="shared" si="7"/>
        <v>0</v>
      </c>
      <c r="S49" s="171">
        <f t="shared" si="9"/>
        <v>0</v>
      </c>
      <c r="T49" s="207"/>
      <c r="U49" s="207"/>
      <c r="V49" s="207"/>
      <c r="W49" s="207"/>
      <c r="X49" s="207"/>
      <c r="Y49" s="208"/>
      <c r="Z49" s="166"/>
      <c r="AA49" s="166"/>
      <c r="AB49" s="166"/>
      <c r="AC49" s="166"/>
      <c r="AD49" s="166"/>
      <c r="AE49" s="166"/>
      <c r="AG49" s="164" t="s">
        <v>104</v>
      </c>
      <c r="AH49" s="164"/>
      <c r="AI49" s="164"/>
      <c r="AJ49" s="164"/>
      <c r="AK49" s="221"/>
      <c r="AL49" s="164"/>
      <c r="AM49" s="164"/>
      <c r="AN49" s="164"/>
      <c r="AO49" s="221"/>
      <c r="AP49" s="164"/>
      <c r="AQ49" s="164"/>
      <c r="AR49" s="164"/>
      <c r="AS49" s="221"/>
      <c r="AT49" s="164"/>
      <c r="AU49" s="164"/>
      <c r="AV49" s="164"/>
      <c r="AW49" s="221"/>
      <c r="AX49" s="209">
        <f t="shared" si="8"/>
        <v>0</v>
      </c>
      <c r="AY49" s="171">
        <f t="shared" si="10"/>
        <v>0</v>
      </c>
      <c r="AZ49" s="166"/>
      <c r="BA49" s="166"/>
      <c r="BB49" s="166"/>
      <c r="BC49" s="166"/>
      <c r="BD49" s="166"/>
      <c r="BE49" s="166"/>
      <c r="BF49" s="166"/>
      <c r="BG49" s="166"/>
      <c r="BH49" s="166"/>
      <c r="BI49" s="166"/>
      <c r="BJ49" s="166"/>
      <c r="BK49" s="166"/>
    </row>
    <row r="50" spans="1:63" ht="15">
      <c r="A50" s="164" t="s">
        <v>105</v>
      </c>
      <c r="B50" s="164"/>
      <c r="C50" s="164"/>
      <c r="D50" s="164"/>
      <c r="E50" s="221"/>
      <c r="F50" s="164"/>
      <c r="G50" s="164"/>
      <c r="H50" s="164"/>
      <c r="I50" s="221"/>
      <c r="J50" s="164"/>
      <c r="K50" s="164"/>
      <c r="L50" s="164"/>
      <c r="M50" s="221"/>
      <c r="N50" s="164"/>
      <c r="O50" s="164"/>
      <c r="P50" s="164"/>
      <c r="Q50" s="221"/>
      <c r="R50" s="209">
        <f t="shared" si="7"/>
        <v>0</v>
      </c>
      <c r="S50" s="171">
        <f t="shared" si="9"/>
        <v>0</v>
      </c>
      <c r="T50" s="207"/>
      <c r="U50" s="207"/>
      <c r="V50" s="207"/>
      <c r="W50" s="207"/>
      <c r="X50" s="207"/>
      <c r="Y50" s="208"/>
      <c r="Z50" s="166"/>
      <c r="AA50" s="166"/>
      <c r="AB50" s="166"/>
      <c r="AC50" s="166"/>
      <c r="AD50" s="166"/>
      <c r="AE50" s="166"/>
      <c r="AG50" s="164" t="s">
        <v>105</v>
      </c>
      <c r="AH50" s="164"/>
      <c r="AI50" s="164"/>
      <c r="AJ50" s="164"/>
      <c r="AK50" s="221"/>
      <c r="AL50" s="164"/>
      <c r="AM50" s="164"/>
      <c r="AN50" s="164"/>
      <c r="AO50" s="221"/>
      <c r="AP50" s="164"/>
      <c r="AQ50" s="164"/>
      <c r="AR50" s="164"/>
      <c r="AS50" s="221"/>
      <c r="AT50" s="164"/>
      <c r="AU50" s="164"/>
      <c r="AV50" s="164"/>
      <c r="AW50" s="221"/>
      <c r="AX50" s="209">
        <f t="shared" si="8"/>
        <v>0</v>
      </c>
      <c r="AY50" s="171">
        <f t="shared" si="10"/>
        <v>0</v>
      </c>
      <c r="AZ50" s="166"/>
      <c r="BA50" s="166"/>
      <c r="BB50" s="166"/>
      <c r="BC50" s="166"/>
      <c r="BD50" s="166"/>
      <c r="BE50" s="166"/>
      <c r="BF50" s="166"/>
      <c r="BG50" s="166"/>
      <c r="BH50" s="166"/>
      <c r="BI50" s="166"/>
      <c r="BJ50" s="166"/>
      <c r="BK50" s="166"/>
    </row>
    <row r="51" spans="1:63" ht="15">
      <c r="A51" s="164" t="s">
        <v>106</v>
      </c>
      <c r="B51" s="164"/>
      <c r="C51" s="164"/>
      <c r="D51" s="164"/>
      <c r="E51" s="221"/>
      <c r="F51" s="164"/>
      <c r="G51" s="164"/>
      <c r="H51" s="164"/>
      <c r="I51" s="221"/>
      <c r="J51" s="164"/>
      <c r="K51" s="164"/>
      <c r="L51" s="164"/>
      <c r="M51" s="221"/>
      <c r="N51" s="164"/>
      <c r="O51" s="164"/>
      <c r="P51" s="164"/>
      <c r="Q51" s="221"/>
      <c r="R51" s="209">
        <f t="shared" si="7"/>
        <v>0</v>
      </c>
      <c r="S51" s="171">
        <f t="shared" si="9"/>
        <v>0</v>
      </c>
      <c r="T51" s="207"/>
      <c r="U51" s="207"/>
      <c r="V51" s="207"/>
      <c r="W51" s="207"/>
      <c r="X51" s="207"/>
      <c r="Y51" s="208"/>
      <c r="Z51" s="166"/>
      <c r="AA51" s="166"/>
      <c r="AB51" s="166"/>
      <c r="AC51" s="166"/>
      <c r="AD51" s="166"/>
      <c r="AE51" s="166"/>
      <c r="AG51" s="164" t="s">
        <v>106</v>
      </c>
      <c r="AH51" s="164"/>
      <c r="AI51" s="164"/>
      <c r="AJ51" s="164"/>
      <c r="AK51" s="221"/>
      <c r="AL51" s="164"/>
      <c r="AM51" s="164"/>
      <c r="AN51" s="164"/>
      <c r="AO51" s="221"/>
      <c r="AP51" s="164"/>
      <c r="AQ51" s="164"/>
      <c r="AR51" s="164"/>
      <c r="AS51" s="221"/>
      <c r="AT51" s="164"/>
      <c r="AU51" s="164"/>
      <c r="AV51" s="164"/>
      <c r="AW51" s="221"/>
      <c r="AX51" s="209">
        <f t="shared" si="8"/>
        <v>0</v>
      </c>
      <c r="AY51" s="171">
        <f t="shared" si="10"/>
        <v>0</v>
      </c>
      <c r="AZ51" s="166"/>
      <c r="BA51" s="166"/>
      <c r="BB51" s="166"/>
      <c r="BC51" s="166"/>
      <c r="BD51" s="166"/>
      <c r="BE51" s="166"/>
      <c r="BF51" s="166"/>
      <c r="BG51" s="166"/>
      <c r="BH51" s="166"/>
      <c r="BI51" s="166"/>
      <c r="BJ51" s="166"/>
      <c r="BK51" s="166"/>
    </row>
    <row r="52" spans="1:63" ht="15">
      <c r="A52" s="164" t="s">
        <v>107</v>
      </c>
      <c r="B52" s="164"/>
      <c r="C52" s="164"/>
      <c r="D52" s="164"/>
      <c r="E52" s="221"/>
      <c r="F52" s="164"/>
      <c r="G52" s="164"/>
      <c r="H52" s="164"/>
      <c r="I52" s="221"/>
      <c r="J52" s="164"/>
      <c r="K52" s="164"/>
      <c r="L52" s="164"/>
      <c r="M52" s="221"/>
      <c r="N52" s="164"/>
      <c r="O52" s="164"/>
      <c r="P52" s="164"/>
      <c r="Q52" s="221"/>
      <c r="R52" s="209">
        <f t="shared" si="7"/>
        <v>0</v>
      </c>
      <c r="S52" s="171">
        <f t="shared" si="9"/>
        <v>0</v>
      </c>
      <c r="T52" s="207"/>
      <c r="U52" s="207"/>
      <c r="V52" s="207"/>
      <c r="W52" s="207"/>
      <c r="X52" s="207"/>
      <c r="Y52" s="208"/>
      <c r="Z52" s="166"/>
      <c r="AA52" s="166"/>
      <c r="AB52" s="166"/>
      <c r="AC52" s="166"/>
      <c r="AD52" s="166"/>
      <c r="AE52" s="166"/>
      <c r="AG52" s="164" t="s">
        <v>107</v>
      </c>
      <c r="AH52" s="164"/>
      <c r="AI52" s="164"/>
      <c r="AJ52" s="164"/>
      <c r="AK52" s="221"/>
      <c r="AL52" s="164"/>
      <c r="AM52" s="164"/>
      <c r="AN52" s="164"/>
      <c r="AO52" s="221"/>
      <c r="AP52" s="164"/>
      <c r="AQ52" s="164"/>
      <c r="AR52" s="164"/>
      <c r="AS52" s="221"/>
      <c r="AT52" s="164"/>
      <c r="AU52" s="164"/>
      <c r="AV52" s="164"/>
      <c r="AW52" s="221"/>
      <c r="AX52" s="209">
        <f t="shared" si="8"/>
        <v>0</v>
      </c>
      <c r="AY52" s="171">
        <f t="shared" si="10"/>
        <v>0</v>
      </c>
      <c r="AZ52" s="166"/>
      <c r="BA52" s="166"/>
      <c r="BB52" s="166"/>
      <c r="BC52" s="166"/>
      <c r="BD52" s="166"/>
      <c r="BE52" s="166"/>
      <c r="BF52" s="166"/>
      <c r="BG52" s="166"/>
      <c r="BH52" s="166"/>
      <c r="BI52" s="166"/>
      <c r="BJ52" s="166"/>
      <c r="BK52" s="166"/>
    </row>
    <row r="53" spans="1:63" ht="15">
      <c r="A53" s="164" t="s">
        <v>108</v>
      </c>
      <c r="B53" s="164"/>
      <c r="C53" s="164"/>
      <c r="D53" s="164"/>
      <c r="E53" s="221"/>
      <c r="F53" s="164"/>
      <c r="G53" s="164"/>
      <c r="H53" s="164"/>
      <c r="I53" s="221"/>
      <c r="J53" s="164"/>
      <c r="K53" s="164"/>
      <c r="L53" s="164"/>
      <c r="M53" s="221"/>
      <c r="N53" s="164"/>
      <c r="O53" s="164"/>
      <c r="P53" s="164"/>
      <c r="Q53" s="221"/>
      <c r="R53" s="209">
        <f t="shared" si="7"/>
        <v>0</v>
      </c>
      <c r="S53" s="171">
        <f t="shared" si="9"/>
        <v>0</v>
      </c>
      <c r="T53" s="207"/>
      <c r="U53" s="207"/>
      <c r="V53" s="207"/>
      <c r="W53" s="207"/>
      <c r="X53" s="207"/>
      <c r="Y53" s="208"/>
      <c r="Z53" s="166"/>
      <c r="AA53" s="166"/>
      <c r="AB53" s="166"/>
      <c r="AC53" s="166"/>
      <c r="AD53" s="166"/>
      <c r="AE53" s="166"/>
      <c r="AG53" s="164" t="s">
        <v>108</v>
      </c>
      <c r="AH53" s="164"/>
      <c r="AI53" s="164"/>
      <c r="AJ53" s="164"/>
      <c r="AK53" s="221"/>
      <c r="AL53" s="164"/>
      <c r="AM53" s="164"/>
      <c r="AN53" s="164"/>
      <c r="AO53" s="221"/>
      <c r="AP53" s="164"/>
      <c r="AQ53" s="164"/>
      <c r="AR53" s="164"/>
      <c r="AS53" s="221"/>
      <c r="AT53" s="164"/>
      <c r="AU53" s="164"/>
      <c r="AV53" s="164"/>
      <c r="AW53" s="221"/>
      <c r="AX53" s="209">
        <f t="shared" si="8"/>
        <v>0</v>
      </c>
      <c r="AY53" s="171">
        <f t="shared" si="10"/>
        <v>0</v>
      </c>
      <c r="AZ53" s="166"/>
      <c r="BA53" s="166"/>
      <c r="BB53" s="166"/>
      <c r="BC53" s="166"/>
      <c r="BD53" s="166"/>
      <c r="BE53" s="166"/>
      <c r="BF53" s="166"/>
      <c r="BG53" s="166"/>
      <c r="BH53" s="166"/>
      <c r="BI53" s="166"/>
      <c r="BJ53" s="166"/>
      <c r="BK53" s="166"/>
    </row>
    <row r="54" spans="1:63" ht="15">
      <c r="A54" s="164" t="s">
        <v>109</v>
      </c>
      <c r="B54" s="164"/>
      <c r="C54" s="164"/>
      <c r="D54" s="164"/>
      <c r="E54" s="221"/>
      <c r="F54" s="164"/>
      <c r="G54" s="164"/>
      <c r="H54" s="164"/>
      <c r="I54" s="221"/>
      <c r="J54" s="164"/>
      <c r="K54" s="164"/>
      <c r="L54" s="164"/>
      <c r="M54" s="221"/>
      <c r="N54" s="164"/>
      <c r="O54" s="164"/>
      <c r="P54" s="164"/>
      <c r="Q54" s="221"/>
      <c r="R54" s="209">
        <f t="shared" si="7"/>
        <v>0</v>
      </c>
      <c r="S54" s="171">
        <f t="shared" si="9"/>
        <v>0</v>
      </c>
      <c r="T54" s="207"/>
      <c r="U54" s="207"/>
      <c r="V54" s="207"/>
      <c r="W54" s="207"/>
      <c r="X54" s="207"/>
      <c r="Y54" s="208"/>
      <c r="Z54" s="166"/>
      <c r="AA54" s="166"/>
      <c r="AB54" s="166"/>
      <c r="AC54" s="166"/>
      <c r="AD54" s="166"/>
      <c r="AE54" s="166"/>
      <c r="AG54" s="164" t="s">
        <v>109</v>
      </c>
      <c r="AH54" s="164"/>
      <c r="AI54" s="164"/>
      <c r="AJ54" s="164"/>
      <c r="AK54" s="221"/>
      <c r="AL54" s="164"/>
      <c r="AM54" s="164"/>
      <c r="AN54" s="164"/>
      <c r="AO54" s="221"/>
      <c r="AP54" s="164"/>
      <c r="AQ54" s="164"/>
      <c r="AR54" s="164"/>
      <c r="AS54" s="221"/>
      <c r="AT54" s="164"/>
      <c r="AU54" s="164"/>
      <c r="AV54" s="164"/>
      <c r="AW54" s="221"/>
      <c r="AX54" s="209">
        <f t="shared" si="8"/>
        <v>0</v>
      </c>
      <c r="AY54" s="171">
        <f t="shared" si="10"/>
        <v>0</v>
      </c>
      <c r="AZ54" s="166"/>
      <c r="BA54" s="166"/>
      <c r="BB54" s="166"/>
      <c r="BC54" s="166"/>
      <c r="BD54" s="166"/>
      <c r="BE54" s="166"/>
      <c r="BF54" s="166"/>
      <c r="BG54" s="166"/>
      <c r="BH54" s="166"/>
      <c r="BI54" s="166"/>
      <c r="BJ54" s="166"/>
      <c r="BK54" s="166"/>
    </row>
    <row r="55" spans="1:63" ht="15">
      <c r="A55" s="164" t="s">
        <v>110</v>
      </c>
      <c r="B55" s="164"/>
      <c r="C55" s="164"/>
      <c r="D55" s="164"/>
      <c r="E55" s="221"/>
      <c r="F55" s="164"/>
      <c r="G55" s="164"/>
      <c r="H55" s="164"/>
      <c r="I55" s="221"/>
      <c r="J55" s="164"/>
      <c r="K55" s="164"/>
      <c r="L55" s="164"/>
      <c r="M55" s="221"/>
      <c r="N55" s="164"/>
      <c r="O55" s="164"/>
      <c r="P55" s="164"/>
      <c r="Q55" s="221"/>
      <c r="R55" s="209">
        <f t="shared" si="7"/>
        <v>0</v>
      </c>
      <c r="S55" s="171">
        <f t="shared" si="9"/>
        <v>0</v>
      </c>
      <c r="T55" s="207"/>
      <c r="U55" s="207"/>
      <c r="V55" s="207"/>
      <c r="W55" s="207"/>
      <c r="X55" s="207"/>
      <c r="Y55" s="208"/>
      <c r="Z55" s="166"/>
      <c r="AA55" s="166"/>
      <c r="AB55" s="166"/>
      <c r="AC55" s="166"/>
      <c r="AD55" s="166"/>
      <c r="AE55" s="166"/>
      <c r="AG55" s="164" t="s">
        <v>110</v>
      </c>
      <c r="AH55" s="164"/>
      <c r="AI55" s="164"/>
      <c r="AJ55" s="164"/>
      <c r="AK55" s="221"/>
      <c r="AL55" s="164"/>
      <c r="AM55" s="164"/>
      <c r="AN55" s="164"/>
      <c r="AO55" s="221"/>
      <c r="AP55" s="164"/>
      <c r="AQ55" s="164"/>
      <c r="AR55" s="164"/>
      <c r="AS55" s="221"/>
      <c r="AT55" s="164"/>
      <c r="AU55" s="164"/>
      <c r="AV55" s="164"/>
      <c r="AW55" s="221"/>
      <c r="AX55" s="209">
        <f t="shared" si="8"/>
        <v>0</v>
      </c>
      <c r="AY55" s="171">
        <f t="shared" si="10"/>
        <v>0</v>
      </c>
      <c r="AZ55" s="166"/>
      <c r="BA55" s="166"/>
      <c r="BB55" s="166"/>
      <c r="BC55" s="166"/>
      <c r="BD55" s="166"/>
      <c r="BE55" s="166"/>
      <c r="BF55" s="166"/>
      <c r="BG55" s="166"/>
      <c r="BH55" s="166"/>
      <c r="BI55" s="166"/>
      <c r="BJ55" s="166"/>
      <c r="BK55" s="166"/>
    </row>
    <row r="56" spans="1:63" ht="15">
      <c r="A56" s="164" t="s">
        <v>111</v>
      </c>
      <c r="B56" s="164"/>
      <c r="C56" s="164"/>
      <c r="D56" s="164"/>
      <c r="E56" s="221"/>
      <c r="F56" s="164"/>
      <c r="G56" s="164"/>
      <c r="H56" s="164"/>
      <c r="I56" s="221"/>
      <c r="J56" s="164"/>
      <c r="K56" s="164"/>
      <c r="L56" s="164"/>
      <c r="M56" s="221"/>
      <c r="N56" s="164"/>
      <c r="O56" s="164"/>
      <c r="P56" s="164"/>
      <c r="Q56" s="221"/>
      <c r="R56" s="209">
        <f t="shared" si="7"/>
        <v>0</v>
      </c>
      <c r="S56" s="171">
        <f t="shared" si="9"/>
        <v>0</v>
      </c>
      <c r="T56" s="207"/>
      <c r="U56" s="207"/>
      <c r="V56" s="207"/>
      <c r="W56" s="207"/>
      <c r="X56" s="207"/>
      <c r="Y56" s="208"/>
      <c r="Z56" s="166"/>
      <c r="AA56" s="166"/>
      <c r="AB56" s="166"/>
      <c r="AC56" s="166"/>
      <c r="AD56" s="166"/>
      <c r="AE56" s="166"/>
      <c r="AG56" s="164" t="s">
        <v>111</v>
      </c>
      <c r="AH56" s="164"/>
      <c r="AI56" s="164"/>
      <c r="AJ56" s="164"/>
      <c r="AK56" s="221"/>
      <c r="AL56" s="164"/>
      <c r="AM56" s="164"/>
      <c r="AN56" s="164"/>
      <c r="AO56" s="221"/>
      <c r="AP56" s="164"/>
      <c r="AQ56" s="164"/>
      <c r="AR56" s="164"/>
      <c r="AS56" s="221"/>
      <c r="AT56" s="164"/>
      <c r="AU56" s="164"/>
      <c r="AV56" s="164"/>
      <c r="AW56" s="221"/>
      <c r="AX56" s="209">
        <f t="shared" si="8"/>
        <v>0</v>
      </c>
      <c r="AY56" s="171">
        <f t="shared" si="10"/>
        <v>0</v>
      </c>
      <c r="AZ56" s="166"/>
      <c r="BA56" s="166"/>
      <c r="BB56" s="166"/>
      <c r="BC56" s="166"/>
      <c r="BD56" s="166"/>
      <c r="BE56" s="166"/>
      <c r="BF56" s="166"/>
      <c r="BG56" s="166"/>
      <c r="BH56" s="166"/>
      <c r="BI56" s="166"/>
      <c r="BJ56" s="166"/>
      <c r="BK56" s="166"/>
    </row>
    <row r="57" spans="1:63" ht="15">
      <c r="A57" s="164" t="s">
        <v>112</v>
      </c>
      <c r="B57" s="164"/>
      <c r="C57" s="164"/>
      <c r="D57" s="164"/>
      <c r="E57" s="221"/>
      <c r="F57" s="164"/>
      <c r="G57" s="164"/>
      <c r="H57" s="164"/>
      <c r="I57" s="221"/>
      <c r="J57" s="164"/>
      <c r="K57" s="164"/>
      <c r="L57" s="164"/>
      <c r="M57" s="221"/>
      <c r="N57" s="164"/>
      <c r="O57" s="164"/>
      <c r="P57" s="164"/>
      <c r="Q57" s="221"/>
      <c r="R57" s="209">
        <f t="shared" si="7"/>
        <v>0</v>
      </c>
      <c r="S57" s="171">
        <f t="shared" si="9"/>
        <v>0</v>
      </c>
      <c r="T57" s="207"/>
      <c r="U57" s="207"/>
      <c r="V57" s="207"/>
      <c r="W57" s="207"/>
      <c r="X57" s="207"/>
      <c r="Y57" s="208"/>
      <c r="Z57" s="166"/>
      <c r="AA57" s="166"/>
      <c r="AB57" s="166"/>
      <c r="AC57" s="166"/>
      <c r="AD57" s="166"/>
      <c r="AE57" s="166"/>
      <c r="AG57" s="164" t="s">
        <v>112</v>
      </c>
      <c r="AH57" s="164"/>
      <c r="AI57" s="164"/>
      <c r="AJ57" s="164"/>
      <c r="AK57" s="221"/>
      <c r="AL57" s="164"/>
      <c r="AM57" s="164"/>
      <c r="AN57" s="164"/>
      <c r="AO57" s="221"/>
      <c r="AP57" s="164"/>
      <c r="AQ57" s="164"/>
      <c r="AR57" s="164"/>
      <c r="AS57" s="221"/>
      <c r="AT57" s="164"/>
      <c r="AU57" s="164"/>
      <c r="AV57" s="164"/>
      <c r="AW57" s="221"/>
      <c r="AX57" s="209">
        <f t="shared" si="8"/>
        <v>0</v>
      </c>
      <c r="AY57" s="171">
        <f t="shared" si="10"/>
        <v>0</v>
      </c>
      <c r="AZ57" s="166"/>
      <c r="BA57" s="166"/>
      <c r="BB57" s="166"/>
      <c r="BC57" s="166"/>
      <c r="BD57" s="166"/>
      <c r="BE57" s="166"/>
      <c r="BF57" s="166"/>
      <c r="BG57" s="166"/>
      <c r="BH57" s="166"/>
      <c r="BI57" s="166"/>
      <c r="BJ57" s="166"/>
      <c r="BK57" s="166"/>
    </row>
    <row r="58" spans="1:63" ht="15">
      <c r="A58" s="168" t="s">
        <v>113</v>
      </c>
      <c r="B58" s="165">
        <f aca="true" t="shared" si="11" ref="B58:Q58">SUM(B37:B57)</f>
        <v>0</v>
      </c>
      <c r="C58" s="165">
        <f t="shared" si="11"/>
        <v>0</v>
      </c>
      <c r="D58" s="165">
        <f t="shared" si="11"/>
        <v>0</v>
      </c>
      <c r="E58" s="222">
        <f t="shared" si="11"/>
        <v>0</v>
      </c>
      <c r="F58" s="165">
        <f t="shared" si="11"/>
        <v>0</v>
      </c>
      <c r="G58" s="165">
        <f t="shared" si="11"/>
        <v>0</v>
      </c>
      <c r="H58" s="165">
        <f t="shared" si="11"/>
        <v>0</v>
      </c>
      <c r="I58" s="222">
        <f t="shared" si="11"/>
        <v>0</v>
      </c>
      <c r="J58" s="165">
        <f t="shared" si="11"/>
        <v>0</v>
      </c>
      <c r="K58" s="165">
        <f t="shared" si="11"/>
        <v>0</v>
      </c>
      <c r="L58" s="165">
        <f t="shared" si="11"/>
        <v>0</v>
      </c>
      <c r="M58" s="222">
        <f t="shared" si="11"/>
        <v>0</v>
      </c>
      <c r="N58" s="165">
        <f t="shared" si="11"/>
        <v>0</v>
      </c>
      <c r="O58" s="165">
        <f t="shared" si="11"/>
        <v>0</v>
      </c>
      <c r="P58" s="165">
        <f t="shared" si="11"/>
        <v>0</v>
      </c>
      <c r="Q58" s="222">
        <f t="shared" si="11"/>
        <v>0</v>
      </c>
      <c r="R58" s="165">
        <f aca="true" t="shared" si="12" ref="R58:AE58">SUM(R37:R57)</f>
        <v>0</v>
      </c>
      <c r="S58" s="171">
        <f t="shared" si="12"/>
        <v>0</v>
      </c>
      <c r="T58" s="165">
        <f t="shared" si="12"/>
        <v>0</v>
      </c>
      <c r="U58" s="165">
        <f t="shared" si="12"/>
        <v>0</v>
      </c>
      <c r="V58" s="165">
        <f t="shared" si="12"/>
        <v>0</v>
      </c>
      <c r="W58" s="165">
        <f t="shared" si="12"/>
        <v>0</v>
      </c>
      <c r="X58" s="165">
        <f t="shared" si="12"/>
        <v>0</v>
      </c>
      <c r="Y58" s="165">
        <f t="shared" si="12"/>
        <v>0</v>
      </c>
      <c r="Z58" s="165">
        <f t="shared" si="12"/>
        <v>0</v>
      </c>
      <c r="AA58" s="165">
        <f t="shared" si="12"/>
        <v>0</v>
      </c>
      <c r="AB58" s="165">
        <f t="shared" si="12"/>
        <v>0</v>
      </c>
      <c r="AC58" s="165">
        <f t="shared" si="12"/>
        <v>0</v>
      </c>
      <c r="AD58" s="165">
        <f t="shared" si="12"/>
        <v>0</v>
      </c>
      <c r="AE58" s="165">
        <f t="shared" si="12"/>
        <v>0</v>
      </c>
      <c r="AG58" s="168" t="s">
        <v>113</v>
      </c>
      <c r="AH58" s="165">
        <f aca="true" t="shared" si="13" ref="AH58:AW58">SUM(AH37:AH57)</f>
        <v>0</v>
      </c>
      <c r="AI58" s="165">
        <f t="shared" si="13"/>
        <v>0</v>
      </c>
      <c r="AJ58" s="165">
        <f t="shared" si="13"/>
        <v>0</v>
      </c>
      <c r="AK58" s="222">
        <f t="shared" si="13"/>
        <v>0</v>
      </c>
      <c r="AL58" s="165">
        <f t="shared" si="13"/>
        <v>0</v>
      </c>
      <c r="AM58" s="165">
        <f t="shared" si="13"/>
        <v>0</v>
      </c>
      <c r="AN58" s="165">
        <f t="shared" si="13"/>
        <v>0</v>
      </c>
      <c r="AO58" s="222">
        <f t="shared" si="13"/>
        <v>0</v>
      </c>
      <c r="AP58" s="165">
        <f t="shared" si="13"/>
        <v>0</v>
      </c>
      <c r="AQ58" s="165">
        <f t="shared" si="13"/>
        <v>0</v>
      </c>
      <c r="AR58" s="165">
        <f t="shared" si="13"/>
        <v>0</v>
      </c>
      <c r="AS58" s="222">
        <f t="shared" si="13"/>
        <v>0</v>
      </c>
      <c r="AT58" s="165">
        <f t="shared" si="13"/>
        <v>0</v>
      </c>
      <c r="AU58" s="165">
        <f t="shared" si="13"/>
        <v>0</v>
      </c>
      <c r="AV58" s="165">
        <f t="shared" si="13"/>
        <v>0</v>
      </c>
      <c r="AW58" s="222">
        <f t="shared" si="13"/>
        <v>0</v>
      </c>
      <c r="AX58" s="210">
        <f aca="true" t="shared" si="14" ref="AX58:BK58">SUM(AX37:AX57)</f>
        <v>0</v>
      </c>
      <c r="AY58" s="172">
        <f t="shared" si="14"/>
        <v>0</v>
      </c>
      <c r="AZ58" s="165">
        <f t="shared" si="14"/>
        <v>0</v>
      </c>
      <c r="BA58" s="165">
        <f t="shared" si="14"/>
        <v>0</v>
      </c>
      <c r="BB58" s="165">
        <f t="shared" si="14"/>
        <v>0</v>
      </c>
      <c r="BC58" s="165">
        <f t="shared" si="14"/>
        <v>0</v>
      </c>
      <c r="BD58" s="165">
        <f t="shared" si="14"/>
        <v>0</v>
      </c>
      <c r="BE58" s="165">
        <f t="shared" si="14"/>
        <v>0</v>
      </c>
      <c r="BF58" s="165">
        <f t="shared" si="14"/>
        <v>0</v>
      </c>
      <c r="BG58" s="165">
        <f t="shared" si="14"/>
        <v>0</v>
      </c>
      <c r="BH58" s="165">
        <f t="shared" si="14"/>
        <v>0</v>
      </c>
      <c r="BI58" s="165">
        <f t="shared" si="14"/>
        <v>0</v>
      </c>
      <c r="BJ58" s="165">
        <f t="shared" si="14"/>
        <v>0</v>
      </c>
      <c r="BK58" s="165">
        <f t="shared" si="14"/>
        <v>0</v>
      </c>
    </row>
  </sheetData>
  <sheetProtection/>
  <mergeCells count="44">
    <mergeCell ref="AX9:AY9"/>
    <mergeCell ref="B7:BK7"/>
    <mergeCell ref="T9:Y9"/>
    <mergeCell ref="A35:A36"/>
    <mergeCell ref="D35:E35"/>
    <mergeCell ref="H35:I35"/>
    <mergeCell ref="L35:M35"/>
    <mergeCell ref="P35:Q35"/>
    <mergeCell ref="R35:S35"/>
    <mergeCell ref="T35:Y35"/>
    <mergeCell ref="Z35:AE35"/>
    <mergeCell ref="AG35:AG36"/>
    <mergeCell ref="AJ35:AK35"/>
    <mergeCell ref="AN35:AO35"/>
    <mergeCell ref="AR35:AS35"/>
    <mergeCell ref="AV35:AW35"/>
    <mergeCell ref="AG9:AG10"/>
    <mergeCell ref="L9:M9"/>
    <mergeCell ref="P9:Q9"/>
    <mergeCell ref="AX35:AY35"/>
    <mergeCell ref="AZ35:BE35"/>
    <mergeCell ref="BF35:BK35"/>
    <mergeCell ref="AR9:AS9"/>
    <mergeCell ref="AV9:AW9"/>
    <mergeCell ref="BF9:BK9"/>
    <mergeCell ref="AZ9:BE9"/>
    <mergeCell ref="AG5:BK5"/>
    <mergeCell ref="A9:A10"/>
    <mergeCell ref="D9:E9"/>
    <mergeCell ref="H9:I9"/>
    <mergeCell ref="B6:BK6"/>
    <mergeCell ref="R9:S9"/>
    <mergeCell ref="A5:AE5"/>
    <mergeCell ref="AJ9:AK9"/>
    <mergeCell ref="AN9:AO9"/>
    <mergeCell ref="Z9:AE9"/>
    <mergeCell ref="BI4:BK4"/>
    <mergeCell ref="A4:BH4"/>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5.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C17" sqref="C17:Q17"/>
    </sheetView>
  </sheetViews>
  <sheetFormatPr defaultColWidth="10.8515625" defaultRowHeight="15"/>
  <cols>
    <col min="1" max="1" width="72.00390625" style="145" bestFit="1"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822" t="s">
        <v>195</v>
      </c>
      <c r="B1" s="823"/>
    </row>
    <row r="2" spans="1:2" ht="25.5" customHeight="1">
      <c r="A2" s="824" t="s">
        <v>400</v>
      </c>
      <c r="B2" s="825"/>
    </row>
    <row r="3" spans="1:2" ht="15">
      <c r="A3" s="218" t="s">
        <v>324</v>
      </c>
      <c r="B3" s="147" t="s">
        <v>325</v>
      </c>
    </row>
    <row r="4" spans="1:2" ht="15">
      <c r="A4" s="219" t="s">
        <v>71</v>
      </c>
      <c r="B4" s="155" t="s">
        <v>357</v>
      </c>
    </row>
    <row r="5" spans="1:2" ht="105">
      <c r="A5" s="219" t="s">
        <v>67</v>
      </c>
      <c r="B5" s="223" t="s">
        <v>422</v>
      </c>
    </row>
    <row r="6" spans="1:2" s="146" customFormat="1" ht="15">
      <c r="A6" s="219" t="s">
        <v>0</v>
      </c>
      <c r="B6" s="826" t="s">
        <v>352</v>
      </c>
    </row>
    <row r="7" spans="1:2" s="146" customFormat="1" ht="15">
      <c r="A7" s="219" t="s">
        <v>77</v>
      </c>
      <c r="B7" s="827"/>
    </row>
    <row r="8" spans="1:2" s="146" customFormat="1" ht="15">
      <c r="A8" s="219" t="s">
        <v>73</v>
      </c>
      <c r="B8" s="827"/>
    </row>
    <row r="9" spans="1:2" s="146" customFormat="1" ht="15">
      <c r="A9" s="219" t="s">
        <v>333</v>
      </c>
      <c r="B9" s="828"/>
    </row>
    <row r="10" spans="1:2" s="146" customFormat="1" ht="30">
      <c r="A10" s="219" t="s">
        <v>293</v>
      </c>
      <c r="B10" s="148" t="s">
        <v>359</v>
      </c>
    </row>
    <row r="11" spans="1:2" s="146" customFormat="1" ht="45">
      <c r="A11" s="219" t="s">
        <v>1</v>
      </c>
      <c r="B11" s="148" t="s">
        <v>375</v>
      </c>
    </row>
    <row r="12" spans="1:2" s="146" customFormat="1" ht="60">
      <c r="A12" s="219" t="s">
        <v>15</v>
      </c>
      <c r="B12" s="149" t="s">
        <v>353</v>
      </c>
    </row>
    <row r="13" spans="1:2" s="146" customFormat="1" ht="30">
      <c r="A13" s="219" t="s">
        <v>331</v>
      </c>
      <c r="B13" s="149" t="s">
        <v>354</v>
      </c>
    </row>
    <row r="14" spans="1:2" s="146" customFormat="1" ht="45">
      <c r="A14" s="219" t="s">
        <v>332</v>
      </c>
      <c r="B14" s="149" t="s">
        <v>360</v>
      </c>
    </row>
    <row r="15" spans="1:2" ht="72" customHeight="1">
      <c r="A15" s="220" t="s">
        <v>329</v>
      </c>
      <c r="B15" s="150" t="s">
        <v>355</v>
      </c>
    </row>
    <row r="16" spans="1:2" ht="194.25">
      <c r="A16" s="220" t="s">
        <v>330</v>
      </c>
      <c r="B16" s="151" t="s">
        <v>356</v>
      </c>
    </row>
    <row r="17" spans="1:2" ht="25.5" customHeight="1">
      <c r="A17" s="824" t="s">
        <v>401</v>
      </c>
      <c r="B17" s="825"/>
    </row>
    <row r="18" spans="1:2" ht="15">
      <c r="A18" s="218" t="s">
        <v>324</v>
      </c>
      <c r="B18" s="147" t="s">
        <v>325</v>
      </c>
    </row>
    <row r="19" spans="1:2" ht="15">
      <c r="A19" s="219" t="s">
        <v>71</v>
      </c>
      <c r="B19" s="155" t="s">
        <v>357</v>
      </c>
    </row>
    <row r="20" spans="1:2" ht="105">
      <c r="A20" s="219" t="s">
        <v>67</v>
      </c>
      <c r="B20" s="154" t="s">
        <v>358</v>
      </c>
    </row>
    <row r="21" spans="1:2" ht="30">
      <c r="A21" s="219" t="s">
        <v>334</v>
      </c>
      <c r="B21" s="149" t="s">
        <v>335</v>
      </c>
    </row>
    <row r="22" spans="1:2" ht="45">
      <c r="A22" s="219" t="s">
        <v>327</v>
      </c>
      <c r="B22" s="149" t="s">
        <v>361</v>
      </c>
    </row>
    <row r="23" spans="1:2" ht="75">
      <c r="A23" s="219" t="s">
        <v>336</v>
      </c>
      <c r="B23" s="149" t="s">
        <v>337</v>
      </c>
    </row>
    <row r="24" spans="1:2" ht="30">
      <c r="A24" s="219" t="s">
        <v>326</v>
      </c>
      <c r="B24" s="152" t="s">
        <v>362</v>
      </c>
    </row>
    <row r="25" spans="1:2" ht="15">
      <c r="A25" s="219" t="s">
        <v>301</v>
      </c>
      <c r="B25" s="152" t="s">
        <v>411</v>
      </c>
    </row>
    <row r="26" spans="1:2" ht="45.75" customHeight="1">
      <c r="A26" s="219" t="s">
        <v>338</v>
      </c>
      <c r="B26" s="153" t="s">
        <v>371</v>
      </c>
    </row>
    <row r="27" spans="1:2" ht="75">
      <c r="A27" s="219" t="s">
        <v>279</v>
      </c>
      <c r="B27" s="153" t="s">
        <v>365</v>
      </c>
    </row>
    <row r="28" spans="1:2" ht="45">
      <c r="A28" s="219" t="s">
        <v>339</v>
      </c>
      <c r="B28" s="153" t="s">
        <v>340</v>
      </c>
    </row>
    <row r="29" spans="1:2" ht="45">
      <c r="A29" s="219" t="s">
        <v>364</v>
      </c>
      <c r="B29" s="153" t="s">
        <v>366</v>
      </c>
    </row>
    <row r="30" spans="1:2" ht="45">
      <c r="A30" s="219" t="s">
        <v>116</v>
      </c>
      <c r="B30" s="153" t="s">
        <v>367</v>
      </c>
    </row>
    <row r="31" spans="1:2" ht="144" customHeight="1">
      <c r="A31" s="219" t="s">
        <v>341</v>
      </c>
      <c r="B31" s="153" t="s">
        <v>368</v>
      </c>
    </row>
    <row r="32" spans="1:2" ht="30">
      <c r="A32" s="219" t="s">
        <v>342</v>
      </c>
      <c r="B32" s="153" t="s">
        <v>345</v>
      </c>
    </row>
    <row r="33" spans="1:2" ht="30">
      <c r="A33" s="219" t="s">
        <v>343</v>
      </c>
      <c r="B33" s="153" t="s">
        <v>344</v>
      </c>
    </row>
    <row r="34" spans="1:2" ht="30">
      <c r="A34" s="219" t="s">
        <v>322</v>
      </c>
      <c r="B34" s="153" t="s">
        <v>369</v>
      </c>
    </row>
    <row r="35" spans="1:2" ht="30">
      <c r="A35" s="219" t="s">
        <v>349</v>
      </c>
      <c r="B35" s="153" t="s">
        <v>346</v>
      </c>
    </row>
    <row r="36" spans="1:2" ht="75">
      <c r="A36" s="219" t="s">
        <v>412</v>
      </c>
      <c r="B36" s="153" t="s">
        <v>414</v>
      </c>
    </row>
    <row r="37" spans="1:2" ht="15">
      <c r="A37" s="219" t="s">
        <v>409</v>
      </c>
      <c r="B37" s="153" t="s">
        <v>416</v>
      </c>
    </row>
    <row r="38" spans="1:2" ht="30">
      <c r="A38" s="219" t="s">
        <v>415</v>
      </c>
      <c r="B38" s="153" t="s">
        <v>417</v>
      </c>
    </row>
    <row r="39" spans="1:2" ht="45">
      <c r="A39" s="219" t="s">
        <v>328</v>
      </c>
      <c r="B39" s="153" t="s">
        <v>347</v>
      </c>
    </row>
    <row r="40" spans="1:2" ht="28.5">
      <c r="A40" s="220" t="s">
        <v>299</v>
      </c>
      <c r="B40" s="153" t="s">
        <v>348</v>
      </c>
    </row>
    <row r="41" spans="1:2" ht="25.5" customHeight="1">
      <c r="A41" s="824" t="s">
        <v>350</v>
      </c>
      <c r="B41" s="825"/>
    </row>
    <row r="42" spans="1:2" ht="15">
      <c r="A42" s="822" t="s">
        <v>351</v>
      </c>
      <c r="B42" s="823"/>
    </row>
    <row r="43" spans="1:2" ht="72" customHeight="1">
      <c r="A43" s="820" t="s">
        <v>397</v>
      </c>
      <c r="B43" s="821"/>
    </row>
    <row r="44" spans="1:2" ht="30">
      <c r="A44" s="219" t="s">
        <v>364</v>
      </c>
      <c r="B44" s="153" t="s">
        <v>419</v>
      </c>
    </row>
    <row r="45" spans="1:2" ht="45">
      <c r="A45" s="220" t="s">
        <v>421</v>
      </c>
      <c r="B45" s="153" t="s">
        <v>420</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6.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31" customFormat="1" ht="15">
      <c r="A1" s="130" t="s">
        <v>114</v>
      </c>
      <c r="B1" s="130" t="s">
        <v>196</v>
      </c>
      <c r="C1" s="130" t="s">
        <v>115</v>
      </c>
      <c r="D1" s="130" t="s">
        <v>265</v>
      </c>
      <c r="E1" s="130" t="s">
        <v>116</v>
      </c>
      <c r="F1" s="130" t="s">
        <v>86</v>
      </c>
      <c r="G1" s="130" t="s">
        <v>291</v>
      </c>
      <c r="H1" s="130" t="s">
        <v>289</v>
      </c>
      <c r="I1" s="130" t="s">
        <v>301</v>
      </c>
    </row>
    <row r="2" spans="1:9" s="131" customFormat="1" ht="15">
      <c r="A2" s="132" t="s">
        <v>117</v>
      </c>
      <c r="B2" s="122" t="s">
        <v>197</v>
      </c>
      <c r="C2" s="132" t="s">
        <v>118</v>
      </c>
      <c r="D2" s="133" t="s">
        <v>267</v>
      </c>
      <c r="E2" s="124" t="s">
        <v>120</v>
      </c>
      <c r="F2" s="134" t="s">
        <v>280</v>
      </c>
      <c r="G2" s="135" t="s">
        <v>384</v>
      </c>
      <c r="H2" s="135" t="s">
        <v>303</v>
      </c>
      <c r="I2" s="136" t="s">
        <v>306</v>
      </c>
    </row>
    <row r="3" spans="1:9" ht="15">
      <c r="A3" s="132" t="s">
        <v>121</v>
      </c>
      <c r="B3" s="122" t="s">
        <v>198</v>
      </c>
      <c r="C3" s="132" t="s">
        <v>122</v>
      </c>
      <c r="D3" s="137" t="s">
        <v>119</v>
      </c>
      <c r="E3" s="124" t="s">
        <v>124</v>
      </c>
      <c r="F3" s="134" t="s">
        <v>281</v>
      </c>
      <c r="G3" s="135" t="s">
        <v>385</v>
      </c>
      <c r="H3" s="135" t="s">
        <v>304</v>
      </c>
      <c r="I3" s="136" t="s">
        <v>307</v>
      </c>
    </row>
    <row r="4" spans="1:9" ht="15">
      <c r="A4" s="132" t="s">
        <v>125</v>
      </c>
      <c r="B4" s="122" t="s">
        <v>199</v>
      </c>
      <c r="C4" s="132" t="s">
        <v>126</v>
      </c>
      <c r="D4" s="137" t="s">
        <v>123</v>
      </c>
      <c r="E4" s="124" t="s">
        <v>128</v>
      </c>
      <c r="F4" s="134" t="s">
        <v>282</v>
      </c>
      <c r="G4" s="135" t="s">
        <v>386</v>
      </c>
      <c r="H4" s="135" t="s">
        <v>393</v>
      </c>
      <c r="I4" s="136" t="s">
        <v>308</v>
      </c>
    </row>
    <row r="5" spans="1:9" ht="15">
      <c r="A5" s="132" t="s">
        <v>129</v>
      </c>
      <c r="B5" s="122" t="s">
        <v>200</v>
      </c>
      <c r="C5" s="132" t="s">
        <v>130</v>
      </c>
      <c r="D5" s="137" t="s">
        <v>127</v>
      </c>
      <c r="E5" s="124" t="s">
        <v>132</v>
      </c>
      <c r="F5" s="134" t="s">
        <v>283</v>
      </c>
      <c r="G5" s="135" t="s">
        <v>383</v>
      </c>
      <c r="H5" s="135" t="s">
        <v>394</v>
      </c>
      <c r="I5" s="136" t="s">
        <v>309</v>
      </c>
    </row>
    <row r="6" spans="1:9" ht="30">
      <c r="A6" s="132" t="s">
        <v>133</v>
      </c>
      <c r="B6" s="122" t="s">
        <v>201</v>
      </c>
      <c r="C6" s="132" t="s">
        <v>134</v>
      </c>
      <c r="D6" s="137" t="s">
        <v>131</v>
      </c>
      <c r="E6" s="124" t="s">
        <v>136</v>
      </c>
      <c r="G6" s="135" t="s">
        <v>302</v>
      </c>
      <c r="H6" s="135" t="s">
        <v>395</v>
      </c>
      <c r="I6" s="136" t="s">
        <v>310</v>
      </c>
    </row>
    <row r="7" spans="2:9" ht="30">
      <c r="B7" s="122" t="s">
        <v>202</v>
      </c>
      <c r="C7" s="132" t="s">
        <v>137</v>
      </c>
      <c r="D7" s="137" t="s">
        <v>135</v>
      </c>
      <c r="E7" s="134" t="s">
        <v>139</v>
      </c>
      <c r="G7" s="124" t="s">
        <v>392</v>
      </c>
      <c r="H7" s="135" t="s">
        <v>305</v>
      </c>
      <c r="I7" s="136" t="s">
        <v>311</v>
      </c>
    </row>
    <row r="8" spans="1:9" ht="30">
      <c r="A8" s="138"/>
      <c r="B8" s="122" t="s">
        <v>203</v>
      </c>
      <c r="C8" s="132" t="s">
        <v>140</v>
      </c>
      <c r="D8" s="137" t="s">
        <v>138</v>
      </c>
      <c r="E8" s="134" t="s">
        <v>142</v>
      </c>
      <c r="I8" s="134" t="s">
        <v>312</v>
      </c>
    </row>
    <row r="9" spans="1:9" ht="31.5" customHeight="1">
      <c r="A9" s="138"/>
      <c r="B9" s="122" t="s">
        <v>204</v>
      </c>
      <c r="C9" s="132" t="s">
        <v>143</v>
      </c>
      <c r="D9" s="137" t="s">
        <v>141</v>
      </c>
      <c r="E9" s="134" t="s">
        <v>145</v>
      </c>
      <c r="I9" s="134" t="s">
        <v>313</v>
      </c>
    </row>
    <row r="10" spans="1:9" ht="15">
      <c r="A10" s="138"/>
      <c r="B10" s="122" t="s">
        <v>205</v>
      </c>
      <c r="C10" s="132" t="s">
        <v>146</v>
      </c>
      <c r="D10" s="137" t="s">
        <v>144</v>
      </c>
      <c r="E10" s="134" t="s">
        <v>148</v>
      </c>
      <c r="I10" s="134" t="s">
        <v>314</v>
      </c>
    </row>
    <row r="11" spans="1:9" ht="15">
      <c r="A11" s="138"/>
      <c r="B11" s="122" t="s">
        <v>206</v>
      </c>
      <c r="C11" s="132" t="s">
        <v>149</v>
      </c>
      <c r="D11" s="137" t="s">
        <v>147</v>
      </c>
      <c r="E11" s="134" t="s">
        <v>151</v>
      </c>
      <c r="I11" s="134" t="s">
        <v>315</v>
      </c>
    </row>
    <row r="12" spans="1:9" ht="30">
      <c r="A12" s="138"/>
      <c r="B12" s="122" t="s">
        <v>207</v>
      </c>
      <c r="C12" s="132" t="s">
        <v>152</v>
      </c>
      <c r="D12" s="137" t="s">
        <v>150</v>
      </c>
      <c r="E12" s="134" t="s">
        <v>154</v>
      </c>
      <c r="I12" s="134" t="s">
        <v>316</v>
      </c>
    </row>
    <row r="13" spans="1:9" ht="15">
      <c r="A13" s="138"/>
      <c r="B13" s="139" t="s">
        <v>208</v>
      </c>
      <c r="D13" s="137" t="s">
        <v>153</v>
      </c>
      <c r="E13" s="134" t="s">
        <v>156</v>
      </c>
      <c r="I13" s="134" t="s">
        <v>317</v>
      </c>
    </row>
    <row r="14" spans="1:5" ht="15">
      <c r="A14" s="138"/>
      <c r="B14" s="122" t="s">
        <v>209</v>
      </c>
      <c r="C14" s="138"/>
      <c r="D14" s="137" t="s">
        <v>155</v>
      </c>
      <c r="E14" s="134" t="s">
        <v>158</v>
      </c>
    </row>
    <row r="15" spans="1:5" ht="15">
      <c r="A15" s="138"/>
      <c r="B15" s="122" t="s">
        <v>210</v>
      </c>
      <c r="C15" s="138"/>
      <c r="D15" s="137" t="s">
        <v>157</v>
      </c>
      <c r="E15" s="134" t="s">
        <v>276</v>
      </c>
    </row>
    <row r="16" spans="1:5" ht="15">
      <c r="A16" s="138"/>
      <c r="B16" s="122" t="s">
        <v>211</v>
      </c>
      <c r="C16" s="138"/>
      <c r="D16" s="137" t="s">
        <v>159</v>
      </c>
      <c r="E16" s="140"/>
    </row>
    <row r="17" spans="1:5" ht="15">
      <c r="A17" s="138"/>
      <c r="B17" s="122" t="s">
        <v>212</v>
      </c>
      <c r="C17" s="138"/>
      <c r="D17" s="137" t="s">
        <v>160</v>
      </c>
      <c r="E17" s="140"/>
    </row>
    <row r="18" spans="1:5" ht="15">
      <c r="A18" s="138"/>
      <c r="B18" s="122" t="s">
        <v>213</v>
      </c>
      <c r="C18" s="138"/>
      <c r="D18" s="137" t="s">
        <v>161</v>
      </c>
      <c r="E18" s="140"/>
    </row>
    <row r="19" spans="1:5" ht="15">
      <c r="A19" s="138"/>
      <c r="B19" s="122" t="s">
        <v>214</v>
      </c>
      <c r="C19" s="138"/>
      <c r="D19" s="137" t="s">
        <v>162</v>
      </c>
      <c r="E19" s="140"/>
    </row>
    <row r="20" spans="1:5" ht="15">
      <c r="A20" s="138"/>
      <c r="B20" s="122" t="s">
        <v>215</v>
      </c>
      <c r="C20" s="138"/>
      <c r="D20" s="137" t="s">
        <v>163</v>
      </c>
      <c r="E20" s="140"/>
    </row>
    <row r="21" spans="2:5" ht="15">
      <c r="B21" s="122" t="s">
        <v>216</v>
      </c>
      <c r="D21" s="137" t="s">
        <v>164</v>
      </c>
      <c r="E21" s="140"/>
    </row>
    <row r="22" spans="2:5" ht="15">
      <c r="B22" s="122" t="s">
        <v>217</v>
      </c>
      <c r="D22" s="137" t="s">
        <v>165</v>
      </c>
      <c r="E22" s="140"/>
    </row>
    <row r="23" spans="2:5" ht="15">
      <c r="B23" s="122" t="s">
        <v>218</v>
      </c>
      <c r="D23" s="137" t="s">
        <v>166</v>
      </c>
      <c r="E23" s="140"/>
    </row>
    <row r="24" spans="4:5" ht="15">
      <c r="D24" s="141" t="s">
        <v>266</v>
      </c>
      <c r="E24" s="141" t="s">
        <v>257</v>
      </c>
    </row>
    <row r="25" spans="4:5" ht="15">
      <c r="D25" s="142" t="s">
        <v>219</v>
      </c>
      <c r="E25" s="134" t="s">
        <v>220</v>
      </c>
    </row>
    <row r="26" spans="4:5" ht="15">
      <c r="D26" s="142" t="s">
        <v>221</v>
      </c>
      <c r="E26" s="134" t="s">
        <v>264</v>
      </c>
    </row>
    <row r="27" spans="4:5" ht="15">
      <c r="D27" s="829" t="s">
        <v>222</v>
      </c>
      <c r="E27" s="134" t="s">
        <v>223</v>
      </c>
    </row>
    <row r="28" spans="4:5" ht="15">
      <c r="D28" s="830"/>
      <c r="E28" s="134" t="s">
        <v>224</v>
      </c>
    </row>
    <row r="29" spans="4:5" ht="15">
      <c r="D29" s="830"/>
      <c r="E29" s="134" t="s">
        <v>225</v>
      </c>
    </row>
    <row r="30" spans="4:5" ht="15">
      <c r="D30" s="831"/>
      <c r="E30" s="134" t="s">
        <v>226</v>
      </c>
    </row>
    <row r="31" spans="4:5" ht="15">
      <c r="D31" s="142" t="s">
        <v>227</v>
      </c>
      <c r="E31" s="134" t="s">
        <v>228</v>
      </c>
    </row>
    <row r="32" spans="4:5" ht="15">
      <c r="D32" s="142" t="s">
        <v>229</v>
      </c>
      <c r="E32" s="134" t="s">
        <v>230</v>
      </c>
    </row>
    <row r="33" spans="4:5" ht="15">
      <c r="D33" s="142" t="s">
        <v>231</v>
      </c>
      <c r="E33" s="134" t="s">
        <v>232</v>
      </c>
    </row>
    <row r="34" spans="4:5" ht="15">
      <c r="D34" s="142" t="s">
        <v>258</v>
      </c>
      <c r="E34" s="134" t="s">
        <v>233</v>
      </c>
    </row>
    <row r="35" spans="4:5" ht="15">
      <c r="D35" s="142" t="s">
        <v>234</v>
      </c>
      <c r="E35" s="134" t="s">
        <v>235</v>
      </c>
    </row>
    <row r="36" spans="4:5" ht="15">
      <c r="D36" s="142" t="s">
        <v>236</v>
      </c>
      <c r="E36" s="134" t="s">
        <v>237</v>
      </c>
    </row>
    <row r="37" spans="4:5" ht="15">
      <c r="D37" s="142" t="s">
        <v>238</v>
      </c>
      <c r="E37" s="134" t="s">
        <v>239</v>
      </c>
    </row>
    <row r="38" spans="4:5" ht="15">
      <c r="D38" s="142" t="s">
        <v>240</v>
      </c>
      <c r="E38" s="134" t="s">
        <v>241</v>
      </c>
    </row>
    <row r="39" spans="4:5" ht="15">
      <c r="D39" s="143" t="s">
        <v>259</v>
      </c>
      <c r="E39" s="134" t="s">
        <v>242</v>
      </c>
    </row>
    <row r="40" spans="4:5" ht="15">
      <c r="D40" s="143" t="s">
        <v>243</v>
      </c>
      <c r="E40" s="134" t="s">
        <v>263</v>
      </c>
    </row>
    <row r="41" spans="4:5" ht="15">
      <c r="D41" s="142" t="s">
        <v>260</v>
      </c>
      <c r="E41" s="134" t="s">
        <v>244</v>
      </c>
    </row>
    <row r="42" spans="4:5" ht="15">
      <c r="D42" s="142" t="s">
        <v>245</v>
      </c>
      <c r="E42" s="134" t="s">
        <v>246</v>
      </c>
    </row>
    <row r="43" spans="4:5" ht="15">
      <c r="D43" s="143" t="s">
        <v>253</v>
      </c>
      <c r="E43" s="134" t="s">
        <v>262</v>
      </c>
    </row>
    <row r="44" spans="4:5" ht="15">
      <c r="D44" s="144" t="s">
        <v>254</v>
      </c>
      <c r="E44" s="134" t="s">
        <v>261</v>
      </c>
    </row>
    <row r="45" spans="4:5" ht="15">
      <c r="D45" s="137" t="s">
        <v>247</v>
      </c>
      <c r="E45" s="134" t="s">
        <v>248</v>
      </c>
    </row>
    <row r="46" spans="4:5" ht="15">
      <c r="D46" s="137" t="s">
        <v>249</v>
      </c>
      <c r="E46" s="134" t="s">
        <v>250</v>
      </c>
    </row>
    <row r="47" spans="4:5" ht="15">
      <c r="D47" s="137" t="s">
        <v>251</v>
      </c>
      <c r="E47" s="134" t="s">
        <v>252</v>
      </c>
    </row>
    <row r="48" spans="4:5" ht="15">
      <c r="D48" s="137" t="s">
        <v>255</v>
      </c>
      <c r="E48" s="134" t="s">
        <v>256</v>
      </c>
    </row>
    <row r="49" ht="15">
      <c r="D49" s="141" t="s">
        <v>268</v>
      </c>
    </row>
    <row r="50" ht="15">
      <c r="D50" s="137" t="s">
        <v>274</v>
      </c>
    </row>
    <row r="51" ht="15">
      <c r="D51" s="137" t="s">
        <v>275</v>
      </c>
    </row>
    <row r="52" ht="15">
      <c r="D52" s="141" t="s">
        <v>269</v>
      </c>
    </row>
    <row r="53" ht="15">
      <c r="D53" s="144" t="s">
        <v>270</v>
      </c>
    </row>
    <row r="54" ht="15">
      <c r="D54" s="144" t="s">
        <v>271</v>
      </c>
    </row>
    <row r="55" ht="15">
      <c r="D55" s="144" t="s">
        <v>272</v>
      </c>
    </row>
    <row r="56" ht="15">
      <c r="D56" s="144"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7.xml><?xml version="1.0" encoding="utf-8"?>
<worksheet xmlns="http://schemas.openxmlformats.org/spreadsheetml/2006/main" xmlns:r="http://schemas.openxmlformats.org/officeDocument/2006/relationships">
  <sheetPr>
    <tabColor rgb="FF7030A0"/>
  </sheetPr>
  <dimension ref="A2:AE28"/>
  <sheetViews>
    <sheetView zoomScalePageLayoutView="0" workbookViewId="0" topLeftCell="L9">
      <selection activeCell="AF21" sqref="AF21"/>
    </sheetView>
  </sheetViews>
  <sheetFormatPr defaultColWidth="11.421875" defaultRowHeight="15"/>
  <cols>
    <col min="2" max="2" width="25.28125" style="0" customWidth="1"/>
    <col min="3" max="3" width="29.28125" style="387" bestFit="1" customWidth="1"/>
    <col min="4" max="5" width="19.140625" style="0" customWidth="1"/>
    <col min="6" max="7" width="15.421875" style="0" customWidth="1"/>
    <col min="8" max="10" width="17.421875" style="0" customWidth="1"/>
    <col min="11" max="11" width="15.421875" style="0" customWidth="1"/>
    <col min="12" max="13" width="15.57421875" style="0" customWidth="1"/>
    <col min="14" max="14" width="15.28125" style="0" customWidth="1"/>
    <col min="15" max="15" width="13.00390625" style="0" customWidth="1"/>
    <col min="16" max="16" width="15.28125" style="0" customWidth="1"/>
    <col min="17" max="17" width="13.00390625" style="0" customWidth="1"/>
    <col min="18" max="18" width="15.8515625" style="0" customWidth="1"/>
    <col min="19" max="19" width="16.140625" style="0" customWidth="1"/>
    <col min="20" max="27" width="11.421875" style="0" customWidth="1"/>
    <col min="28" max="28" width="15.57421875" style="0" bestFit="1" customWidth="1"/>
    <col min="29" max="29" width="16.7109375" style="0" bestFit="1" customWidth="1"/>
    <col min="30" max="30" width="16.28125" style="0" customWidth="1"/>
    <col min="31" max="31" width="13.00390625" style="0" bestFit="1" customWidth="1"/>
    <col min="33" max="33" width="14.00390625" style="0" bestFit="1" customWidth="1"/>
  </cols>
  <sheetData>
    <row r="2" spans="2:3" ht="15">
      <c r="B2" t="s">
        <v>750</v>
      </c>
      <c r="C2" s="388">
        <v>44927</v>
      </c>
    </row>
    <row r="4" spans="2:3" ht="15">
      <c r="B4" t="s">
        <v>751</v>
      </c>
      <c r="C4" s="387" t="s">
        <v>752</v>
      </c>
    </row>
    <row r="5" spans="2:6" ht="15">
      <c r="B5" t="s">
        <v>753</v>
      </c>
      <c r="C5" s="387">
        <v>78887973</v>
      </c>
      <c r="D5" s="389">
        <f>+C5/$C$9</f>
        <v>0.2651661426887374</v>
      </c>
      <c r="F5" s="387">
        <v>78887973</v>
      </c>
    </row>
    <row r="6" spans="2:6" ht="15">
      <c r="B6" t="s">
        <v>754</v>
      </c>
      <c r="C6" s="387">
        <v>148248728</v>
      </c>
      <c r="D6" s="389">
        <f>+C6/$C$9</f>
        <v>0.49830844762954957</v>
      </c>
      <c r="F6" s="387">
        <v>135888728</v>
      </c>
    </row>
    <row r="7" spans="2:6" ht="15">
      <c r="B7" t="s">
        <v>755</v>
      </c>
      <c r="C7" s="387">
        <v>49583934</v>
      </c>
      <c r="D7" s="389">
        <f>+C7/$C$9</f>
        <v>0.16666647675321736</v>
      </c>
      <c r="F7" s="387">
        <v>11205600</v>
      </c>
    </row>
    <row r="8" spans="2:6" ht="15">
      <c r="B8" t="s">
        <v>756</v>
      </c>
      <c r="C8" s="387">
        <v>20783308</v>
      </c>
      <c r="D8" s="389">
        <f>+C8/$C$9</f>
        <v>0.06985893292849567</v>
      </c>
      <c r="F8" s="387">
        <v>20760985</v>
      </c>
    </row>
    <row r="9" spans="2:3" ht="15">
      <c r="B9" t="s">
        <v>757</v>
      </c>
      <c r="C9" s="387">
        <v>297503943</v>
      </c>
    </row>
    <row r="11" spans="4:30" s="387" customFormat="1" ht="15">
      <c r="D11" s="833" t="s">
        <v>819</v>
      </c>
      <c r="E11" s="833"/>
      <c r="F11" s="833" t="s">
        <v>820</v>
      </c>
      <c r="G11" s="833"/>
      <c r="H11" s="833" t="s">
        <v>821</v>
      </c>
      <c r="I11" s="833"/>
      <c r="J11" s="833" t="s">
        <v>822</v>
      </c>
      <c r="K11" s="833"/>
      <c r="L11" s="833" t="s">
        <v>823</v>
      </c>
      <c r="M11" s="833"/>
      <c r="N11" s="833" t="s">
        <v>824</v>
      </c>
      <c r="O11" s="833"/>
      <c r="P11" s="833" t="s">
        <v>825</v>
      </c>
      <c r="Q11" s="833"/>
      <c r="R11" s="833" t="s">
        <v>826</v>
      </c>
      <c r="S11" s="833"/>
      <c r="T11" s="833" t="s">
        <v>827</v>
      </c>
      <c r="U11" s="833"/>
      <c r="V11" s="833" t="s">
        <v>828</v>
      </c>
      <c r="W11" s="833"/>
      <c r="X11" s="833" t="s">
        <v>829</v>
      </c>
      <c r="Y11" s="833"/>
      <c r="Z11" s="833" t="s">
        <v>830</v>
      </c>
      <c r="AA11" s="833"/>
      <c r="AB11" s="834" t="s">
        <v>63</v>
      </c>
      <c r="AC11" s="835"/>
      <c r="AD11" s="836"/>
    </row>
    <row r="12" spans="2:30" s="387" customFormat="1" ht="15">
      <c r="B12" s="420"/>
      <c r="C12" s="421" t="s">
        <v>831</v>
      </c>
      <c r="D12" s="421" t="s">
        <v>832</v>
      </c>
      <c r="E12" s="422" t="s">
        <v>381</v>
      </c>
      <c r="F12" s="421" t="s">
        <v>832</v>
      </c>
      <c r="G12" s="422" t="s">
        <v>381</v>
      </c>
      <c r="H12" s="421" t="s">
        <v>832</v>
      </c>
      <c r="I12" s="422" t="s">
        <v>381</v>
      </c>
      <c r="J12" s="421" t="s">
        <v>832</v>
      </c>
      <c r="K12" s="422" t="s">
        <v>381</v>
      </c>
      <c r="L12" s="421" t="s">
        <v>832</v>
      </c>
      <c r="M12" s="422" t="s">
        <v>381</v>
      </c>
      <c r="N12" s="421" t="s">
        <v>832</v>
      </c>
      <c r="O12" s="422" t="s">
        <v>381</v>
      </c>
      <c r="P12" s="421" t="s">
        <v>832</v>
      </c>
      <c r="Q12" s="422" t="s">
        <v>381</v>
      </c>
      <c r="R12" s="421" t="s">
        <v>832</v>
      </c>
      <c r="S12" s="422" t="s">
        <v>381</v>
      </c>
      <c r="T12" s="421" t="s">
        <v>832</v>
      </c>
      <c r="U12" s="422" t="s">
        <v>381</v>
      </c>
      <c r="V12" s="421" t="s">
        <v>832</v>
      </c>
      <c r="W12" s="422" t="s">
        <v>381</v>
      </c>
      <c r="X12" s="421" t="s">
        <v>832</v>
      </c>
      <c r="Y12" s="422" t="s">
        <v>381</v>
      </c>
      <c r="Z12" s="421" t="s">
        <v>832</v>
      </c>
      <c r="AA12" s="422" t="s">
        <v>381</v>
      </c>
      <c r="AB12" s="422" t="s">
        <v>832</v>
      </c>
      <c r="AC12" s="421" t="s">
        <v>831</v>
      </c>
      <c r="AD12" s="422" t="s">
        <v>381</v>
      </c>
    </row>
    <row r="13" spans="1:31" s="387" customFormat="1" ht="15">
      <c r="A13" s="832" t="s">
        <v>833</v>
      </c>
      <c r="B13" s="420" t="s">
        <v>24</v>
      </c>
      <c r="C13" s="420">
        <f>+C5</f>
        <v>78887973</v>
      </c>
      <c r="D13" s="420">
        <v>0</v>
      </c>
      <c r="E13" s="420">
        <v>10197469</v>
      </c>
      <c r="F13" s="420">
        <v>0</v>
      </c>
      <c r="G13" s="420">
        <v>10197468</v>
      </c>
      <c r="H13" s="420">
        <f>0-D13-F13</f>
        <v>0</v>
      </c>
      <c r="I13" s="420">
        <f>30592405-E13-G13</f>
        <v>10197468</v>
      </c>
      <c r="J13" s="420">
        <f>0-D13-F13-H13</f>
        <v>0</v>
      </c>
      <c r="K13" s="420">
        <f>30592405-E13-G13-I13</f>
        <v>0</v>
      </c>
      <c r="L13" s="420">
        <f>9782202-D13-F13-H13-J13</f>
        <v>9782202</v>
      </c>
      <c r="M13" s="420">
        <f>36486058-E13-G13-I13-K13</f>
        <v>5893653</v>
      </c>
      <c r="N13" s="420">
        <f>9782202-D13-F13-H13-J13-L13</f>
        <v>0</v>
      </c>
      <c r="O13" s="420">
        <f>36486058-E13-G13-I13-K13-M13</f>
        <v>0</v>
      </c>
      <c r="P13" s="420">
        <f>9782202-D13-F13-H13-J13-L13-N13</f>
        <v>0</v>
      </c>
      <c r="Q13" s="420">
        <f>40674894-E13-G13-I13-K13-M13-O13</f>
        <v>4188836</v>
      </c>
      <c r="R13" s="420">
        <f>9782203-D13-F13-H13-J13-L13-N13-P13</f>
        <v>1</v>
      </c>
      <c r="S13" s="420">
        <f>40674894-E13-G13-I13-K13-M13-O13-Q13</f>
        <v>0</v>
      </c>
      <c r="T13" s="420"/>
      <c r="U13" s="420"/>
      <c r="V13" s="420"/>
      <c r="W13" s="420"/>
      <c r="X13" s="420"/>
      <c r="Y13" s="420"/>
      <c r="Z13" s="420"/>
      <c r="AA13" s="420"/>
      <c r="AB13" s="420">
        <f>+D13+F13+H13+J13+L13+N13+P13+R13</f>
        <v>9782203</v>
      </c>
      <c r="AC13" s="420">
        <f>+C13-D13-F13-H13-J13-L13-N13-P13-R13</f>
        <v>69105770</v>
      </c>
      <c r="AD13" s="420">
        <f>+E13+G13+I13+K13+M13+O13+Q13+S13</f>
        <v>40674894</v>
      </c>
      <c r="AE13" s="387">
        <v>36486058</v>
      </c>
    </row>
    <row r="14" spans="1:31" s="387" customFormat="1" ht="15">
      <c r="A14" s="832"/>
      <c r="B14" s="420" t="s">
        <v>25</v>
      </c>
      <c r="C14" s="420">
        <f>+C6</f>
        <v>148248728</v>
      </c>
      <c r="D14" s="420">
        <v>12360000</v>
      </c>
      <c r="E14" s="420">
        <v>613145</v>
      </c>
      <c r="F14" s="420">
        <v>0</v>
      </c>
      <c r="G14" s="420">
        <v>450994</v>
      </c>
      <c r="H14" s="420">
        <f>12360000-D14-F14</f>
        <v>0</v>
      </c>
      <c r="I14" s="420">
        <f>1698219-E14-G14</f>
        <v>634080</v>
      </c>
      <c r="J14" s="420">
        <f>12360000-D14-F14-H14</f>
        <v>0</v>
      </c>
      <c r="K14" s="420">
        <f>2213447-E14-G14-I14</f>
        <v>515228</v>
      </c>
      <c r="L14" s="420">
        <f>13013334-D14-F14-H14-J14</f>
        <v>653334</v>
      </c>
      <c r="M14" s="420">
        <f>3831685-E14-G14-I14-K14</f>
        <v>1618238</v>
      </c>
      <c r="N14" s="420">
        <f>36413334-D14-F14-H14-J14-L14</f>
        <v>23400000</v>
      </c>
      <c r="O14" s="420">
        <f>6706689-E14-G14-I14-K14-M14</f>
        <v>2875004</v>
      </c>
      <c r="P14" s="420">
        <f>36449334-D14-F14-H14-J14-L14-N14</f>
        <v>36000</v>
      </c>
      <c r="Q14" s="420">
        <f>7512535-E14-G14-I14-K14-M14-O14</f>
        <v>805846</v>
      </c>
      <c r="R14" s="420">
        <f>36449334-D14-F14-H14-J14-L14-N14-P14</f>
        <v>0</v>
      </c>
      <c r="S14" s="420">
        <f>8144067-E14-G14-I14-K14-M14-O14-Q14</f>
        <v>631532</v>
      </c>
      <c r="T14" s="420"/>
      <c r="U14" s="420"/>
      <c r="V14" s="420"/>
      <c r="W14" s="420"/>
      <c r="X14" s="420"/>
      <c r="Y14" s="420"/>
      <c r="Z14" s="420"/>
      <c r="AA14" s="420"/>
      <c r="AB14" s="420">
        <f>+D14+F14+H14+J14+L14+N14+P14+R14</f>
        <v>36449334</v>
      </c>
      <c r="AC14" s="420">
        <f>+C14-D14-F14-H14-J14-L14-N14-P14-R14</f>
        <v>111799394</v>
      </c>
      <c r="AD14" s="420">
        <f>+E14+G14+I14+K14+M14+O14+Q14+S14</f>
        <v>8144067</v>
      </c>
      <c r="AE14" s="387">
        <v>6706689</v>
      </c>
    </row>
    <row r="15" spans="1:31" s="387" customFormat="1" ht="15">
      <c r="A15" s="832"/>
      <c r="B15" s="420" t="s">
        <v>26</v>
      </c>
      <c r="C15" s="420">
        <f>+C7</f>
        <v>49583934</v>
      </c>
      <c r="D15" s="420">
        <v>25434667</v>
      </c>
      <c r="E15" s="420">
        <v>8240000</v>
      </c>
      <c r="F15" s="420">
        <v>12943667</v>
      </c>
      <c r="G15" s="420">
        <v>0</v>
      </c>
      <c r="H15" s="420">
        <f>38378334-D15-F15</f>
        <v>0</v>
      </c>
      <c r="I15" s="420">
        <f>8240000-E15-G15</f>
        <v>0</v>
      </c>
      <c r="J15" s="420">
        <f>38378334-D15-F15-H15</f>
        <v>0</v>
      </c>
      <c r="K15" s="420">
        <f>8240000-E15-G15-I15</f>
        <v>0</v>
      </c>
      <c r="L15" s="420">
        <f>38378334-D15-F15-H15-J15</f>
        <v>0</v>
      </c>
      <c r="M15" s="420">
        <f>8240000-E15-G15-I15-K15</f>
        <v>0</v>
      </c>
      <c r="N15" s="420">
        <f>38378334-D15-F15-H15-J15-L15</f>
        <v>0</v>
      </c>
      <c r="O15" s="420">
        <f>8240000-E15-G15-I15-K15-M15</f>
        <v>0</v>
      </c>
      <c r="P15" s="420">
        <f>38378334-D15-F15-H15-J15-L15-N15</f>
        <v>0</v>
      </c>
      <c r="Q15" s="420">
        <f>8240000-E15-G15-I15-K15-M15-O15</f>
        <v>0</v>
      </c>
      <c r="R15" s="420">
        <f>38378334-D15-F15-H15-J15-L15-N15-P15</f>
        <v>0</v>
      </c>
      <c r="S15" s="420">
        <f>8240000-E15-G15-I15-K15-M15-O15-Q15</f>
        <v>0</v>
      </c>
      <c r="T15" s="420"/>
      <c r="U15" s="420"/>
      <c r="V15" s="420"/>
      <c r="W15" s="420"/>
      <c r="X15" s="420"/>
      <c r="Y15" s="420"/>
      <c r="Z15" s="420"/>
      <c r="AA15" s="420"/>
      <c r="AB15" s="420">
        <f>+D15+F15+H15+J15+L15+N15+P15+R15</f>
        <v>38378334</v>
      </c>
      <c r="AC15" s="420">
        <f>+C15-D15-F15-H15-J15-L15-N15-P15-R15</f>
        <v>11205600</v>
      </c>
      <c r="AD15" s="420">
        <f>+E15+G15+I15+K15+M15+O15+Q15+S15</f>
        <v>8240000</v>
      </c>
      <c r="AE15" s="387">
        <v>8240000</v>
      </c>
    </row>
    <row r="16" spans="1:31" s="387" customFormat="1" ht="15">
      <c r="A16" s="832"/>
      <c r="B16" s="420" t="s">
        <v>27</v>
      </c>
      <c r="C16" s="420">
        <f>+C8</f>
        <v>20783308</v>
      </c>
      <c r="D16" s="420">
        <v>0</v>
      </c>
      <c r="E16" s="420">
        <v>10423312</v>
      </c>
      <c r="F16" s="420">
        <v>22323</v>
      </c>
      <c r="G16" s="420">
        <v>0</v>
      </c>
      <c r="H16" s="420">
        <f>22323-D16-F16</f>
        <v>0</v>
      </c>
      <c r="I16" s="420">
        <f>10423312-E16-G16</f>
        <v>0</v>
      </c>
      <c r="J16" s="420">
        <f>22323-D16-F16-H16</f>
        <v>0</v>
      </c>
      <c r="K16" s="420">
        <f>10423312-E16-G16-I16</f>
        <v>0</v>
      </c>
      <c r="L16" s="420">
        <f>22323-D16-F16-H16-J16</f>
        <v>0</v>
      </c>
      <c r="M16" s="420">
        <f>16912312-E16-G16-I16-K16</f>
        <v>6489000</v>
      </c>
      <c r="N16" s="420">
        <f>1744323-D16-F16-H16-J16-L16</f>
        <v>1722000</v>
      </c>
      <c r="O16" s="420">
        <f>16912312-E16-G16-I16-K16-M16</f>
        <v>0</v>
      </c>
      <c r="P16" s="420">
        <f>1744323-D16-F16-H16-J16-L16-N16</f>
        <v>0</v>
      </c>
      <c r="Q16" s="420">
        <f>16912312-E16-G16-I16-K16-M16-O16</f>
        <v>0</v>
      </c>
      <c r="R16" s="420">
        <f>1744323-D16-F16-H16-J16-L16-N16-P16</f>
        <v>0</v>
      </c>
      <c r="S16" s="420">
        <f>16912312-E16-G16-I16-K16-M16-O16-Q16</f>
        <v>0</v>
      </c>
      <c r="T16" s="420"/>
      <c r="U16" s="420"/>
      <c r="V16" s="420"/>
      <c r="W16" s="420"/>
      <c r="X16" s="420"/>
      <c r="Y16" s="420"/>
      <c r="Z16" s="420"/>
      <c r="AA16" s="420"/>
      <c r="AB16" s="420">
        <f>+D16+F16+H16+J16+L16+N16+P16+R16</f>
        <v>1744323</v>
      </c>
      <c r="AC16" s="420">
        <f>+C16-D16-F16-H16-J16-L16-N16-P16-R16</f>
        <v>19038985</v>
      </c>
      <c r="AD16" s="420">
        <f>+E16+G16+I16+K16+M16+O16+Q16+S16</f>
        <v>16912312</v>
      </c>
      <c r="AE16" s="387">
        <v>16912312</v>
      </c>
    </row>
    <row r="17" spans="1:30" s="387" customFormat="1" ht="15">
      <c r="A17" s="832"/>
      <c r="B17" s="421" t="s">
        <v>8</v>
      </c>
      <c r="C17" s="421">
        <f aca="true" t="shared" si="0" ref="C17:S17">SUM(C13:C16)</f>
        <v>297503943</v>
      </c>
      <c r="D17" s="421">
        <f t="shared" si="0"/>
        <v>37794667</v>
      </c>
      <c r="E17" s="421">
        <f t="shared" si="0"/>
        <v>29473926</v>
      </c>
      <c r="F17" s="421">
        <f t="shared" si="0"/>
        <v>12965990</v>
      </c>
      <c r="G17" s="421">
        <f t="shared" si="0"/>
        <v>10648462</v>
      </c>
      <c r="H17" s="421">
        <f t="shared" si="0"/>
        <v>0</v>
      </c>
      <c r="I17" s="421">
        <f t="shared" si="0"/>
        <v>10831548</v>
      </c>
      <c r="J17" s="421">
        <f t="shared" si="0"/>
        <v>0</v>
      </c>
      <c r="K17" s="421">
        <f t="shared" si="0"/>
        <v>515228</v>
      </c>
      <c r="L17" s="421">
        <f t="shared" si="0"/>
        <v>10435536</v>
      </c>
      <c r="M17" s="421">
        <f t="shared" si="0"/>
        <v>14000891</v>
      </c>
      <c r="N17" s="421">
        <f t="shared" si="0"/>
        <v>25122000</v>
      </c>
      <c r="O17" s="421">
        <f t="shared" si="0"/>
        <v>2875004</v>
      </c>
      <c r="P17" s="421">
        <f t="shared" si="0"/>
        <v>36000</v>
      </c>
      <c r="Q17" s="421">
        <f t="shared" si="0"/>
        <v>4994682</v>
      </c>
      <c r="R17" s="421">
        <f t="shared" si="0"/>
        <v>1</v>
      </c>
      <c r="S17" s="421">
        <f t="shared" si="0"/>
        <v>631532</v>
      </c>
      <c r="T17" s="420"/>
      <c r="U17" s="421"/>
      <c r="V17" s="420"/>
      <c r="W17" s="421"/>
      <c r="X17" s="420"/>
      <c r="Y17" s="421"/>
      <c r="Z17" s="420"/>
      <c r="AA17" s="421"/>
      <c r="AB17" s="421">
        <f>SUM(AB13:AB16)</f>
        <v>86354194</v>
      </c>
      <c r="AC17" s="421">
        <f>SUM(AC13:AC16)</f>
        <v>211149749</v>
      </c>
      <c r="AD17" s="421">
        <f>SUM(AD13:AD16)</f>
        <v>73971273</v>
      </c>
    </row>
    <row r="18" spans="3:31" ht="15">
      <c r="C18" s="427">
        <v>297503943</v>
      </c>
      <c r="AB18" s="455">
        <v>86354194</v>
      </c>
      <c r="AC18" s="456">
        <v>211149749</v>
      </c>
      <c r="AD18" s="428">
        <v>73971273</v>
      </c>
      <c r="AE18" s="441">
        <f>+AD18/AC18</f>
        <v>0.3503261232860855</v>
      </c>
    </row>
    <row r="19" spans="28:30" ht="15">
      <c r="AB19" s="435">
        <f>+AB17-AB18</f>
        <v>0</v>
      </c>
      <c r="AC19" s="435">
        <f>+AC17-AC18</f>
        <v>0</v>
      </c>
      <c r="AD19" s="435">
        <f>+AD17-AD18</f>
        <v>0</v>
      </c>
    </row>
    <row r="20" spans="2:3" ht="15">
      <c r="B20" t="s">
        <v>24</v>
      </c>
      <c r="C20" s="387">
        <f>+'Meta 1'!O24</f>
        <v>69105770</v>
      </c>
    </row>
    <row r="21" spans="2:29" ht="15">
      <c r="B21" t="s">
        <v>25</v>
      </c>
      <c r="C21" s="387">
        <f>+'Metas 2'!O24</f>
        <v>111799394</v>
      </c>
      <c r="AC21" s="442">
        <v>69105771</v>
      </c>
    </row>
    <row r="22" spans="2:29" ht="15">
      <c r="B22" t="s">
        <v>26</v>
      </c>
      <c r="C22" s="387">
        <f>+'Meta 3'!O24</f>
        <v>11205600</v>
      </c>
      <c r="AC22" s="442">
        <v>111835394</v>
      </c>
    </row>
    <row r="23" spans="2:29" ht="15">
      <c r="B23" t="s">
        <v>27</v>
      </c>
      <c r="C23" s="387">
        <f>+'Meta 4'!O24</f>
        <v>19038985</v>
      </c>
      <c r="AC23" s="442">
        <v>11205600</v>
      </c>
    </row>
    <row r="24" spans="2:29" ht="15">
      <c r="B24" t="s">
        <v>8</v>
      </c>
      <c r="AC24" s="442">
        <v>19038985</v>
      </c>
    </row>
    <row r="25" ht="15">
      <c r="C25" s="387">
        <f>+C13-C20</f>
        <v>9782203</v>
      </c>
    </row>
    <row r="26" ht="15">
      <c r="C26" s="442">
        <f>+C14-C21</f>
        <v>36449334</v>
      </c>
    </row>
    <row r="27" ht="15">
      <c r="C27" s="442">
        <f>+C15-C22</f>
        <v>38378334</v>
      </c>
    </row>
    <row r="28" ht="15">
      <c r="C28" s="442">
        <f>+C16-C23</f>
        <v>1744323</v>
      </c>
    </row>
  </sheetData>
  <sheetProtection/>
  <mergeCells count="14">
    <mergeCell ref="Z11:AA11"/>
    <mergeCell ref="D11:E11"/>
    <mergeCell ref="F11:G11"/>
    <mergeCell ref="AB11:AD11"/>
    <mergeCell ref="H11:I11"/>
    <mergeCell ref="J11:K11"/>
    <mergeCell ref="L11:M11"/>
    <mergeCell ref="N11:O11"/>
    <mergeCell ref="A13:A17"/>
    <mergeCell ref="P11:Q11"/>
    <mergeCell ref="R11:S11"/>
    <mergeCell ref="T11:U11"/>
    <mergeCell ref="V11:W11"/>
    <mergeCell ref="X11:Y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3:AG31"/>
  <sheetViews>
    <sheetView zoomScalePageLayoutView="0" workbookViewId="0" topLeftCell="P5">
      <selection activeCell="AF21" sqref="AF21"/>
    </sheetView>
  </sheetViews>
  <sheetFormatPr defaultColWidth="11.421875" defaultRowHeight="15"/>
  <cols>
    <col min="1" max="1" width="14.8515625" style="0" customWidth="1"/>
    <col min="2" max="2" width="25.28125" style="0" customWidth="1"/>
    <col min="3" max="3" width="18.8515625" style="387" customWidth="1"/>
    <col min="4" max="4" width="19.28125" style="0" customWidth="1"/>
    <col min="5" max="5" width="16.28125" style="0" customWidth="1"/>
    <col min="6" max="6" width="16.57421875" style="0" customWidth="1"/>
    <col min="7" max="7" width="14.00390625" style="0" customWidth="1"/>
    <col min="8" max="8" width="16.57421875" style="0" customWidth="1"/>
    <col min="9" max="9" width="16.421875" style="0" customWidth="1"/>
    <col min="10" max="10" width="16.57421875" style="0" customWidth="1"/>
    <col min="11" max="11" width="15.8515625" style="0" customWidth="1"/>
    <col min="12" max="12" width="16.7109375" style="0" customWidth="1"/>
    <col min="13" max="13" width="19.421875" style="0" customWidth="1"/>
    <col min="14" max="14" width="16.7109375" style="0" customWidth="1"/>
    <col min="15" max="15" width="15.57421875" style="0" customWidth="1"/>
    <col min="16" max="16" width="16.7109375" style="0" customWidth="1"/>
    <col min="17" max="17" width="15.57421875" style="0" customWidth="1"/>
    <col min="18" max="19" width="16.57421875" style="0" customWidth="1"/>
    <col min="20" max="27" width="11.421875" style="0" customWidth="1"/>
    <col min="28" max="28" width="18.28125" style="0" bestFit="1" customWidth="1"/>
    <col min="29" max="29" width="16.7109375" style="0" bestFit="1" customWidth="1"/>
    <col min="30" max="30" width="15.28125" style="0" customWidth="1"/>
    <col min="31" max="31" width="15.57421875" style="0" bestFit="1" customWidth="1"/>
    <col min="33" max="33" width="15.57421875" style="0" bestFit="1" customWidth="1"/>
    <col min="34" max="34" width="14.00390625" style="0" bestFit="1" customWidth="1"/>
  </cols>
  <sheetData>
    <row r="3" ht="15">
      <c r="B3" t="s">
        <v>759</v>
      </c>
    </row>
    <row r="5" spans="2:6" ht="15">
      <c r="B5" t="s">
        <v>751</v>
      </c>
      <c r="C5" s="387" t="s">
        <v>758</v>
      </c>
      <c r="E5" t="s">
        <v>835</v>
      </c>
      <c r="F5" t="s">
        <v>836</v>
      </c>
    </row>
    <row r="6" spans="2:6" ht="15">
      <c r="B6" t="s">
        <v>753</v>
      </c>
      <c r="C6" s="387">
        <v>2430523029</v>
      </c>
      <c r="D6" s="389">
        <f>+C6/$C$10</f>
        <v>0.20969674359270574</v>
      </c>
      <c r="E6" s="423">
        <f>+'Meta 1'!AC22</f>
        <v>2430523029</v>
      </c>
      <c r="F6" s="424">
        <f>+C6-E6</f>
        <v>0</v>
      </c>
    </row>
    <row r="7" spans="2:6" ht="15">
      <c r="B7" t="s">
        <v>754</v>
      </c>
      <c r="C7" s="387">
        <v>6698541216</v>
      </c>
      <c r="D7" s="389">
        <f>+C7/$C$10</f>
        <v>0.5779259291341293</v>
      </c>
      <c r="E7" s="423">
        <f>+'Metas 2'!AC22</f>
        <v>6698541216</v>
      </c>
      <c r="F7" s="424">
        <f>+C7-E7</f>
        <v>0</v>
      </c>
    </row>
    <row r="8" spans="2:6" ht="15">
      <c r="B8" t="s">
        <v>755</v>
      </c>
      <c r="C8" s="387">
        <v>1523808689</v>
      </c>
      <c r="D8" s="389">
        <f>+C8/$C$10</f>
        <v>0.1314687069939176</v>
      </c>
      <c r="E8" s="423">
        <f>+'Meta 3'!AC22</f>
        <v>1523808689</v>
      </c>
      <c r="F8" s="424">
        <f>+C8-E8</f>
        <v>0</v>
      </c>
    </row>
    <row r="9" spans="2:6" ht="15">
      <c r="B9" t="s">
        <v>756</v>
      </c>
      <c r="C9" s="387">
        <v>937784066</v>
      </c>
      <c r="D9" s="389">
        <f>+C9/$C$10</f>
        <v>0.08090862027924733</v>
      </c>
      <c r="E9" s="423">
        <f>+'Meta 4'!AC22</f>
        <v>937784066</v>
      </c>
      <c r="F9" s="424">
        <f>+C9-E9</f>
        <v>0</v>
      </c>
    </row>
    <row r="10" spans="2:5" ht="15">
      <c r="B10" t="s">
        <v>757</v>
      </c>
      <c r="C10" s="387">
        <v>11590657000</v>
      </c>
      <c r="E10" s="424">
        <f>SUM(E6:E9)</f>
        <v>11590657000</v>
      </c>
    </row>
    <row r="13" spans="4:29" s="387" customFormat="1" ht="15">
      <c r="D13" s="833" t="s">
        <v>819</v>
      </c>
      <c r="E13" s="833"/>
      <c r="F13" s="833" t="s">
        <v>820</v>
      </c>
      <c r="G13" s="833"/>
      <c r="H13" s="833" t="s">
        <v>821</v>
      </c>
      <c r="I13" s="833"/>
      <c r="J13" s="833" t="s">
        <v>822</v>
      </c>
      <c r="K13" s="833"/>
      <c r="L13" s="833" t="s">
        <v>823</v>
      </c>
      <c r="M13" s="833"/>
      <c r="N13" s="833" t="s">
        <v>824</v>
      </c>
      <c r="O13" s="833"/>
      <c r="P13" s="833" t="s">
        <v>825</v>
      </c>
      <c r="Q13" s="833"/>
      <c r="R13" s="833" t="s">
        <v>826</v>
      </c>
      <c r="S13" s="833"/>
      <c r="T13" s="833" t="s">
        <v>827</v>
      </c>
      <c r="U13" s="833"/>
      <c r="V13" s="833" t="s">
        <v>828</v>
      </c>
      <c r="W13" s="833"/>
      <c r="X13" s="833" t="s">
        <v>829</v>
      </c>
      <c r="Y13" s="833"/>
      <c r="Z13" s="833" t="s">
        <v>830</v>
      </c>
      <c r="AA13" s="833"/>
      <c r="AB13" s="833" t="s">
        <v>63</v>
      </c>
      <c r="AC13" s="833"/>
    </row>
    <row r="14" spans="2:29" s="387" customFormat="1" ht="15">
      <c r="B14" s="420"/>
      <c r="C14" s="421" t="s">
        <v>834</v>
      </c>
      <c r="D14" s="421" t="s">
        <v>379</v>
      </c>
      <c r="E14" s="422" t="s">
        <v>381</v>
      </c>
      <c r="F14" s="421" t="s">
        <v>379</v>
      </c>
      <c r="G14" s="422" t="s">
        <v>381</v>
      </c>
      <c r="H14" s="421" t="s">
        <v>379</v>
      </c>
      <c r="I14" s="422" t="s">
        <v>381</v>
      </c>
      <c r="J14" s="421" t="s">
        <v>379</v>
      </c>
      <c r="K14" s="422" t="s">
        <v>381</v>
      </c>
      <c r="L14" s="421" t="s">
        <v>379</v>
      </c>
      <c r="M14" s="422" t="s">
        <v>381</v>
      </c>
      <c r="N14" s="421" t="s">
        <v>379</v>
      </c>
      <c r="O14" s="422" t="s">
        <v>381</v>
      </c>
      <c r="P14" s="421" t="s">
        <v>379</v>
      </c>
      <c r="Q14" s="422" t="s">
        <v>381</v>
      </c>
      <c r="R14" s="421" t="s">
        <v>379</v>
      </c>
      <c r="S14" s="422" t="s">
        <v>381</v>
      </c>
      <c r="T14" s="421" t="s">
        <v>379</v>
      </c>
      <c r="U14" s="422" t="s">
        <v>381</v>
      </c>
      <c r="V14" s="421" t="s">
        <v>379</v>
      </c>
      <c r="W14" s="422" t="s">
        <v>381</v>
      </c>
      <c r="X14" s="421" t="s">
        <v>379</v>
      </c>
      <c r="Y14" s="422" t="s">
        <v>381</v>
      </c>
      <c r="Z14" s="421" t="s">
        <v>379</v>
      </c>
      <c r="AA14" s="422" t="s">
        <v>381</v>
      </c>
      <c r="AB14" s="421" t="s">
        <v>379</v>
      </c>
      <c r="AC14" s="422" t="s">
        <v>381</v>
      </c>
    </row>
    <row r="15" spans="1:33" s="387" customFormat="1" ht="15">
      <c r="A15" s="832" t="s">
        <v>833</v>
      </c>
      <c r="B15" s="420" t="s">
        <v>24</v>
      </c>
      <c r="C15" s="420">
        <f>+C6</f>
        <v>2430523029</v>
      </c>
      <c r="D15" s="420">
        <v>525838496</v>
      </c>
      <c r="E15" s="420">
        <v>0</v>
      </c>
      <c r="F15" s="420">
        <v>142212061</v>
      </c>
      <c r="G15" s="420">
        <v>12534268</v>
      </c>
      <c r="H15" s="420">
        <f>649450759-D15-F15</f>
        <v>-18599798</v>
      </c>
      <c r="I15" s="420">
        <f>59840731-E15-G15</f>
        <v>47306463</v>
      </c>
      <c r="J15" s="420">
        <f>930184092-D15-F15-H15</f>
        <v>280733333</v>
      </c>
      <c r="K15" s="420">
        <f>114813861-E15-G15-I15</f>
        <v>54973130</v>
      </c>
      <c r="L15" s="420">
        <f>1739755706-D15-F15-H15-J15</f>
        <v>809571614</v>
      </c>
      <c r="M15" s="420">
        <f>482499236-E15-G15-I15-K15</f>
        <v>367685375</v>
      </c>
      <c r="N15" s="420">
        <f>2043191375-D15-F15-H15-J15-L15</f>
        <v>303435669</v>
      </c>
      <c r="O15" s="420">
        <f>537472366-E15-G15-I15-K15-M15</f>
        <v>54973130</v>
      </c>
      <c r="P15" s="420">
        <f>2120333880-D15-F15-H15-J15-L15-N15</f>
        <v>77142505</v>
      </c>
      <c r="Q15" s="420">
        <f>1415742392-E15-G15-I15-K15-M15-O15</f>
        <v>878270026</v>
      </c>
      <c r="R15" s="420">
        <f>2107718872-D15-F15-H15-J15-L15-N15-P15</f>
        <v>-12615008</v>
      </c>
      <c r="S15" s="420">
        <f>1539571527-E15-G15-I15-K15-M15-O15-Q15</f>
        <v>123829135</v>
      </c>
      <c r="T15" s="420"/>
      <c r="U15" s="420"/>
      <c r="V15" s="420"/>
      <c r="W15" s="420"/>
      <c r="X15" s="420"/>
      <c r="Y15" s="420"/>
      <c r="Z15" s="420"/>
      <c r="AA15" s="420"/>
      <c r="AB15" s="420">
        <f aca="true" t="shared" si="0" ref="AB15:AC18">+D15+F15+H15+J15+L15+N15+P15+R15</f>
        <v>2107718872</v>
      </c>
      <c r="AC15" s="420">
        <f t="shared" si="0"/>
        <v>1539571527</v>
      </c>
      <c r="AD15" s="387">
        <v>1539571527</v>
      </c>
      <c r="AE15" s="438">
        <f>+AC15/AB15</f>
        <v>0.7304444380379397</v>
      </c>
      <c r="AG15" s="387">
        <v>649450759</v>
      </c>
    </row>
    <row r="16" spans="1:33" s="387" customFormat="1" ht="15">
      <c r="A16" s="832"/>
      <c r="B16" s="420" t="s">
        <v>25</v>
      </c>
      <c r="C16" s="420">
        <f>+C7</f>
        <v>6698541216</v>
      </c>
      <c r="D16" s="420">
        <v>6153982761</v>
      </c>
      <c r="E16" s="420">
        <v>7763070</v>
      </c>
      <c r="F16" s="420">
        <v>187249867</v>
      </c>
      <c r="G16" s="420">
        <v>354001805</v>
      </c>
      <c r="H16" s="420">
        <f>6353623948-D16-F16</f>
        <v>12391320</v>
      </c>
      <c r="I16" s="420">
        <f>887313432-E16-G16</f>
        <v>525548557</v>
      </c>
      <c r="J16" s="420">
        <f>6430070848-D16-F16-H16</f>
        <v>76446900</v>
      </c>
      <c r="K16" s="420">
        <f>1434537815-E16-G16-I16</f>
        <v>547224383</v>
      </c>
      <c r="L16" s="420">
        <f>6410965201-D16-F16-H16-J16</f>
        <v>-19105647</v>
      </c>
      <c r="M16" s="420">
        <f>1992466214-E16-G16-I16-K16</f>
        <v>557928399</v>
      </c>
      <c r="N16" s="420">
        <f>6479279201-D16-F16-H16-J16-L16</f>
        <v>68314000</v>
      </c>
      <c r="O16" s="420">
        <f>2529061280-E16-G16-I16-K16-M16</f>
        <v>536595066</v>
      </c>
      <c r="P16" s="420">
        <f>6473884534-D16-F16-H16-J16-L16-N16</f>
        <v>-5394667</v>
      </c>
      <c r="Q16" s="420">
        <f>3088833679-E16-G16-I16-K16-M16-O16</f>
        <v>559772399</v>
      </c>
      <c r="R16" s="420">
        <f>6525337867-D16-F16-H16-J16-L16-N16-P16</f>
        <v>51453333</v>
      </c>
      <c r="S16" s="420">
        <f>3657738745-E16-G16-I16-K16-M16-O16-Q16</f>
        <v>568905066</v>
      </c>
      <c r="T16" s="420"/>
      <c r="U16" s="420"/>
      <c r="V16" s="420"/>
      <c r="W16" s="420"/>
      <c r="X16" s="420"/>
      <c r="Y16" s="420"/>
      <c r="Z16" s="420"/>
      <c r="AA16" s="420"/>
      <c r="AB16" s="420">
        <f t="shared" si="0"/>
        <v>6525337867</v>
      </c>
      <c r="AC16" s="420">
        <f t="shared" si="0"/>
        <v>3657738745</v>
      </c>
      <c r="AD16" s="387">
        <v>3657738745</v>
      </c>
      <c r="AE16" s="438">
        <f>+AC16/AB16</f>
        <v>0.5605439625583145</v>
      </c>
      <c r="AG16" s="423">
        <v>6353623948</v>
      </c>
    </row>
    <row r="17" spans="1:33" s="387" customFormat="1" ht="15">
      <c r="A17" s="832"/>
      <c r="B17" s="420" t="s">
        <v>26</v>
      </c>
      <c r="C17" s="420">
        <f>+C8</f>
        <v>1523808689</v>
      </c>
      <c r="D17" s="420">
        <v>1112475156</v>
      </c>
      <c r="E17" s="420">
        <v>0</v>
      </c>
      <c r="F17" s="420">
        <v>308525999</v>
      </c>
      <c r="G17" s="420">
        <v>45917998</v>
      </c>
      <c r="H17" s="420">
        <f>1500080199-D17-F17</f>
        <v>79079044</v>
      </c>
      <c r="I17" s="420">
        <f>155918395-E17-G17</f>
        <v>110000397</v>
      </c>
      <c r="J17" s="420">
        <f>1465602433-D17-F17-H17</f>
        <v>-34477766</v>
      </c>
      <c r="K17" s="420">
        <f>280178392-E17-G17-I17</f>
        <v>124259997</v>
      </c>
      <c r="L17" s="420">
        <f>1445311434-D17-F17-H17-J17</f>
        <v>-20290999</v>
      </c>
      <c r="M17" s="420">
        <f>410481056-E17-G17-I17-K17</f>
        <v>130302664</v>
      </c>
      <c r="N17" s="420">
        <f>1472091434-D17-F17-H17-J17-L17</f>
        <v>26780000</v>
      </c>
      <c r="O17" s="420">
        <f>540783720-E17-G17-I17-K17-M17</f>
        <v>130302664</v>
      </c>
      <c r="P17" s="420">
        <f>1472091434-D17-F17-H17-J17-L17-N17</f>
        <v>0</v>
      </c>
      <c r="Q17" s="420">
        <f>677781384-E17-G17-I17-K17-M17-O17</f>
        <v>136997664</v>
      </c>
      <c r="R17" s="420">
        <f>1472091434-D17-F17-H17-J17-L17-N17-P17</f>
        <v>0</v>
      </c>
      <c r="S17" s="420">
        <f>814779048-E17-G17-I17-K17-M17-O17-Q17</f>
        <v>136997664</v>
      </c>
      <c r="T17" s="420"/>
      <c r="U17" s="420"/>
      <c r="V17" s="420"/>
      <c r="W17" s="420"/>
      <c r="X17" s="420"/>
      <c r="Y17" s="420"/>
      <c r="Z17" s="420"/>
      <c r="AA17" s="420"/>
      <c r="AB17" s="420">
        <f t="shared" si="0"/>
        <v>1472091434</v>
      </c>
      <c r="AC17" s="420">
        <f t="shared" si="0"/>
        <v>814779048</v>
      </c>
      <c r="AD17" s="387">
        <v>814779048</v>
      </c>
      <c r="AE17" s="438">
        <f>+AC17/AB17</f>
        <v>0.5534839950709203</v>
      </c>
      <c r="AG17" s="423">
        <v>1500080199</v>
      </c>
    </row>
    <row r="18" spans="1:33" s="387" customFormat="1" ht="15">
      <c r="A18" s="832"/>
      <c r="B18" s="420" t="s">
        <v>27</v>
      </c>
      <c r="C18" s="420">
        <f>+C9</f>
        <v>937784066</v>
      </c>
      <c r="D18" s="420">
        <v>582044581</v>
      </c>
      <c r="E18" s="420">
        <v>0</v>
      </c>
      <c r="F18" s="420">
        <v>67850000</v>
      </c>
      <c r="G18" s="420">
        <v>24978180</v>
      </c>
      <c r="H18" s="420">
        <f>715793783-D18-F18</f>
        <v>65899202</v>
      </c>
      <c r="I18" s="420">
        <f>85150492-E18-G18</f>
        <v>60172312</v>
      </c>
      <c r="J18" s="420">
        <f>711713783-D18-F18-H18</f>
        <v>-4080000</v>
      </c>
      <c r="K18" s="420">
        <f>150902804-E18-G18-I18</f>
        <v>65752312</v>
      </c>
      <c r="L18" s="420">
        <f>696027116-D18-F18-H18-J18</f>
        <v>-15686667</v>
      </c>
      <c r="M18" s="420">
        <f>221535116-E18-G18-I18-K18</f>
        <v>70632312</v>
      </c>
      <c r="N18" s="420">
        <f>769387116-D18-F18-H18-J18-L18</f>
        <v>73360000</v>
      </c>
      <c r="O18" s="420">
        <f>289324116-E18-G18-I18-K18-M18</f>
        <v>67789000</v>
      </c>
      <c r="P18" s="420">
        <f>769387116-D18-F18-H18-J18-L18-N18</f>
        <v>0</v>
      </c>
      <c r="Q18" s="420">
        <f>357113116-E18-G18-I18-K18-M18-O18</f>
        <v>67789000</v>
      </c>
      <c r="R18" s="420">
        <f>769387116-D18-F18-H18-J18-L18-N18-P18</f>
        <v>0</v>
      </c>
      <c r="S18" s="420">
        <f>418413116-E18-G18-I18-K18-M18-O18-Q18</f>
        <v>61300000</v>
      </c>
      <c r="T18" s="420"/>
      <c r="U18" s="420"/>
      <c r="V18" s="420"/>
      <c r="W18" s="420"/>
      <c r="X18" s="420"/>
      <c r="Y18" s="420"/>
      <c r="Z18" s="420"/>
      <c r="AA18" s="420"/>
      <c r="AB18" s="420">
        <f t="shared" si="0"/>
        <v>769387116</v>
      </c>
      <c r="AC18" s="420">
        <f t="shared" si="0"/>
        <v>418413116</v>
      </c>
      <c r="AD18" s="387">
        <v>418413116</v>
      </c>
      <c r="AE18" s="438">
        <f>+AC18/AB18</f>
        <v>0.5438265176252315</v>
      </c>
      <c r="AG18" s="423">
        <v>715793783</v>
      </c>
    </row>
    <row r="19" spans="1:33" s="387" customFormat="1" ht="15">
      <c r="A19" s="832"/>
      <c r="B19" s="420"/>
      <c r="C19" s="421">
        <f>SUM(C15:C18)</f>
        <v>11590657000</v>
      </c>
      <c r="D19" s="421">
        <f>SUM(D15:D18)</f>
        <v>8374340994</v>
      </c>
      <c r="E19" s="421">
        <f>SUM(E15:E18)</f>
        <v>7763070</v>
      </c>
      <c r="F19" s="421">
        <f>SUM(F15:F18)</f>
        <v>705837927</v>
      </c>
      <c r="G19" s="421">
        <f>SUM(G15:G18)</f>
        <v>437432251</v>
      </c>
      <c r="H19" s="421">
        <f aca="true" t="shared" si="1" ref="H19:AA19">SUM(H15:H18)</f>
        <v>138769768</v>
      </c>
      <c r="I19" s="421">
        <f t="shared" si="1"/>
        <v>743027729</v>
      </c>
      <c r="J19" s="421">
        <f>SUM(J15:J18)</f>
        <v>318622467</v>
      </c>
      <c r="K19" s="421">
        <f t="shared" si="1"/>
        <v>792209822</v>
      </c>
      <c r="L19" s="421">
        <f t="shared" si="1"/>
        <v>754488301</v>
      </c>
      <c r="M19" s="421">
        <f t="shared" si="1"/>
        <v>1126548750</v>
      </c>
      <c r="N19" s="421">
        <f t="shared" si="1"/>
        <v>471889669</v>
      </c>
      <c r="O19" s="421">
        <f t="shared" si="1"/>
        <v>789659860</v>
      </c>
      <c r="P19" s="421">
        <f t="shared" si="1"/>
        <v>71747838</v>
      </c>
      <c r="Q19" s="421">
        <f t="shared" si="1"/>
        <v>1642829089</v>
      </c>
      <c r="R19" s="421">
        <f t="shared" si="1"/>
        <v>38838325</v>
      </c>
      <c r="S19" s="421">
        <f t="shared" si="1"/>
        <v>891031865</v>
      </c>
      <c r="T19" s="421">
        <f t="shared" si="1"/>
        <v>0</v>
      </c>
      <c r="U19" s="421">
        <f t="shared" si="1"/>
        <v>0</v>
      </c>
      <c r="V19" s="421">
        <f t="shared" si="1"/>
        <v>0</v>
      </c>
      <c r="W19" s="421">
        <f t="shared" si="1"/>
        <v>0</v>
      </c>
      <c r="X19" s="421">
        <f t="shared" si="1"/>
        <v>0</v>
      </c>
      <c r="Y19" s="421">
        <f t="shared" si="1"/>
        <v>0</v>
      </c>
      <c r="Z19" s="421">
        <f t="shared" si="1"/>
        <v>0</v>
      </c>
      <c r="AA19" s="421">
        <f t="shared" si="1"/>
        <v>0</v>
      </c>
      <c r="AB19" s="421">
        <f>SUM(AB15:AB18)</f>
        <v>10874535289</v>
      </c>
      <c r="AC19" s="421">
        <f>SUM(AC15:AC18)</f>
        <v>6430502436</v>
      </c>
      <c r="AG19" s="423"/>
    </row>
    <row r="20" spans="28:30" ht="15">
      <c r="AB20" s="428">
        <v>10874535289</v>
      </c>
      <c r="AC20" s="428">
        <v>6430502436</v>
      </c>
      <c r="AD20" s="429">
        <f>+AC20/AB20</f>
        <v>0.5913358378177956</v>
      </c>
    </row>
    <row r="21" spans="28:29" ht="15">
      <c r="AB21" s="424">
        <f>+AB19-AB20</f>
        <v>0</v>
      </c>
      <c r="AC21" s="424">
        <f>+AC19-AC20</f>
        <v>0</v>
      </c>
    </row>
    <row r="22" ht="15">
      <c r="AD22" s="439" t="s">
        <v>839</v>
      </c>
    </row>
    <row r="26" spans="3:6" ht="15">
      <c r="C26">
        <v>2020</v>
      </c>
      <c r="D26">
        <v>2021</v>
      </c>
      <c r="E26">
        <v>2022</v>
      </c>
      <c r="F26">
        <v>2023</v>
      </c>
    </row>
    <row r="27" spans="2:28" ht="15">
      <c r="B27" s="430" t="s">
        <v>835</v>
      </c>
      <c r="C27" s="431">
        <v>0.1</v>
      </c>
      <c r="D27" s="431">
        <v>0.35</v>
      </c>
      <c r="E27" s="431">
        <v>0.6</v>
      </c>
      <c r="F27" s="431">
        <v>0.85</v>
      </c>
      <c r="AB27" s="424"/>
    </row>
    <row r="28" spans="3:28" ht="15">
      <c r="C28" s="432">
        <v>0.1</v>
      </c>
      <c r="D28" s="432">
        <v>0.35</v>
      </c>
      <c r="E28" s="432">
        <v>0.6</v>
      </c>
      <c r="F28" s="432">
        <v>0.85</v>
      </c>
      <c r="AB28" s="424"/>
    </row>
    <row r="29" spans="2:28" ht="15">
      <c r="B29" s="433" t="s">
        <v>837</v>
      </c>
      <c r="C29" s="434">
        <f>+C28</f>
        <v>0.1</v>
      </c>
      <c r="D29" s="435">
        <f>+D28-C28</f>
        <v>0.24999999999999997</v>
      </c>
      <c r="E29" s="435">
        <f>+E28-D28</f>
        <v>0.25</v>
      </c>
      <c r="F29" s="435">
        <f>+F28-E28</f>
        <v>0.25</v>
      </c>
      <c r="AB29" s="424"/>
    </row>
    <row r="30" spans="2:28" ht="15">
      <c r="B30" s="430"/>
      <c r="C30" s="430"/>
      <c r="D30" s="430"/>
      <c r="F30" s="436">
        <f>+'Meta 4'!P35</f>
        <v>0.7625</v>
      </c>
      <c r="G30" t="s">
        <v>838</v>
      </c>
      <c r="AB30" s="424"/>
    </row>
    <row r="31" spans="2:7" ht="15">
      <c r="B31" s="430"/>
      <c r="C31" s="430"/>
      <c r="D31" s="430"/>
      <c r="F31" s="437">
        <f>+F30-E27</f>
        <v>0.16249999999999998</v>
      </c>
      <c r="G31" t="s">
        <v>837</v>
      </c>
    </row>
  </sheetData>
  <sheetProtection/>
  <mergeCells count="14">
    <mergeCell ref="H13:I13"/>
    <mergeCell ref="J13:K13"/>
    <mergeCell ref="L13:M13"/>
    <mergeCell ref="N13:O13"/>
    <mergeCell ref="AB13:AC13"/>
    <mergeCell ref="A15:A19"/>
    <mergeCell ref="P13:Q13"/>
    <mergeCell ref="R13:S13"/>
    <mergeCell ref="T13:U13"/>
    <mergeCell ref="V13:W13"/>
    <mergeCell ref="X13:Y13"/>
    <mergeCell ref="Z13:AA13"/>
    <mergeCell ref="D13:E13"/>
    <mergeCell ref="F13:G13"/>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O43"/>
  <sheetViews>
    <sheetView showGridLines="0" tabSelected="1" view="pageBreakPreview" zoomScale="60" zoomScaleNormal="70" workbookViewId="0" topLeftCell="P10">
      <selection activeCell="X26" sqref="X26"/>
    </sheetView>
  </sheetViews>
  <sheetFormatPr defaultColWidth="10.8515625" defaultRowHeight="15"/>
  <cols>
    <col min="1" max="1" width="38.421875" style="246" customWidth="1"/>
    <col min="2" max="2" width="21.00390625" style="246" customWidth="1"/>
    <col min="3" max="14" width="20.7109375" style="246" customWidth="1"/>
    <col min="15" max="15" width="16.140625" style="246" customWidth="1"/>
    <col min="16" max="27" width="18.140625" style="246" customWidth="1"/>
    <col min="28" max="28" width="22.7109375" style="246" customWidth="1"/>
    <col min="29" max="29" width="19.00390625" style="246" customWidth="1"/>
    <col min="30" max="30" width="19.421875" style="246" customWidth="1"/>
    <col min="31" max="31" width="6.28125" style="246" bestFit="1" customWidth="1"/>
    <col min="32" max="32" width="22.8515625" style="246" customWidth="1"/>
    <col min="33" max="33" width="18.421875" style="246" bestFit="1" customWidth="1"/>
    <col min="34" max="34" width="8.421875" style="246" customWidth="1"/>
    <col min="35" max="35" width="18.421875" style="246" bestFit="1" customWidth="1"/>
    <col min="36" max="36" width="5.7109375" style="246" customWidth="1"/>
    <col min="37" max="37" width="18.421875" style="246" bestFit="1" customWidth="1"/>
    <col min="38" max="38" width="4.7109375" style="246" customWidth="1"/>
    <col min="39" max="39" width="23.00390625" style="246" bestFit="1" customWidth="1"/>
    <col min="40" max="40" width="10.8515625" style="246" customWidth="1"/>
    <col min="41" max="41" width="18.421875" style="246" bestFit="1" customWidth="1"/>
    <col min="42" max="42" width="16.140625" style="246" customWidth="1"/>
    <col min="43" max="16384" width="10.8515625" style="246" customWidth="1"/>
  </cols>
  <sheetData>
    <row r="1" spans="1:30" ht="32.25" customHeight="1" thickBot="1">
      <c r="A1" s="845"/>
      <c r="B1" s="848" t="s">
        <v>16</v>
      </c>
      <c r="C1" s="849"/>
      <c r="D1" s="849"/>
      <c r="E1" s="849"/>
      <c r="F1" s="849"/>
      <c r="G1" s="849"/>
      <c r="H1" s="849"/>
      <c r="I1" s="849"/>
      <c r="J1" s="849"/>
      <c r="K1" s="849"/>
      <c r="L1" s="849"/>
      <c r="M1" s="849"/>
      <c r="N1" s="849"/>
      <c r="O1" s="849"/>
      <c r="P1" s="849"/>
      <c r="Q1" s="849"/>
      <c r="R1" s="849"/>
      <c r="S1" s="849"/>
      <c r="T1" s="849"/>
      <c r="U1" s="849"/>
      <c r="V1" s="849"/>
      <c r="W1" s="849"/>
      <c r="X1" s="849"/>
      <c r="Y1" s="849"/>
      <c r="Z1" s="849"/>
      <c r="AA1" s="850"/>
      <c r="AB1" s="851" t="s">
        <v>423</v>
      </c>
      <c r="AC1" s="852"/>
      <c r="AD1" s="853"/>
    </row>
    <row r="2" spans="1:30" ht="30.75" customHeight="1" thickBot="1">
      <c r="A2" s="846"/>
      <c r="B2" s="848" t="s">
        <v>17</v>
      </c>
      <c r="C2" s="849"/>
      <c r="D2" s="849"/>
      <c r="E2" s="849"/>
      <c r="F2" s="849"/>
      <c r="G2" s="849"/>
      <c r="H2" s="849"/>
      <c r="I2" s="849"/>
      <c r="J2" s="849"/>
      <c r="K2" s="849"/>
      <c r="L2" s="849"/>
      <c r="M2" s="849"/>
      <c r="N2" s="849"/>
      <c r="O2" s="849"/>
      <c r="P2" s="849"/>
      <c r="Q2" s="849"/>
      <c r="R2" s="849"/>
      <c r="S2" s="849"/>
      <c r="T2" s="849"/>
      <c r="U2" s="849"/>
      <c r="V2" s="849"/>
      <c r="W2" s="849"/>
      <c r="X2" s="849"/>
      <c r="Y2" s="849"/>
      <c r="Z2" s="849"/>
      <c r="AA2" s="850"/>
      <c r="AB2" s="854" t="s">
        <v>418</v>
      </c>
      <c r="AC2" s="855"/>
      <c r="AD2" s="856"/>
    </row>
    <row r="3" spans="1:30" ht="24" customHeight="1">
      <c r="A3" s="846"/>
      <c r="B3" s="857" t="s">
        <v>295</v>
      </c>
      <c r="C3" s="858"/>
      <c r="D3" s="858"/>
      <c r="E3" s="858"/>
      <c r="F3" s="858"/>
      <c r="G3" s="858"/>
      <c r="H3" s="858"/>
      <c r="I3" s="858"/>
      <c r="J3" s="858"/>
      <c r="K3" s="858"/>
      <c r="L3" s="858"/>
      <c r="M3" s="858"/>
      <c r="N3" s="858"/>
      <c r="O3" s="858"/>
      <c r="P3" s="858"/>
      <c r="Q3" s="858"/>
      <c r="R3" s="858"/>
      <c r="S3" s="858"/>
      <c r="T3" s="858"/>
      <c r="U3" s="858"/>
      <c r="V3" s="858"/>
      <c r="W3" s="858"/>
      <c r="X3" s="858"/>
      <c r="Y3" s="858"/>
      <c r="Z3" s="858"/>
      <c r="AA3" s="859"/>
      <c r="AB3" s="854" t="s">
        <v>424</v>
      </c>
      <c r="AC3" s="855"/>
      <c r="AD3" s="856"/>
    </row>
    <row r="4" spans="1:30" ht="21.75" customHeight="1" thickBot="1">
      <c r="A4" s="847"/>
      <c r="B4" s="860"/>
      <c r="C4" s="861"/>
      <c r="D4" s="861"/>
      <c r="E4" s="861"/>
      <c r="F4" s="861"/>
      <c r="G4" s="861"/>
      <c r="H4" s="861"/>
      <c r="I4" s="861"/>
      <c r="J4" s="861"/>
      <c r="K4" s="861"/>
      <c r="L4" s="861"/>
      <c r="M4" s="861"/>
      <c r="N4" s="861"/>
      <c r="O4" s="861"/>
      <c r="P4" s="861"/>
      <c r="Q4" s="861"/>
      <c r="R4" s="861"/>
      <c r="S4" s="861"/>
      <c r="T4" s="861"/>
      <c r="U4" s="861"/>
      <c r="V4" s="861"/>
      <c r="W4" s="861"/>
      <c r="X4" s="861"/>
      <c r="Y4" s="861"/>
      <c r="Z4" s="861"/>
      <c r="AA4" s="862"/>
      <c r="AB4" s="626" t="s">
        <v>776</v>
      </c>
      <c r="AC4" s="627"/>
      <c r="AD4" s="628"/>
    </row>
    <row r="5" spans="1:30" ht="9" customHeight="1" thickBot="1">
      <c r="A5" s="249"/>
      <c r="B5" s="311"/>
      <c r="C5" s="312"/>
      <c r="D5" s="252"/>
      <c r="E5" s="252"/>
      <c r="F5" s="252"/>
      <c r="G5" s="252"/>
      <c r="H5" s="252"/>
      <c r="I5" s="252"/>
      <c r="J5" s="252"/>
      <c r="K5" s="252"/>
      <c r="L5" s="252"/>
      <c r="M5" s="252"/>
      <c r="N5" s="252"/>
      <c r="O5" s="252"/>
      <c r="P5" s="252"/>
      <c r="Q5" s="252"/>
      <c r="R5" s="252"/>
      <c r="S5" s="252"/>
      <c r="T5" s="252"/>
      <c r="U5" s="252"/>
      <c r="V5" s="252"/>
      <c r="W5" s="252"/>
      <c r="X5" s="252"/>
      <c r="Y5" s="252"/>
      <c r="Z5" s="253"/>
      <c r="AA5" s="252"/>
      <c r="AB5" s="254"/>
      <c r="AC5" s="255"/>
      <c r="AD5" s="256"/>
    </row>
    <row r="6" spans="1:30" ht="9" customHeight="1" thickBot="1">
      <c r="A6" s="257"/>
      <c r="B6" s="252"/>
      <c r="C6" s="252"/>
      <c r="D6" s="252"/>
      <c r="E6" s="252"/>
      <c r="F6" s="252"/>
      <c r="G6" s="252"/>
      <c r="H6" s="252"/>
      <c r="I6" s="252"/>
      <c r="J6" s="252"/>
      <c r="K6" s="252"/>
      <c r="L6" s="252"/>
      <c r="M6" s="252"/>
      <c r="N6" s="252"/>
      <c r="O6" s="252"/>
      <c r="P6" s="252"/>
      <c r="Q6" s="252"/>
      <c r="R6" s="252"/>
      <c r="S6" s="252"/>
      <c r="T6" s="252"/>
      <c r="U6" s="252"/>
      <c r="V6" s="252"/>
      <c r="W6" s="252"/>
      <c r="X6" s="252"/>
      <c r="Y6" s="252"/>
      <c r="Z6" s="253"/>
      <c r="AA6" s="252"/>
      <c r="AB6" s="252"/>
      <c r="AC6" s="258"/>
      <c r="AD6" s="259"/>
    </row>
    <row r="7" spans="1:30" ht="15" customHeight="1">
      <c r="A7" s="629" t="s">
        <v>293</v>
      </c>
      <c r="B7" s="630"/>
      <c r="C7" s="882" t="s">
        <v>45</v>
      </c>
      <c r="D7" s="629" t="s">
        <v>71</v>
      </c>
      <c r="E7" s="635"/>
      <c r="F7" s="635"/>
      <c r="G7" s="635"/>
      <c r="H7" s="630"/>
      <c r="I7" s="837">
        <v>45146</v>
      </c>
      <c r="J7" s="838"/>
      <c r="K7" s="629" t="s">
        <v>67</v>
      </c>
      <c r="L7" s="630"/>
      <c r="M7" s="843" t="s">
        <v>70</v>
      </c>
      <c r="N7" s="844"/>
      <c r="O7" s="863"/>
      <c r="P7" s="864"/>
      <c r="Q7" s="252"/>
      <c r="R7" s="252"/>
      <c r="S7" s="252"/>
      <c r="T7" s="252"/>
      <c r="U7" s="252"/>
      <c r="V7" s="252"/>
      <c r="W7" s="252"/>
      <c r="X7" s="252"/>
      <c r="Y7" s="252"/>
      <c r="Z7" s="253"/>
      <c r="AA7" s="252"/>
      <c r="AB7" s="252"/>
      <c r="AC7" s="258"/>
      <c r="AD7" s="259"/>
    </row>
    <row r="8" spans="1:30" ht="15" customHeight="1">
      <c r="A8" s="631"/>
      <c r="B8" s="632"/>
      <c r="C8" s="883"/>
      <c r="D8" s="631"/>
      <c r="E8" s="885"/>
      <c r="F8" s="885"/>
      <c r="G8" s="885"/>
      <c r="H8" s="632"/>
      <c r="I8" s="839"/>
      <c r="J8" s="840"/>
      <c r="K8" s="631"/>
      <c r="L8" s="632"/>
      <c r="M8" s="865" t="s">
        <v>68</v>
      </c>
      <c r="N8" s="866"/>
      <c r="O8" s="867"/>
      <c r="P8" s="868"/>
      <c r="Q8" s="252"/>
      <c r="R8" s="252"/>
      <c r="S8" s="252"/>
      <c r="T8" s="252"/>
      <c r="U8" s="252"/>
      <c r="V8" s="252"/>
      <c r="W8" s="252"/>
      <c r="X8" s="252"/>
      <c r="Y8" s="252"/>
      <c r="Z8" s="253"/>
      <c r="AA8" s="252"/>
      <c r="AB8" s="252"/>
      <c r="AC8" s="258"/>
      <c r="AD8" s="259"/>
    </row>
    <row r="9" spans="1:30" ht="15.75" customHeight="1" thickBot="1">
      <c r="A9" s="633"/>
      <c r="B9" s="634"/>
      <c r="C9" s="884"/>
      <c r="D9" s="633"/>
      <c r="E9" s="637"/>
      <c r="F9" s="637"/>
      <c r="G9" s="637"/>
      <c r="H9" s="634"/>
      <c r="I9" s="841"/>
      <c r="J9" s="842"/>
      <c r="K9" s="633"/>
      <c r="L9" s="634"/>
      <c r="M9" s="869" t="s">
        <v>69</v>
      </c>
      <c r="N9" s="870"/>
      <c r="O9" s="871" t="s">
        <v>425</v>
      </c>
      <c r="P9" s="872"/>
      <c r="Q9" s="252"/>
      <c r="R9" s="252"/>
      <c r="S9" s="252"/>
      <c r="T9" s="252"/>
      <c r="U9" s="252"/>
      <c r="V9" s="252"/>
      <c r="W9" s="252"/>
      <c r="X9" s="252"/>
      <c r="Y9" s="252"/>
      <c r="Z9" s="253"/>
      <c r="AA9" s="252"/>
      <c r="AB9" s="252"/>
      <c r="AC9" s="258"/>
      <c r="AD9" s="259"/>
    </row>
    <row r="10" spans="1:30" ht="15" customHeight="1" thickBot="1">
      <c r="A10" s="260"/>
      <c r="B10" s="261"/>
      <c r="C10" s="261"/>
      <c r="D10" s="247"/>
      <c r="E10" s="247"/>
      <c r="F10" s="247"/>
      <c r="G10" s="247"/>
      <c r="H10" s="247"/>
      <c r="I10" s="262"/>
      <c r="J10" s="262"/>
      <c r="K10" s="247"/>
      <c r="L10" s="247"/>
      <c r="M10" s="263"/>
      <c r="N10" s="263"/>
      <c r="O10" s="264"/>
      <c r="P10" s="264"/>
      <c r="Q10" s="261"/>
      <c r="R10" s="261"/>
      <c r="S10" s="261"/>
      <c r="T10" s="261"/>
      <c r="U10" s="261"/>
      <c r="V10" s="261"/>
      <c r="W10" s="261"/>
      <c r="X10" s="261"/>
      <c r="Y10" s="261"/>
      <c r="Z10" s="265"/>
      <c r="AA10" s="261"/>
      <c r="AB10" s="261"/>
      <c r="AC10" s="266"/>
      <c r="AD10" s="267"/>
    </row>
    <row r="11" spans="1:30" ht="15" customHeight="1">
      <c r="A11" s="629" t="s">
        <v>0</v>
      </c>
      <c r="B11" s="630"/>
      <c r="C11" s="873" t="s">
        <v>497</v>
      </c>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5"/>
    </row>
    <row r="12" spans="1:30" ht="15" customHeight="1">
      <c r="A12" s="631"/>
      <c r="B12" s="632"/>
      <c r="C12" s="876"/>
      <c r="D12" s="877"/>
      <c r="E12" s="877"/>
      <c r="F12" s="877"/>
      <c r="G12" s="877"/>
      <c r="H12" s="877"/>
      <c r="I12" s="877"/>
      <c r="J12" s="877"/>
      <c r="K12" s="877"/>
      <c r="L12" s="877"/>
      <c r="M12" s="877"/>
      <c r="N12" s="877"/>
      <c r="O12" s="877"/>
      <c r="P12" s="877"/>
      <c r="Q12" s="877"/>
      <c r="R12" s="877"/>
      <c r="S12" s="877"/>
      <c r="T12" s="877"/>
      <c r="U12" s="877"/>
      <c r="V12" s="877"/>
      <c r="W12" s="877"/>
      <c r="X12" s="877"/>
      <c r="Y12" s="877"/>
      <c r="Z12" s="877"/>
      <c r="AA12" s="877"/>
      <c r="AB12" s="877"/>
      <c r="AC12" s="877"/>
      <c r="AD12" s="878"/>
    </row>
    <row r="13" spans="1:30" ht="15" customHeight="1" thickBot="1">
      <c r="A13" s="633"/>
      <c r="B13" s="634"/>
      <c r="C13" s="879"/>
      <c r="D13" s="880"/>
      <c r="E13" s="880"/>
      <c r="F13" s="880"/>
      <c r="G13" s="880"/>
      <c r="H13" s="880"/>
      <c r="I13" s="880"/>
      <c r="J13" s="880"/>
      <c r="K13" s="880"/>
      <c r="L13" s="880"/>
      <c r="M13" s="880"/>
      <c r="N13" s="880"/>
      <c r="O13" s="880"/>
      <c r="P13" s="880"/>
      <c r="Q13" s="880"/>
      <c r="R13" s="880"/>
      <c r="S13" s="880"/>
      <c r="T13" s="880"/>
      <c r="U13" s="880"/>
      <c r="V13" s="880"/>
      <c r="W13" s="880"/>
      <c r="X13" s="880"/>
      <c r="Y13" s="880"/>
      <c r="Z13" s="880"/>
      <c r="AA13" s="880"/>
      <c r="AB13" s="880"/>
      <c r="AC13" s="880"/>
      <c r="AD13" s="881"/>
    </row>
    <row r="14" spans="1:30" ht="9" customHeight="1" thickBot="1">
      <c r="A14" s="69"/>
      <c r="B14" s="70"/>
      <c r="C14" s="268"/>
      <c r="D14" s="268"/>
      <c r="E14" s="268"/>
      <c r="F14" s="268"/>
      <c r="G14" s="268"/>
      <c r="H14" s="268"/>
      <c r="I14" s="268"/>
      <c r="J14" s="268"/>
      <c r="K14" s="268"/>
      <c r="L14" s="268"/>
      <c r="M14" s="269"/>
      <c r="N14" s="269"/>
      <c r="O14" s="269"/>
      <c r="P14" s="269"/>
      <c r="Q14" s="269"/>
      <c r="R14" s="270"/>
      <c r="S14" s="270"/>
      <c r="T14" s="270"/>
      <c r="U14" s="270"/>
      <c r="V14" s="270"/>
      <c r="W14" s="270"/>
      <c r="X14" s="270"/>
      <c r="Y14" s="247"/>
      <c r="Z14" s="247"/>
      <c r="AA14" s="247"/>
      <c r="AB14" s="247"/>
      <c r="AC14" s="247"/>
      <c r="AD14" s="248"/>
    </row>
    <row r="15" spans="1:30" ht="39" customHeight="1" thickBot="1">
      <c r="A15" s="599" t="s">
        <v>77</v>
      </c>
      <c r="B15" s="600"/>
      <c r="C15" s="886" t="s">
        <v>426</v>
      </c>
      <c r="D15" s="887"/>
      <c r="E15" s="887"/>
      <c r="F15" s="887"/>
      <c r="G15" s="887"/>
      <c r="H15" s="887"/>
      <c r="I15" s="887"/>
      <c r="J15" s="887"/>
      <c r="K15" s="888"/>
      <c r="L15" s="593" t="s">
        <v>73</v>
      </c>
      <c r="M15" s="669"/>
      <c r="N15" s="669"/>
      <c r="O15" s="669"/>
      <c r="P15" s="669"/>
      <c r="Q15" s="594"/>
      <c r="R15" s="889" t="s">
        <v>622</v>
      </c>
      <c r="S15" s="890"/>
      <c r="T15" s="890"/>
      <c r="U15" s="890"/>
      <c r="V15" s="890"/>
      <c r="W15" s="890"/>
      <c r="X15" s="891"/>
      <c r="Y15" s="593" t="s">
        <v>72</v>
      </c>
      <c r="Z15" s="594"/>
      <c r="AA15" s="886" t="s">
        <v>623</v>
      </c>
      <c r="AB15" s="887"/>
      <c r="AC15" s="887"/>
      <c r="AD15" s="888"/>
    </row>
    <row r="16" spans="1:30" ht="9" customHeight="1" thickBot="1">
      <c r="A16" s="257"/>
      <c r="B16" s="252"/>
      <c r="C16" s="892"/>
      <c r="D16" s="892"/>
      <c r="E16" s="892"/>
      <c r="F16" s="892"/>
      <c r="G16" s="892"/>
      <c r="H16" s="892"/>
      <c r="I16" s="892"/>
      <c r="J16" s="892"/>
      <c r="K16" s="892"/>
      <c r="L16" s="892"/>
      <c r="M16" s="892"/>
      <c r="N16" s="892"/>
      <c r="O16" s="892"/>
      <c r="P16" s="892"/>
      <c r="Q16" s="892"/>
      <c r="R16" s="892"/>
      <c r="S16" s="892"/>
      <c r="T16" s="892"/>
      <c r="U16" s="892"/>
      <c r="V16" s="892"/>
      <c r="W16" s="892"/>
      <c r="X16" s="892"/>
      <c r="Y16" s="892"/>
      <c r="Z16" s="892"/>
      <c r="AA16" s="892"/>
      <c r="AB16" s="892"/>
      <c r="AC16" s="271"/>
      <c r="AD16" s="272"/>
    </row>
    <row r="17" spans="1:30" s="273" customFormat="1" ht="37.5" customHeight="1" thickBot="1">
      <c r="A17" s="599" t="s">
        <v>79</v>
      </c>
      <c r="B17" s="600"/>
      <c r="C17" s="893" t="s">
        <v>624</v>
      </c>
      <c r="D17" s="894"/>
      <c r="E17" s="894"/>
      <c r="F17" s="894"/>
      <c r="G17" s="894"/>
      <c r="H17" s="894"/>
      <c r="I17" s="894"/>
      <c r="J17" s="894"/>
      <c r="K17" s="894"/>
      <c r="L17" s="894"/>
      <c r="M17" s="894"/>
      <c r="N17" s="894"/>
      <c r="O17" s="894"/>
      <c r="P17" s="894"/>
      <c r="Q17" s="895"/>
      <c r="R17" s="593" t="s">
        <v>374</v>
      </c>
      <c r="S17" s="669"/>
      <c r="T17" s="669"/>
      <c r="U17" s="669"/>
      <c r="V17" s="594"/>
      <c r="W17" s="595">
        <v>0.16</v>
      </c>
      <c r="X17" s="596"/>
      <c r="Y17" s="669" t="s">
        <v>15</v>
      </c>
      <c r="Z17" s="669"/>
      <c r="AA17" s="669"/>
      <c r="AB17" s="594"/>
      <c r="AC17" s="896">
        <f>+VIGENCIA!D6</f>
        <v>0.20969674359270574</v>
      </c>
      <c r="AD17" s="897"/>
    </row>
    <row r="18" spans="1:30" ht="16.5" customHeight="1" thickBot="1">
      <c r="A18" s="79"/>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81"/>
    </row>
    <row r="19" spans="1:32" ht="31.5" customHeight="1" thickBot="1">
      <c r="A19" s="593" t="s">
        <v>1</v>
      </c>
      <c r="B19" s="669"/>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594"/>
      <c r="AE19" s="275"/>
      <c r="AF19" s="275"/>
    </row>
    <row r="20" spans="1:32" ht="31.5" customHeight="1" thickBot="1">
      <c r="A20" s="276"/>
      <c r="B20" s="258"/>
      <c r="C20" s="697" t="s">
        <v>376</v>
      </c>
      <c r="D20" s="745"/>
      <c r="E20" s="745"/>
      <c r="F20" s="745"/>
      <c r="G20" s="745"/>
      <c r="H20" s="745"/>
      <c r="I20" s="745"/>
      <c r="J20" s="745"/>
      <c r="K20" s="745"/>
      <c r="L20" s="745"/>
      <c r="M20" s="745"/>
      <c r="N20" s="745"/>
      <c r="O20" s="745"/>
      <c r="P20" s="698"/>
      <c r="Q20" s="695" t="s">
        <v>377</v>
      </c>
      <c r="R20" s="898"/>
      <c r="S20" s="898"/>
      <c r="T20" s="898"/>
      <c r="U20" s="898"/>
      <c r="V20" s="898"/>
      <c r="W20" s="898"/>
      <c r="X20" s="898"/>
      <c r="Y20" s="898"/>
      <c r="Z20" s="898"/>
      <c r="AA20" s="898"/>
      <c r="AB20" s="898"/>
      <c r="AC20" s="898"/>
      <c r="AD20" s="696"/>
      <c r="AE20" s="275"/>
      <c r="AF20" s="275"/>
    </row>
    <row r="21" spans="1:32" ht="31.5" customHeight="1" thickBot="1">
      <c r="A21" s="257"/>
      <c r="B21" s="252"/>
      <c r="C21" s="277" t="s">
        <v>39</v>
      </c>
      <c r="D21" s="278" t="s">
        <v>40</v>
      </c>
      <c r="E21" s="278" t="s">
        <v>41</v>
      </c>
      <c r="F21" s="278" t="s">
        <v>42</v>
      </c>
      <c r="G21" s="278" t="s">
        <v>43</v>
      </c>
      <c r="H21" s="278" t="s">
        <v>44</v>
      </c>
      <c r="I21" s="278" t="s">
        <v>45</v>
      </c>
      <c r="J21" s="278" t="s">
        <v>46</v>
      </c>
      <c r="K21" s="278" t="s">
        <v>47</v>
      </c>
      <c r="L21" s="278" t="s">
        <v>48</v>
      </c>
      <c r="M21" s="278" t="s">
        <v>49</v>
      </c>
      <c r="N21" s="278" t="s">
        <v>50</v>
      </c>
      <c r="O21" s="278" t="s">
        <v>8</v>
      </c>
      <c r="P21" s="279" t="s">
        <v>382</v>
      </c>
      <c r="Q21" s="277" t="s">
        <v>39</v>
      </c>
      <c r="R21" s="278" t="s">
        <v>40</v>
      </c>
      <c r="S21" s="278" t="s">
        <v>41</v>
      </c>
      <c r="T21" s="278" t="s">
        <v>42</v>
      </c>
      <c r="U21" s="278" t="s">
        <v>43</v>
      </c>
      <c r="V21" s="278" t="s">
        <v>44</v>
      </c>
      <c r="W21" s="278" t="s">
        <v>45</v>
      </c>
      <c r="X21" s="278" t="s">
        <v>46</v>
      </c>
      <c r="Y21" s="278" t="s">
        <v>47</v>
      </c>
      <c r="Z21" s="278" t="s">
        <v>48</v>
      </c>
      <c r="AA21" s="278" t="s">
        <v>49</v>
      </c>
      <c r="AB21" s="278" t="s">
        <v>50</v>
      </c>
      <c r="AC21" s="278" t="s">
        <v>8</v>
      </c>
      <c r="AD21" s="279" t="s">
        <v>382</v>
      </c>
      <c r="AE21" s="4"/>
      <c r="AF21" s="4"/>
    </row>
    <row r="22" spans="1:32" ht="31.5" customHeight="1">
      <c r="A22" s="899" t="s">
        <v>378</v>
      </c>
      <c r="B22" s="900"/>
      <c r="C22" s="197">
        <f>+RESERVA!C13</f>
        <v>78887973</v>
      </c>
      <c r="D22" s="195"/>
      <c r="E22" s="195"/>
      <c r="F22" s="195"/>
      <c r="G22" s="195"/>
      <c r="H22" s="195"/>
      <c r="I22" s="195"/>
      <c r="J22" s="195"/>
      <c r="K22" s="195"/>
      <c r="L22" s="195"/>
      <c r="M22" s="195"/>
      <c r="N22" s="195"/>
      <c r="O22" s="195"/>
      <c r="P22" s="198"/>
      <c r="Q22" s="197">
        <v>886943478</v>
      </c>
      <c r="R22" s="195">
        <v>104843400</v>
      </c>
      <c r="S22" s="195">
        <v>140587987</v>
      </c>
      <c r="T22" s="195">
        <v>1077819097</v>
      </c>
      <c r="U22" s="195">
        <v>46346970</v>
      </c>
      <c r="V22" s="195">
        <v>11000000</v>
      </c>
      <c r="W22" s="195">
        <v>0</v>
      </c>
      <c r="X22" s="195">
        <v>128375097</v>
      </c>
      <c r="Y22" s="195">
        <v>32607000</v>
      </c>
      <c r="Z22" s="195">
        <v>2000000</v>
      </c>
      <c r="AA22" s="195">
        <v>0</v>
      </c>
      <c r="AB22" s="195">
        <v>0</v>
      </c>
      <c r="AC22" s="195">
        <f>SUM(Q22:AB22)</f>
        <v>2430523029</v>
      </c>
      <c r="AD22" s="202"/>
      <c r="AE22" s="4"/>
      <c r="AF22" s="4"/>
    </row>
    <row r="23" spans="1:32" ht="31.5" customHeight="1">
      <c r="A23" s="901" t="s">
        <v>379</v>
      </c>
      <c r="B23" s="902"/>
      <c r="C23" s="192"/>
      <c r="D23" s="191"/>
      <c r="E23" s="191"/>
      <c r="F23" s="191"/>
      <c r="G23" s="191"/>
      <c r="H23" s="191"/>
      <c r="I23" s="191"/>
      <c r="J23" s="191"/>
      <c r="K23" s="191"/>
      <c r="L23" s="191"/>
      <c r="M23" s="191"/>
      <c r="N23" s="191"/>
      <c r="O23" s="191"/>
      <c r="P23" s="211"/>
      <c r="Q23" s="192">
        <f>+VIGENCIA!D15</f>
        <v>525838496</v>
      </c>
      <c r="R23" s="191">
        <f>+VIGENCIA!F15</f>
        <v>142212061</v>
      </c>
      <c r="S23" s="191">
        <f>+VIGENCIA!H15</f>
        <v>-18599798</v>
      </c>
      <c r="T23" s="191">
        <f>+VIGENCIA!J15</f>
        <v>280733333</v>
      </c>
      <c r="U23" s="191">
        <f>+VIGENCIA!L15</f>
        <v>809571614</v>
      </c>
      <c r="V23" s="191">
        <f>+VIGENCIA!N15</f>
        <v>303435669</v>
      </c>
      <c r="W23" s="191">
        <f>+VIGENCIA!P15</f>
        <v>77142505</v>
      </c>
      <c r="X23" s="191">
        <f>+VIGENCIA!R15</f>
        <v>-12615008</v>
      </c>
      <c r="Y23" s="191"/>
      <c r="Z23" s="191"/>
      <c r="AA23" s="191"/>
      <c r="AB23" s="191"/>
      <c r="AC23" s="191">
        <f>SUM(Q23:AB23)</f>
        <v>2107718872</v>
      </c>
      <c r="AD23" s="448">
        <f>+AC23/AC22</f>
        <v>0.8671873694886106</v>
      </c>
      <c r="AE23" s="4"/>
      <c r="AF23" s="4"/>
    </row>
    <row r="24" spans="1:32" ht="31.5" customHeight="1">
      <c r="A24" s="901" t="s">
        <v>380</v>
      </c>
      <c r="B24" s="902"/>
      <c r="C24" s="404">
        <v>10197469</v>
      </c>
      <c r="D24" s="344">
        <v>10197469</v>
      </c>
      <c r="E24" s="344">
        <v>10197466</v>
      </c>
      <c r="F24" s="344">
        <f>3380352+19782203</f>
        <v>23162555</v>
      </c>
      <c r="G24" s="191">
        <f>+-RESERVA!L13</f>
        <v>-9782202</v>
      </c>
      <c r="H24" s="191">
        <v>25133014</v>
      </c>
      <c r="I24" s="191"/>
      <c r="J24" s="191">
        <f>-RESERVA!R13</f>
        <v>-1</v>
      </c>
      <c r="K24" s="191"/>
      <c r="L24" s="191"/>
      <c r="M24" s="191"/>
      <c r="N24" s="191"/>
      <c r="O24" s="191">
        <f>SUM(C24:N24)</f>
        <v>69105770</v>
      </c>
      <c r="P24" s="196"/>
      <c r="Q24" s="192"/>
      <c r="R24" s="191">
        <v>47869481</v>
      </c>
      <c r="S24" s="191">
        <v>86678163</v>
      </c>
      <c r="T24" s="191">
        <v>102312613</v>
      </c>
      <c r="U24" s="191">
        <v>1179131613</v>
      </c>
      <c r="V24" s="191">
        <v>134706355</v>
      </c>
      <c r="W24" s="191">
        <v>113312613</v>
      </c>
      <c r="X24" s="191">
        <v>104094801</v>
      </c>
      <c r="Y24" s="191">
        <v>229687633</v>
      </c>
      <c r="Z24" s="191">
        <v>134921663</v>
      </c>
      <c r="AA24" s="191">
        <v>103310563</v>
      </c>
      <c r="AB24" s="191">
        <v>194497531</v>
      </c>
      <c r="AC24" s="191">
        <f>SUM(Q24:AB24)</f>
        <v>2430523029</v>
      </c>
      <c r="AD24" s="448"/>
      <c r="AE24" s="4"/>
      <c r="AF24" s="4"/>
    </row>
    <row r="25" spans="1:32" ht="31.5" customHeight="1" thickBot="1">
      <c r="A25" s="903" t="s">
        <v>381</v>
      </c>
      <c r="B25" s="904"/>
      <c r="C25" s="193">
        <f>+RESERVA!E13</f>
        <v>10197469</v>
      </c>
      <c r="D25" s="194">
        <f>+RESERVA!G13</f>
        <v>10197468</v>
      </c>
      <c r="E25" s="194">
        <f>+RESERVA!I13</f>
        <v>10197468</v>
      </c>
      <c r="F25" s="194"/>
      <c r="G25" s="194">
        <f>+RESERVA!M13</f>
        <v>5893653</v>
      </c>
      <c r="H25" s="194">
        <f>+RESERVA!O13</f>
        <v>0</v>
      </c>
      <c r="I25" s="194">
        <f>+RESERVA!Q13</f>
        <v>4188836</v>
      </c>
      <c r="J25" s="194">
        <f>+RESERVA!S13</f>
        <v>0</v>
      </c>
      <c r="K25" s="194"/>
      <c r="L25" s="194"/>
      <c r="M25" s="194"/>
      <c r="N25" s="194"/>
      <c r="O25" s="194">
        <f>SUM(C25:N25)</f>
        <v>40674894</v>
      </c>
      <c r="P25" s="447">
        <f>+O25/O24</f>
        <v>0.588588970211894</v>
      </c>
      <c r="Q25" s="193">
        <f>+VIGENCIA!E15</f>
        <v>0</v>
      </c>
      <c r="R25" s="194">
        <f>+VIGENCIA!G15</f>
        <v>12534268</v>
      </c>
      <c r="S25" s="194">
        <f>+VIGENCIA!I15</f>
        <v>47306463</v>
      </c>
      <c r="T25" s="194">
        <f>+VIGENCIA!K15</f>
        <v>54973130</v>
      </c>
      <c r="U25" s="194">
        <f>+VIGENCIA!M15</f>
        <v>367685375</v>
      </c>
      <c r="V25" s="194">
        <f>+VIGENCIA!O15</f>
        <v>54973130</v>
      </c>
      <c r="W25" s="194">
        <f>+VIGENCIA!Q15</f>
        <v>878270026</v>
      </c>
      <c r="X25" s="194">
        <f>+VIGENCIA!S15</f>
        <v>123829135</v>
      </c>
      <c r="Y25" s="194"/>
      <c r="Z25" s="194"/>
      <c r="AA25" s="194"/>
      <c r="AB25" s="194"/>
      <c r="AC25" s="194">
        <f>SUM(Q25:AB25)</f>
        <v>1539571527</v>
      </c>
      <c r="AD25" s="449">
        <f>+AC25/AC24</f>
        <v>0.6334321907797072</v>
      </c>
      <c r="AE25" s="4"/>
      <c r="AF25" s="4"/>
    </row>
    <row r="26" spans="1:30" ht="31.5" customHeight="1" thickBot="1">
      <c r="A26" s="257"/>
      <c r="B26" s="252"/>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58"/>
      <c r="AD26" s="267"/>
    </row>
    <row r="27" spans="1:30" ht="33.75" customHeight="1">
      <c r="A27" s="905" t="s">
        <v>76</v>
      </c>
      <c r="B27" s="906"/>
      <c r="C27" s="907"/>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8"/>
    </row>
    <row r="28" spans="1:30" ht="15" customHeight="1">
      <c r="A28" s="909" t="s">
        <v>189</v>
      </c>
      <c r="B28" s="911" t="s">
        <v>6</v>
      </c>
      <c r="C28" s="912"/>
      <c r="D28" s="902" t="s">
        <v>398</v>
      </c>
      <c r="E28" s="915"/>
      <c r="F28" s="915"/>
      <c r="G28" s="915"/>
      <c r="H28" s="915"/>
      <c r="I28" s="915"/>
      <c r="J28" s="915"/>
      <c r="K28" s="915"/>
      <c r="L28" s="915"/>
      <c r="M28" s="915"/>
      <c r="N28" s="915"/>
      <c r="O28" s="916"/>
      <c r="P28" s="917" t="s">
        <v>8</v>
      </c>
      <c r="Q28" s="917" t="s">
        <v>84</v>
      </c>
      <c r="R28" s="917"/>
      <c r="S28" s="917"/>
      <c r="T28" s="917"/>
      <c r="U28" s="917"/>
      <c r="V28" s="917"/>
      <c r="W28" s="917"/>
      <c r="X28" s="917"/>
      <c r="Y28" s="917"/>
      <c r="Z28" s="917"/>
      <c r="AA28" s="917"/>
      <c r="AB28" s="917"/>
      <c r="AC28" s="917"/>
      <c r="AD28" s="918"/>
    </row>
    <row r="29" spans="1:30" ht="27" customHeight="1">
      <c r="A29" s="910"/>
      <c r="B29" s="913"/>
      <c r="C29" s="914"/>
      <c r="D29" s="281" t="s">
        <v>39</v>
      </c>
      <c r="E29" s="281" t="s">
        <v>40</v>
      </c>
      <c r="F29" s="281" t="s">
        <v>41</v>
      </c>
      <c r="G29" s="281" t="s">
        <v>42</v>
      </c>
      <c r="H29" s="281" t="s">
        <v>43</v>
      </c>
      <c r="I29" s="281" t="s">
        <v>44</v>
      </c>
      <c r="J29" s="281" t="s">
        <v>45</v>
      </c>
      <c r="K29" s="281" t="s">
        <v>46</v>
      </c>
      <c r="L29" s="281" t="s">
        <v>47</v>
      </c>
      <c r="M29" s="281" t="s">
        <v>48</v>
      </c>
      <c r="N29" s="281" t="s">
        <v>49</v>
      </c>
      <c r="O29" s="281" t="s">
        <v>50</v>
      </c>
      <c r="P29" s="916"/>
      <c r="Q29" s="917"/>
      <c r="R29" s="917"/>
      <c r="S29" s="917"/>
      <c r="T29" s="917"/>
      <c r="U29" s="917"/>
      <c r="V29" s="917"/>
      <c r="W29" s="917"/>
      <c r="X29" s="917"/>
      <c r="Y29" s="917"/>
      <c r="Z29" s="917"/>
      <c r="AA29" s="917"/>
      <c r="AB29" s="917"/>
      <c r="AC29" s="917"/>
      <c r="AD29" s="918"/>
    </row>
    <row r="30" spans="1:30" ht="65.25" customHeight="1" thickBot="1">
      <c r="A30" s="330" t="str">
        <f>C17</f>
        <v>Avanzar en el 80% en las políticas de Gobierno Digital y Seguridad Digital contenidas en la Dimensión Gestión con valores para Resultados</v>
      </c>
      <c r="B30" s="919" t="s">
        <v>450</v>
      </c>
      <c r="C30" s="920"/>
      <c r="D30" s="283" t="s">
        <v>450</v>
      </c>
      <c r="E30" s="283" t="s">
        <v>450</v>
      </c>
      <c r="F30" s="283" t="s">
        <v>450</v>
      </c>
      <c r="G30" s="283" t="s">
        <v>450</v>
      </c>
      <c r="H30" s="283" t="s">
        <v>450</v>
      </c>
      <c r="I30" s="283" t="s">
        <v>450</v>
      </c>
      <c r="J30" s="283" t="s">
        <v>450</v>
      </c>
      <c r="K30" s="283" t="s">
        <v>450</v>
      </c>
      <c r="L30" s="283" t="s">
        <v>450</v>
      </c>
      <c r="M30" s="283" t="s">
        <v>450</v>
      </c>
      <c r="N30" s="283" t="s">
        <v>450</v>
      </c>
      <c r="O30" s="283" t="s">
        <v>450</v>
      </c>
      <c r="P30" s="89">
        <f>SUM(D30:O30)</f>
        <v>0</v>
      </c>
      <c r="Q30" s="921"/>
      <c r="R30" s="921"/>
      <c r="S30" s="921"/>
      <c r="T30" s="921"/>
      <c r="U30" s="921"/>
      <c r="V30" s="921"/>
      <c r="W30" s="921"/>
      <c r="X30" s="921"/>
      <c r="Y30" s="921"/>
      <c r="Z30" s="921"/>
      <c r="AA30" s="921"/>
      <c r="AB30" s="921"/>
      <c r="AC30" s="921"/>
      <c r="AD30" s="922"/>
    </row>
    <row r="31" spans="1:30" ht="45" customHeight="1">
      <c r="A31" s="857" t="s">
        <v>292</v>
      </c>
      <c r="B31" s="858"/>
      <c r="C31" s="858"/>
      <c r="D31" s="858"/>
      <c r="E31" s="858"/>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9"/>
    </row>
    <row r="32" spans="1:41" ht="22.5" customHeight="1">
      <c r="A32" s="901" t="s">
        <v>190</v>
      </c>
      <c r="B32" s="917" t="s">
        <v>62</v>
      </c>
      <c r="C32" s="917" t="s">
        <v>6</v>
      </c>
      <c r="D32" s="917" t="s">
        <v>60</v>
      </c>
      <c r="E32" s="917"/>
      <c r="F32" s="917"/>
      <c r="G32" s="917"/>
      <c r="H32" s="917"/>
      <c r="I32" s="917"/>
      <c r="J32" s="917"/>
      <c r="K32" s="917"/>
      <c r="L32" s="917"/>
      <c r="M32" s="917"/>
      <c r="N32" s="917"/>
      <c r="O32" s="917"/>
      <c r="P32" s="917"/>
      <c r="Q32" s="917" t="s">
        <v>85</v>
      </c>
      <c r="R32" s="917"/>
      <c r="S32" s="917"/>
      <c r="T32" s="917"/>
      <c r="U32" s="917"/>
      <c r="V32" s="917"/>
      <c r="W32" s="917"/>
      <c r="X32" s="917"/>
      <c r="Y32" s="917"/>
      <c r="Z32" s="917"/>
      <c r="AA32" s="917"/>
      <c r="AB32" s="917"/>
      <c r="AC32" s="917"/>
      <c r="AD32" s="918"/>
      <c r="AG32" s="90"/>
      <c r="AH32" s="90"/>
      <c r="AI32" s="90"/>
      <c r="AJ32" s="90"/>
      <c r="AK32" s="90"/>
      <c r="AL32" s="90"/>
      <c r="AM32" s="90"/>
      <c r="AN32" s="90"/>
      <c r="AO32" s="90"/>
    </row>
    <row r="33" spans="1:41" ht="27" customHeight="1">
      <c r="A33" s="901"/>
      <c r="B33" s="917"/>
      <c r="C33" s="923"/>
      <c r="D33" s="281" t="s">
        <v>39</v>
      </c>
      <c r="E33" s="281" t="s">
        <v>40</v>
      </c>
      <c r="F33" s="281" t="s">
        <v>41</v>
      </c>
      <c r="G33" s="281" t="s">
        <v>42</v>
      </c>
      <c r="H33" s="281" t="s">
        <v>43</v>
      </c>
      <c r="I33" s="281" t="s">
        <v>44</v>
      </c>
      <c r="J33" s="281" t="s">
        <v>45</v>
      </c>
      <c r="K33" s="281" t="s">
        <v>46</v>
      </c>
      <c r="L33" s="281" t="s">
        <v>47</v>
      </c>
      <c r="M33" s="281" t="s">
        <v>48</v>
      </c>
      <c r="N33" s="281" t="s">
        <v>49</v>
      </c>
      <c r="O33" s="281" t="s">
        <v>50</v>
      </c>
      <c r="P33" s="281" t="s">
        <v>8</v>
      </c>
      <c r="Q33" s="917" t="s">
        <v>403</v>
      </c>
      <c r="R33" s="917"/>
      <c r="S33" s="917"/>
      <c r="T33" s="917" t="s">
        <v>406</v>
      </c>
      <c r="U33" s="917"/>
      <c r="V33" s="917"/>
      <c r="W33" s="913" t="s">
        <v>81</v>
      </c>
      <c r="X33" s="924"/>
      <c r="Y33" s="924"/>
      <c r="Z33" s="914"/>
      <c r="AA33" s="913" t="s">
        <v>82</v>
      </c>
      <c r="AB33" s="924"/>
      <c r="AC33" s="924"/>
      <c r="AD33" s="925"/>
      <c r="AG33" s="90"/>
      <c r="AH33" s="90"/>
      <c r="AI33" s="90"/>
      <c r="AJ33" s="90"/>
      <c r="AK33" s="90"/>
      <c r="AL33" s="90"/>
      <c r="AM33" s="90"/>
      <c r="AN33" s="90"/>
      <c r="AO33" s="90"/>
    </row>
    <row r="34" spans="1:41" ht="174" customHeight="1">
      <c r="A34" s="926" t="s">
        <v>624</v>
      </c>
      <c r="B34" s="928">
        <f>+AC17</f>
        <v>0.20969674359270574</v>
      </c>
      <c r="C34" s="284" t="s">
        <v>9</v>
      </c>
      <c r="D34" s="177">
        <f>((D38*($B$38/$B$34))+(D40*($B$40/$B$34))+(D42*($B$42/$B$34)))*$P$34</f>
        <v>0.013619667864500619</v>
      </c>
      <c r="E34" s="177">
        <f aca="true" t="shared" si="0" ref="E34:O34">((E38*($B$38/$B$34))+(E40*($B$40/$B$34))+(E42*($B$42/$B$34)))*$P$34</f>
        <v>0.013619667864500619</v>
      </c>
      <c r="F34" s="177">
        <f t="shared" si="0"/>
        <v>0.015322126347563195</v>
      </c>
      <c r="G34" s="177">
        <f t="shared" si="0"/>
        <v>0.013619667864500619</v>
      </c>
      <c r="H34" s="177">
        <f t="shared" si="0"/>
        <v>0.013619667864500619</v>
      </c>
      <c r="I34" s="177">
        <f t="shared" si="0"/>
        <v>0.015322126347563195</v>
      </c>
      <c r="J34" s="177">
        <f t="shared" si="0"/>
        <v>0.013619667864500619</v>
      </c>
      <c r="K34" s="177">
        <f t="shared" si="0"/>
        <v>0.013619667864500619</v>
      </c>
      <c r="L34" s="177">
        <f t="shared" si="0"/>
        <v>0.015322126347563195</v>
      </c>
      <c r="M34" s="177">
        <f t="shared" si="0"/>
        <v>0.013619667864500619</v>
      </c>
      <c r="N34" s="177">
        <f t="shared" si="0"/>
        <v>0.013619667864500619</v>
      </c>
      <c r="O34" s="177">
        <f t="shared" si="0"/>
        <v>0.015322126347563195</v>
      </c>
      <c r="P34" s="177">
        <v>0.17</v>
      </c>
      <c r="Q34" s="930" t="s">
        <v>964</v>
      </c>
      <c r="R34" s="931"/>
      <c r="S34" s="932"/>
      <c r="T34" s="1157" t="s">
        <v>851</v>
      </c>
      <c r="U34" s="1158"/>
      <c r="V34" s="1159"/>
      <c r="W34" s="936" t="s">
        <v>965</v>
      </c>
      <c r="X34" s="937"/>
      <c r="Y34" s="937"/>
      <c r="Z34" s="938"/>
      <c r="AA34" s="930" t="s">
        <v>966</v>
      </c>
      <c r="AB34" s="931"/>
      <c r="AC34" s="931"/>
      <c r="AD34" s="942"/>
      <c r="AG34" s="90"/>
      <c r="AH34" s="90"/>
      <c r="AI34" s="90"/>
      <c r="AJ34" s="90"/>
      <c r="AK34" s="90"/>
      <c r="AL34" s="90"/>
      <c r="AM34" s="90"/>
      <c r="AN34" s="90"/>
      <c r="AO34" s="90"/>
    </row>
    <row r="35" spans="1:41" ht="174" customHeight="1" thickBot="1">
      <c r="A35" s="927"/>
      <c r="B35" s="929"/>
      <c r="C35" s="285" t="s">
        <v>10</v>
      </c>
      <c r="D35" s="413">
        <f>((D39*($B$38/$B$34))+(D41*($B$40/$B$34))+(D43*($B$42/$B$34)))*$P$34</f>
        <v>0.013619667864500619</v>
      </c>
      <c r="E35" s="413">
        <f aca="true" t="shared" si="1" ref="E35:K35">((E39*($B$38/$B$34))+(E41*($B$40/$B$34))+(E43*($B$42/$B$34)))*$P$34</f>
        <v>0.011025445414119546</v>
      </c>
      <c r="F35" s="413">
        <f t="shared" si="1"/>
        <v>0.01240362609088449</v>
      </c>
      <c r="G35" s="413">
        <f t="shared" si="1"/>
        <v>0.011025445414119546</v>
      </c>
      <c r="H35" s="413">
        <f t="shared" si="1"/>
        <v>0.011025445414119546</v>
      </c>
      <c r="I35" s="476">
        <f t="shared" si="1"/>
        <v>0.015322126347563195</v>
      </c>
      <c r="J35" s="476">
        <f t="shared" si="1"/>
        <v>0.013619667864500619</v>
      </c>
      <c r="K35" s="476">
        <f t="shared" si="1"/>
        <v>0.013619667864500619</v>
      </c>
      <c r="L35" s="96"/>
      <c r="M35" s="96"/>
      <c r="N35" s="96"/>
      <c r="O35" s="96"/>
      <c r="P35" s="178">
        <f>SUM(D35:O35)</f>
        <v>0.10166109227430817</v>
      </c>
      <c r="Q35" s="933"/>
      <c r="R35" s="934"/>
      <c r="S35" s="935"/>
      <c r="T35" s="1160"/>
      <c r="U35" s="1161"/>
      <c r="V35" s="1162"/>
      <c r="W35" s="939"/>
      <c r="X35" s="940"/>
      <c r="Y35" s="940"/>
      <c r="Z35" s="941"/>
      <c r="AA35" s="933"/>
      <c r="AB35" s="934"/>
      <c r="AC35" s="934"/>
      <c r="AD35" s="943"/>
      <c r="AE35" s="50"/>
      <c r="AG35" s="90"/>
      <c r="AH35" s="90"/>
      <c r="AI35" s="90"/>
      <c r="AJ35" s="90"/>
      <c r="AK35" s="90"/>
      <c r="AL35" s="90"/>
      <c r="AM35" s="90"/>
      <c r="AN35" s="90"/>
      <c r="AO35" s="90"/>
    </row>
    <row r="36" spans="1:41" ht="25.5" customHeight="1">
      <c r="A36" s="944" t="s">
        <v>191</v>
      </c>
      <c r="B36" s="946" t="s">
        <v>61</v>
      </c>
      <c r="C36" s="900" t="s">
        <v>11</v>
      </c>
      <c r="D36" s="948"/>
      <c r="E36" s="948"/>
      <c r="F36" s="948"/>
      <c r="G36" s="948"/>
      <c r="H36" s="948"/>
      <c r="I36" s="948"/>
      <c r="J36" s="948"/>
      <c r="K36" s="948"/>
      <c r="L36" s="948"/>
      <c r="M36" s="948"/>
      <c r="N36" s="948"/>
      <c r="O36" s="948"/>
      <c r="P36" s="949"/>
      <c r="Q36" s="900" t="s">
        <v>78</v>
      </c>
      <c r="R36" s="948"/>
      <c r="S36" s="948"/>
      <c r="T36" s="948"/>
      <c r="U36" s="948"/>
      <c r="V36" s="948"/>
      <c r="W36" s="948"/>
      <c r="X36" s="948"/>
      <c r="Y36" s="948"/>
      <c r="Z36" s="948"/>
      <c r="AA36" s="948"/>
      <c r="AB36" s="948"/>
      <c r="AC36" s="948"/>
      <c r="AD36" s="950"/>
      <c r="AG36" s="90"/>
      <c r="AH36" s="90"/>
      <c r="AI36" s="90"/>
      <c r="AJ36" s="90"/>
      <c r="AK36" s="90"/>
      <c r="AL36" s="90"/>
      <c r="AM36" s="90"/>
      <c r="AN36" s="90"/>
      <c r="AO36" s="90"/>
    </row>
    <row r="37" spans="1:41" ht="42.75" customHeight="1">
      <c r="A37" s="945"/>
      <c r="B37" s="947"/>
      <c r="C37" s="492" t="s">
        <v>12</v>
      </c>
      <c r="D37" s="492" t="s">
        <v>36</v>
      </c>
      <c r="E37" s="492" t="s">
        <v>37</v>
      </c>
      <c r="F37" s="492" t="s">
        <v>38</v>
      </c>
      <c r="G37" s="492" t="s">
        <v>51</v>
      </c>
      <c r="H37" s="492" t="s">
        <v>52</v>
      </c>
      <c r="I37" s="492" t="s">
        <v>53</v>
      </c>
      <c r="J37" s="492" t="s">
        <v>54</v>
      </c>
      <c r="K37" s="492" t="s">
        <v>55</v>
      </c>
      <c r="L37" s="492" t="s">
        <v>56</v>
      </c>
      <c r="M37" s="492" t="s">
        <v>57</v>
      </c>
      <c r="N37" s="492" t="s">
        <v>58</v>
      </c>
      <c r="O37" s="492" t="s">
        <v>59</v>
      </c>
      <c r="P37" s="492" t="s">
        <v>63</v>
      </c>
      <c r="Q37" s="902" t="s">
        <v>83</v>
      </c>
      <c r="R37" s="915"/>
      <c r="S37" s="915"/>
      <c r="T37" s="915"/>
      <c r="U37" s="915"/>
      <c r="V37" s="915"/>
      <c r="W37" s="915"/>
      <c r="X37" s="915"/>
      <c r="Y37" s="915"/>
      <c r="Z37" s="915"/>
      <c r="AA37" s="915"/>
      <c r="AB37" s="915"/>
      <c r="AC37" s="915"/>
      <c r="AD37" s="951"/>
      <c r="AG37" s="98"/>
      <c r="AH37" s="98"/>
      <c r="AI37" s="98"/>
      <c r="AJ37" s="98"/>
      <c r="AK37" s="98"/>
      <c r="AL37" s="98"/>
      <c r="AM37" s="98"/>
      <c r="AN37" s="98"/>
      <c r="AO37" s="98"/>
    </row>
    <row r="38" spans="1:41" ht="171.75" customHeight="1">
      <c r="A38" s="952" t="s">
        <v>625</v>
      </c>
      <c r="B38" s="954">
        <v>0.04</v>
      </c>
      <c r="C38" s="284" t="s">
        <v>9</v>
      </c>
      <c r="D38" s="99">
        <v>0.08</v>
      </c>
      <c r="E38" s="99">
        <v>0.08</v>
      </c>
      <c r="F38" s="99">
        <v>0.09</v>
      </c>
      <c r="G38" s="99">
        <v>0.08</v>
      </c>
      <c r="H38" s="99">
        <v>0.08</v>
      </c>
      <c r="I38" s="99">
        <v>0.09</v>
      </c>
      <c r="J38" s="99">
        <v>0.08</v>
      </c>
      <c r="K38" s="99">
        <v>0.08</v>
      </c>
      <c r="L38" s="99">
        <v>0.09</v>
      </c>
      <c r="M38" s="99">
        <v>0.08</v>
      </c>
      <c r="N38" s="99">
        <v>0.08</v>
      </c>
      <c r="O38" s="99">
        <v>0.09</v>
      </c>
      <c r="P38" s="286">
        <f aca="true" t="shared" si="2" ref="P38:P43">SUM(D38:O38)</f>
        <v>0.9999999999999998</v>
      </c>
      <c r="Q38" s="956" t="s">
        <v>960</v>
      </c>
      <c r="R38" s="956"/>
      <c r="S38" s="956"/>
      <c r="T38" s="956"/>
      <c r="U38" s="956"/>
      <c r="V38" s="956"/>
      <c r="W38" s="956"/>
      <c r="X38" s="956"/>
      <c r="Y38" s="956"/>
      <c r="Z38" s="956"/>
      <c r="AA38" s="956"/>
      <c r="AB38" s="956"/>
      <c r="AC38" s="956"/>
      <c r="AD38" s="956"/>
      <c r="AE38" s="287"/>
      <c r="AG38" s="102"/>
      <c r="AH38" s="102"/>
      <c r="AI38" s="102"/>
      <c r="AJ38" s="102"/>
      <c r="AK38" s="102"/>
      <c r="AL38" s="102"/>
      <c r="AM38" s="102"/>
      <c r="AN38" s="102"/>
      <c r="AO38" s="102"/>
    </row>
    <row r="39" spans="1:31" ht="171.75" customHeight="1">
      <c r="A39" s="953"/>
      <c r="B39" s="955"/>
      <c r="C39" s="288" t="s">
        <v>10</v>
      </c>
      <c r="D39" s="104">
        <v>0.08</v>
      </c>
      <c r="E39" s="104">
        <v>0</v>
      </c>
      <c r="F39" s="104">
        <v>0</v>
      </c>
      <c r="G39" s="104">
        <v>0</v>
      </c>
      <c r="H39" s="104">
        <v>0</v>
      </c>
      <c r="I39" s="104">
        <v>0.09</v>
      </c>
      <c r="J39" s="104">
        <v>0.08</v>
      </c>
      <c r="K39" s="104">
        <v>0.08</v>
      </c>
      <c r="L39" s="104"/>
      <c r="M39" s="104"/>
      <c r="N39" s="104"/>
      <c r="O39" s="104"/>
      <c r="P39" s="289">
        <f t="shared" si="2"/>
        <v>0.33</v>
      </c>
      <c r="Q39" s="1153"/>
      <c r="R39" s="1153"/>
      <c r="S39" s="1153"/>
      <c r="T39" s="1153"/>
      <c r="U39" s="1153"/>
      <c r="V39" s="1153"/>
      <c r="W39" s="1153"/>
      <c r="X39" s="1153"/>
      <c r="Y39" s="1153"/>
      <c r="Z39" s="1153"/>
      <c r="AA39" s="1153"/>
      <c r="AB39" s="1153"/>
      <c r="AC39" s="1153"/>
      <c r="AD39" s="1153"/>
      <c r="AE39" s="287"/>
    </row>
    <row r="40" spans="1:31" ht="151.5" customHeight="1">
      <c r="A40" s="952" t="s">
        <v>626</v>
      </c>
      <c r="B40" s="954">
        <v>0.12</v>
      </c>
      <c r="C40" s="290" t="s">
        <v>9</v>
      </c>
      <c r="D40" s="107">
        <v>0.08</v>
      </c>
      <c r="E40" s="107">
        <v>0.08</v>
      </c>
      <c r="F40" s="107">
        <v>0.09</v>
      </c>
      <c r="G40" s="107">
        <v>0.08</v>
      </c>
      <c r="H40" s="107">
        <v>0.08</v>
      </c>
      <c r="I40" s="107">
        <v>0.09</v>
      </c>
      <c r="J40" s="107">
        <v>0.08</v>
      </c>
      <c r="K40" s="107">
        <v>0.08</v>
      </c>
      <c r="L40" s="107">
        <v>0.09</v>
      </c>
      <c r="M40" s="107">
        <v>0.08</v>
      </c>
      <c r="N40" s="107">
        <v>0.08</v>
      </c>
      <c r="O40" s="107">
        <v>0.09</v>
      </c>
      <c r="P40" s="289">
        <f t="shared" si="2"/>
        <v>0.9999999999999998</v>
      </c>
      <c r="Q40" s="957" t="s">
        <v>961</v>
      </c>
      <c r="R40" s="958"/>
      <c r="S40" s="958"/>
      <c r="T40" s="958"/>
      <c r="U40" s="958"/>
      <c r="V40" s="958"/>
      <c r="W40" s="958"/>
      <c r="X40" s="958"/>
      <c r="Y40" s="958"/>
      <c r="Z40" s="958"/>
      <c r="AA40" s="958"/>
      <c r="AB40" s="958"/>
      <c r="AC40" s="958"/>
      <c r="AD40" s="1155"/>
      <c r="AE40" s="287"/>
    </row>
    <row r="41" spans="1:31" ht="151.5" customHeight="1">
      <c r="A41" s="953"/>
      <c r="B41" s="955"/>
      <c r="C41" s="288" t="s">
        <v>10</v>
      </c>
      <c r="D41" s="104">
        <v>0.08</v>
      </c>
      <c r="E41" s="104">
        <v>0.08</v>
      </c>
      <c r="F41" s="104">
        <v>0.09</v>
      </c>
      <c r="G41" s="104">
        <v>0.08</v>
      </c>
      <c r="H41" s="104">
        <v>0.08</v>
      </c>
      <c r="I41" s="104">
        <v>0.09</v>
      </c>
      <c r="J41" s="104">
        <v>0.08</v>
      </c>
      <c r="K41" s="104">
        <v>0.08</v>
      </c>
      <c r="L41" s="108"/>
      <c r="M41" s="108"/>
      <c r="N41" s="108"/>
      <c r="O41" s="108"/>
      <c r="P41" s="289">
        <f t="shared" si="2"/>
        <v>0.6599999999999999</v>
      </c>
      <c r="Q41" s="960" t="s">
        <v>962</v>
      </c>
      <c r="R41" s="961"/>
      <c r="S41" s="961"/>
      <c r="T41" s="961"/>
      <c r="U41" s="961"/>
      <c r="V41" s="961"/>
      <c r="W41" s="961"/>
      <c r="X41" s="961"/>
      <c r="Y41" s="961"/>
      <c r="Z41" s="961"/>
      <c r="AA41" s="961"/>
      <c r="AB41" s="961"/>
      <c r="AC41" s="961"/>
      <c r="AD41" s="1156"/>
      <c r="AE41" s="287"/>
    </row>
    <row r="42" spans="1:31" ht="109.5" customHeight="1">
      <c r="A42" s="952" t="s">
        <v>627</v>
      </c>
      <c r="B42" s="954">
        <v>0.05</v>
      </c>
      <c r="C42" s="290" t="s">
        <v>9</v>
      </c>
      <c r="D42" s="107">
        <v>0.08</v>
      </c>
      <c r="E42" s="107">
        <v>0.08</v>
      </c>
      <c r="F42" s="107">
        <v>0.09</v>
      </c>
      <c r="G42" s="107">
        <v>0.08</v>
      </c>
      <c r="H42" s="107">
        <v>0.08</v>
      </c>
      <c r="I42" s="107">
        <v>0.09</v>
      </c>
      <c r="J42" s="107">
        <v>0.08</v>
      </c>
      <c r="K42" s="107">
        <v>0.08</v>
      </c>
      <c r="L42" s="107">
        <v>0.09</v>
      </c>
      <c r="M42" s="107">
        <v>0.08</v>
      </c>
      <c r="N42" s="107">
        <v>0.08</v>
      </c>
      <c r="O42" s="107">
        <v>0.09</v>
      </c>
      <c r="P42" s="289">
        <f t="shared" si="2"/>
        <v>0.9999999999999998</v>
      </c>
      <c r="Q42" s="957" t="s">
        <v>963</v>
      </c>
      <c r="R42" s="958"/>
      <c r="S42" s="958"/>
      <c r="T42" s="958"/>
      <c r="U42" s="958"/>
      <c r="V42" s="958"/>
      <c r="W42" s="958"/>
      <c r="X42" s="958"/>
      <c r="Y42" s="958"/>
      <c r="Z42" s="958"/>
      <c r="AA42" s="958"/>
      <c r="AB42" s="958"/>
      <c r="AC42" s="958"/>
      <c r="AD42" s="959"/>
      <c r="AE42" s="287"/>
    </row>
    <row r="43" spans="1:31" ht="109.5" customHeight="1" thickBot="1">
      <c r="A43" s="963"/>
      <c r="B43" s="964"/>
      <c r="C43" s="285" t="s">
        <v>10</v>
      </c>
      <c r="D43" s="110">
        <v>0.08</v>
      </c>
      <c r="E43" s="110">
        <v>0.08</v>
      </c>
      <c r="F43" s="110">
        <v>0.09</v>
      </c>
      <c r="G43" s="110">
        <v>0.08</v>
      </c>
      <c r="H43" s="110">
        <v>0.08</v>
      </c>
      <c r="I43" s="110">
        <v>0.09</v>
      </c>
      <c r="J43" s="110">
        <v>0.08</v>
      </c>
      <c r="K43" s="110">
        <v>0.08</v>
      </c>
      <c r="L43" s="111"/>
      <c r="M43" s="111"/>
      <c r="N43" s="111"/>
      <c r="O43" s="111"/>
      <c r="P43" s="291">
        <f t="shared" si="2"/>
        <v>0.6599999999999999</v>
      </c>
      <c r="Q43" s="978"/>
      <c r="R43" s="1154"/>
      <c r="S43" s="1154"/>
      <c r="T43" s="1154"/>
      <c r="U43" s="1154"/>
      <c r="V43" s="1154"/>
      <c r="W43" s="1154"/>
      <c r="X43" s="1154"/>
      <c r="Y43" s="1154"/>
      <c r="Z43" s="1154"/>
      <c r="AA43" s="1154"/>
      <c r="AB43" s="1154"/>
      <c r="AC43" s="1154"/>
      <c r="AD43" s="980"/>
      <c r="AE43" s="287"/>
    </row>
  </sheetData>
  <sheetProtection/>
  <mergeCells count="80">
    <mergeCell ref="A40:A41"/>
    <mergeCell ref="B40:B41"/>
    <mergeCell ref="A42:A43"/>
    <mergeCell ref="B42:B43"/>
    <mergeCell ref="Q40:AD40"/>
    <mergeCell ref="Q41:AD41"/>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42 R38:AD39 Q38:Q40 AA34 Q34 W34 T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Zareth Ivana Doncel Baracaldo</cp:lastModifiedBy>
  <cp:lastPrinted>2023-09-08T03:49:30Z</cp:lastPrinted>
  <dcterms:created xsi:type="dcterms:W3CDTF">2011-04-26T22:16:52Z</dcterms:created>
  <dcterms:modified xsi:type="dcterms:W3CDTF">2023-09-08T03:57:41Z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