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4.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omments5.xml" ContentType="application/vnd.openxmlformats-officedocument.spreadsheetml.comments+xml"/>
  <Override PartName="/xl/customProperty6.bin" ContentType="application/vnd.openxmlformats-officedocument.spreadsheetml.customProperty"/>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ustomProperty7.bin" ContentType="application/vnd.openxmlformats-officedocument.spreadsheetml.customProperty"/>
  <Override PartName="/xl/drawings/drawing9.xml" ContentType="application/vnd.openxmlformats-officedocument.drawing+xml"/>
  <Override PartName="/xl/comments9.xml" ContentType="application/vnd.openxmlformats-officedocument.spreadsheetml.comments+xml"/>
  <Override PartName="/xl/customProperty8.bin" ContentType="application/vnd.openxmlformats-officedocument.spreadsheetml.customProperty"/>
  <Override PartName="/xl/drawings/drawing10.xml" ContentType="application/vnd.openxmlformats-officedocument.drawing+xml"/>
  <Override PartName="/xl/comments10.xml" ContentType="application/vnd.openxmlformats-officedocument.spreadsheetml.comments+xml"/>
  <Override PartName="/xl/customProperty9.bin" ContentType="application/vnd.openxmlformats-officedocument.spreadsheetml.customProperty"/>
  <Override PartName="/xl/comments11.xml" ContentType="application/vnd.openxmlformats-officedocument.spreadsheetml.comments+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18/PLAN DE ACCIÓN/"/>
    </mc:Choice>
  </mc:AlternateContent>
  <xr:revisionPtr revIDLastSave="12" documentId="8_{DDF188F5-CF71-B34D-B501-ACFCB8A70176}" xr6:coauthVersionLast="47" xr6:coauthVersionMax="47" xr10:uidLastSave="{B97C9825-3415-4DAB-971E-37C5A3089FF9}"/>
  <bookViews>
    <workbookView xWindow="-120" yWindow="-120" windowWidth="20730" windowHeight="11040" tabRatio="810" activeTab="3" xr2:uid="{00000000-000D-0000-FFFF-FFFF00000000}"/>
  </bookViews>
  <sheets>
    <sheet name="Meta 1" sheetId="40" r:id="rId1"/>
    <sheet name="Meta 2" sheetId="41" r:id="rId2"/>
    <sheet name="Meta 3" sheetId="46" r:id="rId3"/>
    <sheet name="Meta 4" sheetId="42" r:id="rId4"/>
    <sheet name="Meta 5" sheetId="43" state="hidden" r:id="rId5"/>
    <sheet name="Meta 6" sheetId="45" state="hidden" r:id="rId6"/>
    <sheet name="Meta 5." sheetId="47" r:id="rId7"/>
    <sheet name="Meta 6." sheetId="48" r:id="rId8"/>
    <sheet name="Meta 7" sheetId="44" r:id="rId9"/>
    <sheet name="Meta 1..n" sheetId="1" state="hidden" r:id="rId10"/>
    <sheet name="Indicadores PA" sheetId="36" r:id="rId11"/>
    <sheet name="Territorialización PA" sheetId="37" r:id="rId12"/>
    <sheet name="Generalidades" sheetId="38" r:id="rId13"/>
    <sheet name="Instructivo" sheetId="39" r:id="rId14"/>
    <sheet name="Hoja13" sheetId="32" state="hidden" r:id="rId15"/>
    <sheet name="Hoja1" sheetId="20" state="hidden" r:id="rId16"/>
  </sheets>
  <definedNames>
    <definedName name="_xlnm._FilterDatabase" localSheetId="10" hidden="1">'Indicadores PA'!$A$12:$AY$12</definedName>
    <definedName name="_xlnm.Print_Area" localSheetId="0">'Meta 1'!$A$1:$AD$41</definedName>
    <definedName name="_xlnm.Print_Area" localSheetId="1">'Meta 2'!$A$1:$AD$43</definedName>
    <definedName name="_xlnm.Print_Area" localSheetId="2">'Meta 3'!$A$1:$AD$43</definedName>
    <definedName name="_xlnm.Print_Area" localSheetId="3">'Meta 4'!$A$1:$AD$43</definedName>
    <definedName name="_xlnm.Print_Area" localSheetId="4">'Meta 5'!$A$1:$AD$39</definedName>
    <definedName name="_xlnm.Print_Area" localSheetId="6">'Meta 5.'!$A$1:$AD$39</definedName>
    <definedName name="_xlnm.Print_Area" localSheetId="5">'Meta 6'!$A$1:$AD$43</definedName>
    <definedName name="_xlnm.Print_Area" localSheetId="7">'Meta 6.'!$A$1:$AD$43</definedName>
    <definedName name="_xlnm.Print_Area" localSheetId="8">'Meta 7'!$A$1:$AD$41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9" i="36" l="1"/>
  <c r="AT19" i="36"/>
  <c r="AU35" i="36"/>
  <c r="AT35" i="36"/>
  <c r="AT34" i="36"/>
  <c r="P39" i="47"/>
  <c r="AF20" i="40"/>
  <c r="AF19" i="40"/>
  <c r="AF18" i="40"/>
  <c r="P35" i="41" l="1"/>
  <c r="V24" i="44" l="1"/>
  <c r="V22" i="44"/>
  <c r="V24" i="48"/>
  <c r="V22" i="48"/>
  <c r="V24" i="47"/>
  <c r="V22" i="47"/>
  <c r="V24" i="42"/>
  <c r="V22" i="42"/>
  <c r="H24" i="42"/>
  <c r="V24" i="46"/>
  <c r="V22" i="46"/>
  <c r="V24" i="41"/>
  <c r="V22" i="41"/>
  <c r="V24" i="40"/>
  <c r="V22" i="40"/>
  <c r="AC22" i="47"/>
  <c r="AC22" i="41"/>
  <c r="H24" i="46" l="1"/>
  <c r="O25" i="40"/>
  <c r="AL16" i="36"/>
  <c r="AT16" i="36" s="1"/>
  <c r="AU16" i="36" s="1"/>
  <c r="G60" i="37"/>
  <c r="P40" i="46"/>
  <c r="P42" i="48"/>
  <c r="AK16" i="36"/>
  <c r="B61" i="48"/>
  <c r="A61" i="48"/>
  <c r="B59" i="48"/>
  <c r="A59" i="48"/>
  <c r="B57" i="48"/>
  <c r="A57" i="48"/>
  <c r="P43" i="48"/>
  <c r="P41" i="48"/>
  <c r="P40" i="48"/>
  <c r="E59" i="48" s="1"/>
  <c r="P39" i="48"/>
  <c r="P38" i="48"/>
  <c r="H58" i="48" s="1"/>
  <c r="H65" i="48" s="1"/>
  <c r="H66" i="48" s="1"/>
  <c r="M58" i="48"/>
  <c r="P30" i="48"/>
  <c r="AC25" i="48"/>
  <c r="AD25" i="48" s="1"/>
  <c r="O25" i="48"/>
  <c r="AB24" i="48"/>
  <c r="AA24" i="48"/>
  <c r="Z24" i="48"/>
  <c r="Y24" i="48"/>
  <c r="X24" i="48"/>
  <c r="W24" i="48"/>
  <c r="U24" i="48"/>
  <c r="T24" i="48"/>
  <c r="D24" i="48"/>
  <c r="C24" i="48"/>
  <c r="O24" i="48"/>
  <c r="P25" i="48" s="1"/>
  <c r="AC23" i="48"/>
  <c r="O23" i="48"/>
  <c r="T22" i="48"/>
  <c r="AC22" i="48" s="1"/>
  <c r="AD23" i="48" s="1"/>
  <c r="O22" i="48"/>
  <c r="B47" i="47"/>
  <c r="A47" i="47"/>
  <c r="P30" i="47"/>
  <c r="AC25" i="47"/>
  <c r="AD25" i="47" s="1"/>
  <c r="O25" i="47"/>
  <c r="P25" i="47" s="1"/>
  <c r="D24" i="47"/>
  <c r="O24" i="47"/>
  <c r="AA24" i="47"/>
  <c r="U24" i="47"/>
  <c r="AC24" i="47" s="1"/>
  <c r="W24" i="47"/>
  <c r="Y24" i="47"/>
  <c r="AC23" i="47"/>
  <c r="AD23" i="47" s="1"/>
  <c r="O23" i="47"/>
  <c r="O22" i="47"/>
  <c r="X15" i="36"/>
  <c r="Z26" i="36"/>
  <c r="Z28" i="36"/>
  <c r="BA14" i="36"/>
  <c r="O38" i="43"/>
  <c r="P38" i="43" s="1"/>
  <c r="AT18" i="36"/>
  <c r="AU18" i="36" s="1"/>
  <c r="BA19" i="36"/>
  <c r="BA13" i="36"/>
  <c r="BA18" i="36"/>
  <c r="BA17" i="36"/>
  <c r="Z27" i="36"/>
  <c r="O60" i="48"/>
  <c r="H60" i="48"/>
  <c r="G60" i="48"/>
  <c r="N59" i="48"/>
  <c r="M59" i="48"/>
  <c r="F59" i="48"/>
  <c r="O62" i="48"/>
  <c r="I62" i="48"/>
  <c r="H62" i="48"/>
  <c r="O61" i="48"/>
  <c r="N61" i="48"/>
  <c r="G61" i="48"/>
  <c r="F61" i="48"/>
  <c r="J62" i="48"/>
  <c r="L57" i="48"/>
  <c r="F57" i="48"/>
  <c r="N57" i="48"/>
  <c r="N68" i="48" s="1"/>
  <c r="N69" i="48" s="1"/>
  <c r="O59" i="48"/>
  <c r="I60" i="48"/>
  <c r="H61" i="48"/>
  <c r="O57" i="48"/>
  <c r="O68" i="48" s="1"/>
  <c r="O69" i="48" s="1"/>
  <c r="I58" i="48"/>
  <c r="I65" i="48" s="1"/>
  <c r="I66" i="48" s="1"/>
  <c r="H59" i="48"/>
  <c r="J60" i="48"/>
  <c r="I61" i="48"/>
  <c r="K62" i="48"/>
  <c r="H57" i="48"/>
  <c r="H68" i="48" s="1"/>
  <c r="H69" i="48" s="1"/>
  <c r="J58" i="48"/>
  <c r="I59" i="48"/>
  <c r="K60" i="48"/>
  <c r="J59" i="48"/>
  <c r="D60" i="48"/>
  <c r="L60" i="48"/>
  <c r="K61" i="48"/>
  <c r="E62" i="48"/>
  <c r="M62" i="48"/>
  <c r="M57" i="48"/>
  <c r="M68" i="48" s="1"/>
  <c r="M69" i="48" s="1"/>
  <c r="J57" i="48"/>
  <c r="D58" i="48"/>
  <c r="L58" i="48"/>
  <c r="K59" i="48"/>
  <c r="E60" i="48"/>
  <c r="D61" i="48"/>
  <c r="L61" i="48"/>
  <c r="F62" i="48"/>
  <c r="N62" i="48"/>
  <c r="D57" i="48"/>
  <c r="O58" i="48"/>
  <c r="O65" i="48" s="1"/>
  <c r="O66" i="48" s="1"/>
  <c r="J61" i="48"/>
  <c r="D62" i="48"/>
  <c r="L62" i="48"/>
  <c r="D59" i="48"/>
  <c r="L59" i="48"/>
  <c r="F60" i="48"/>
  <c r="E61" i="48"/>
  <c r="M61" i="48"/>
  <c r="G62" i="48"/>
  <c r="O48" i="47"/>
  <c r="O55" i="47"/>
  <c r="O56" i="47"/>
  <c r="O35" i="47" s="1"/>
  <c r="G48" i="47"/>
  <c r="G55" i="47"/>
  <c r="G56" i="47" s="1"/>
  <c r="M47" i="47"/>
  <c r="M58" i="47" s="1"/>
  <c r="M59" i="47" s="1"/>
  <c r="E47" i="47"/>
  <c r="E58" i="47" s="1"/>
  <c r="E59" i="47" s="1"/>
  <c r="D48" i="47"/>
  <c r="D55" i="47" s="1"/>
  <c r="D56" i="47" s="1"/>
  <c r="I48" i="47"/>
  <c r="I55" i="47"/>
  <c r="I56" i="47" s="1"/>
  <c r="H48" i="47"/>
  <c r="F47" i="47"/>
  <c r="F58" i="47" s="1"/>
  <c r="F59" i="47" s="1"/>
  <c r="N48" i="47"/>
  <c r="N55" i="47"/>
  <c r="N56" i="47"/>
  <c r="N35" i="47" s="1"/>
  <c r="F48" i="47"/>
  <c r="F55" i="47"/>
  <c r="F56" i="47" s="1"/>
  <c r="L47" i="47"/>
  <c r="L58" i="47" s="1"/>
  <c r="L59" i="47" s="1"/>
  <c r="D47" i="47"/>
  <c r="D58" i="47" s="1"/>
  <c r="D59" i="47" s="1"/>
  <c r="H47" i="47"/>
  <c r="H58" i="47" s="1"/>
  <c r="H59" i="47" s="1"/>
  <c r="G47" i="47"/>
  <c r="G58" i="47"/>
  <c r="G59" i="47" s="1"/>
  <c r="N47" i="47"/>
  <c r="N58" i="47"/>
  <c r="N59" i="47" s="1"/>
  <c r="M48" i="47"/>
  <c r="M55" i="47"/>
  <c r="M56" i="47" s="1"/>
  <c r="M35" i="47" s="1"/>
  <c r="E48" i="47"/>
  <c r="E55" i="47"/>
  <c r="E56" i="47"/>
  <c r="K47" i="47"/>
  <c r="K58" i="47" s="1"/>
  <c r="K59" i="47" s="1"/>
  <c r="J47" i="47"/>
  <c r="J58" i="47"/>
  <c r="J59" i="47" s="1"/>
  <c r="J48" i="47"/>
  <c r="J55" i="47"/>
  <c r="J56" i="47" s="1"/>
  <c r="J35" i="47" s="1"/>
  <c r="L48" i="47"/>
  <c r="L55" i="47" s="1"/>
  <c r="L56" i="47" s="1"/>
  <c r="L35" i="47" s="1"/>
  <c r="K48" i="47"/>
  <c r="K55" i="47"/>
  <c r="K56" i="47" s="1"/>
  <c r="K35" i="47" s="1"/>
  <c r="I47" i="47"/>
  <c r="I58" i="47" s="1"/>
  <c r="I59" i="47" s="1"/>
  <c r="O47" i="47"/>
  <c r="O58" i="47"/>
  <c r="O59" i="47"/>
  <c r="F68" i="48"/>
  <c r="F69" i="48" s="1"/>
  <c r="L65" i="48"/>
  <c r="L66" i="48" s="1"/>
  <c r="L68" i="48"/>
  <c r="L69" i="48" s="1"/>
  <c r="J68" i="48"/>
  <c r="J69" i="48" s="1"/>
  <c r="P61" i="48"/>
  <c r="R61" i="48" s="1"/>
  <c r="AU13" i="36"/>
  <c r="B59" i="44"/>
  <c r="A59" i="44"/>
  <c r="B57" i="44"/>
  <c r="A57" i="44"/>
  <c r="B61" i="45"/>
  <c r="A61" i="45"/>
  <c r="B59" i="45"/>
  <c r="A59" i="45"/>
  <c r="B57" i="45"/>
  <c r="A57" i="45"/>
  <c r="B57" i="43"/>
  <c r="A57" i="43"/>
  <c r="B61" i="42"/>
  <c r="A61" i="42"/>
  <c r="B59" i="42"/>
  <c r="A59" i="42"/>
  <c r="B57" i="42"/>
  <c r="A57" i="42"/>
  <c r="B61" i="46"/>
  <c r="A61" i="46"/>
  <c r="B59" i="46"/>
  <c r="A59" i="46"/>
  <c r="B57" i="46"/>
  <c r="A57" i="46"/>
  <c r="B59" i="40"/>
  <c r="A59" i="40"/>
  <c r="B57" i="40"/>
  <c r="A57" i="40"/>
  <c r="P42" i="46"/>
  <c r="H62" i="46" s="1"/>
  <c r="C24" i="44"/>
  <c r="C24" i="45"/>
  <c r="O24" i="45" s="1"/>
  <c r="C24" i="42"/>
  <c r="C24" i="46"/>
  <c r="AB24" i="44"/>
  <c r="AA24" i="44"/>
  <c r="Z24" i="44"/>
  <c r="Y24" i="44"/>
  <c r="X24" i="44"/>
  <c r="W24" i="44"/>
  <c r="U24" i="44"/>
  <c r="T24" i="44"/>
  <c r="S24" i="44"/>
  <c r="R24" i="44"/>
  <c r="Q22" i="44"/>
  <c r="AC22" i="44" s="1"/>
  <c r="T22" i="44"/>
  <c r="AA24" i="45"/>
  <c r="Y24" i="45"/>
  <c r="W24" i="45"/>
  <c r="V22" i="45"/>
  <c r="U24" i="45"/>
  <c r="T22" i="45"/>
  <c r="AC22" i="45" s="1"/>
  <c r="AB24" i="45"/>
  <c r="Z24" i="45"/>
  <c r="X24" i="45"/>
  <c r="V24" i="45"/>
  <c r="T24" i="45"/>
  <c r="AA24" i="43"/>
  <c r="Y24" i="43"/>
  <c r="W24" i="43"/>
  <c r="V22" i="43"/>
  <c r="AC22" i="43"/>
  <c r="U24" i="43"/>
  <c r="AB24" i="42"/>
  <c r="AA24" i="42"/>
  <c r="Z24" i="42"/>
  <c r="Y24" i="42"/>
  <c r="X24" i="42"/>
  <c r="W24" i="42"/>
  <c r="U24" i="42"/>
  <c r="T24" i="42"/>
  <c r="S22" i="42"/>
  <c r="AC22" i="42" s="1"/>
  <c r="AD23" i="42" s="1"/>
  <c r="T22" i="42"/>
  <c r="AB24" i="46"/>
  <c r="AA24" i="46"/>
  <c r="Z24" i="46"/>
  <c r="Y24" i="46"/>
  <c r="X24" i="46"/>
  <c r="W24" i="46"/>
  <c r="U24" i="46"/>
  <c r="T24" i="46"/>
  <c r="S22" i="46"/>
  <c r="AC22" i="46" s="1"/>
  <c r="T22" i="46"/>
  <c r="AA24" i="41"/>
  <c r="Y24" i="41"/>
  <c r="W24" i="41"/>
  <c r="U24" i="41"/>
  <c r="AA24" i="40"/>
  <c r="Y24" i="40"/>
  <c r="W24" i="40"/>
  <c r="AC22" i="40"/>
  <c r="U24" i="40"/>
  <c r="D24" i="44"/>
  <c r="O24" i="44"/>
  <c r="D24" i="45"/>
  <c r="D24" i="43"/>
  <c r="O24" i="43" s="1"/>
  <c r="P25" i="43" s="1"/>
  <c r="D24" i="42"/>
  <c r="D24" i="46"/>
  <c r="D24" i="41"/>
  <c r="O24" i="41" s="1"/>
  <c r="P25" i="41" s="1"/>
  <c r="D24" i="40"/>
  <c r="O24" i="40" s="1"/>
  <c r="P25" i="40" s="1"/>
  <c r="F24" i="42"/>
  <c r="F24" i="46"/>
  <c r="E24" i="42"/>
  <c r="E24" i="46"/>
  <c r="O24" i="46" s="1"/>
  <c r="P25" i="46" s="1"/>
  <c r="G24" i="42"/>
  <c r="G24" i="46"/>
  <c r="P42" i="41"/>
  <c r="P43" i="46"/>
  <c r="P41" i="46"/>
  <c r="N59" i="46"/>
  <c r="P39" i="46"/>
  <c r="P38" i="46"/>
  <c r="P30" i="46"/>
  <c r="O25" i="46"/>
  <c r="AC25" i="46"/>
  <c r="AC23" i="46"/>
  <c r="O23" i="46"/>
  <c r="O22" i="46"/>
  <c r="P43" i="45"/>
  <c r="P42" i="45"/>
  <c r="P41" i="45"/>
  <c r="P40" i="45"/>
  <c r="J59" i="45"/>
  <c r="P39" i="45"/>
  <c r="P38" i="45"/>
  <c r="P30" i="45"/>
  <c r="AC25" i="45"/>
  <c r="O25" i="45"/>
  <c r="P25" i="45" s="1"/>
  <c r="AC23" i="45"/>
  <c r="AD25" i="45" s="1"/>
  <c r="O23" i="45"/>
  <c r="P23" i="45" s="1"/>
  <c r="O22" i="45"/>
  <c r="P41" i="44"/>
  <c r="P40" i="44"/>
  <c r="E60" i="44" s="1"/>
  <c r="P39" i="44"/>
  <c r="P38" i="44"/>
  <c r="N58" i="44"/>
  <c r="N65" i="44" s="1"/>
  <c r="N66" i="44" s="1"/>
  <c r="N35" i="44" s="1"/>
  <c r="P30" i="44"/>
  <c r="AC25" i="44"/>
  <c r="O25" i="44"/>
  <c r="AC23" i="44"/>
  <c r="AD23" i="44" s="1"/>
  <c r="O23" i="44"/>
  <c r="O22" i="44"/>
  <c r="P39" i="43"/>
  <c r="P30" i="43"/>
  <c r="AC25" i="43"/>
  <c r="AD25" i="43" s="1"/>
  <c r="O25" i="43"/>
  <c r="AC23" i="43"/>
  <c r="O23" i="43"/>
  <c r="P23" i="43"/>
  <c r="O22" i="43"/>
  <c r="P43" i="42"/>
  <c r="P42" i="42"/>
  <c r="O61" i="42"/>
  <c r="P41" i="42"/>
  <c r="P40" i="42"/>
  <c r="P39" i="42"/>
  <c r="P38" i="42"/>
  <c r="D58" i="42" s="1"/>
  <c r="D65" i="42" s="1"/>
  <c r="D66" i="42" s="1"/>
  <c r="D35" i="42" s="1"/>
  <c r="P30" i="42"/>
  <c r="AC25" i="42"/>
  <c r="AD25" i="42" s="1"/>
  <c r="O25" i="42"/>
  <c r="AC23" i="42"/>
  <c r="O23" i="42"/>
  <c r="O22" i="42"/>
  <c r="P43" i="41"/>
  <c r="P41" i="41"/>
  <c r="P40" i="41"/>
  <c r="P39" i="41"/>
  <c r="P38" i="41"/>
  <c r="P30" i="41"/>
  <c r="AC25" i="41"/>
  <c r="O25" i="41"/>
  <c r="AC23" i="41"/>
  <c r="O23" i="41"/>
  <c r="O22" i="41"/>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Y60" i="37" s="1"/>
  <c r="AX39" i="37"/>
  <c r="AX60" i="37" s="1"/>
  <c r="S39" i="37"/>
  <c r="R39" i="37"/>
  <c r="R60" i="37" s="1"/>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32" i="37" s="1"/>
  <c r="AY18" i="37"/>
  <c r="AY19" i="37"/>
  <c r="AY20" i="37"/>
  <c r="AY21" i="37"/>
  <c r="AY22" i="37"/>
  <c r="AY23" i="37"/>
  <c r="AY24" i="37"/>
  <c r="AY25" i="37"/>
  <c r="AY26" i="37"/>
  <c r="AY27" i="37"/>
  <c r="AY28" i="37"/>
  <c r="AY29" i="37"/>
  <c r="AY30" i="37"/>
  <c r="AY31" i="37"/>
  <c r="AY11" i="37"/>
  <c r="S12" i="37"/>
  <c r="S32" i="37" s="1"/>
  <c r="S13" i="37"/>
  <c r="S14" i="37"/>
  <c r="S15" i="37"/>
  <c r="S16" i="37"/>
  <c r="S17" i="37"/>
  <c r="S18" i="37"/>
  <c r="S19" i="37"/>
  <c r="S20" i="37"/>
  <c r="S21" i="37"/>
  <c r="S22" i="37"/>
  <c r="S23" i="37"/>
  <c r="S24" i="37"/>
  <c r="S25" i="37"/>
  <c r="S26" i="37"/>
  <c r="S27" i="37"/>
  <c r="S28" i="37"/>
  <c r="S29" i="37"/>
  <c r="S30" i="37"/>
  <c r="S31" i="37"/>
  <c r="S11" i="37"/>
  <c r="J32" i="37"/>
  <c r="K32" i="37"/>
  <c r="L32" i="37"/>
  <c r="AX14" i="37"/>
  <c r="AX32" i="37" s="1"/>
  <c r="AX15" i="37"/>
  <c r="AX16" i="37"/>
  <c r="AX17" i="37"/>
  <c r="AX18" i="37"/>
  <c r="AX19" i="37"/>
  <c r="AX20" i="37"/>
  <c r="AX21" i="37"/>
  <c r="AX22" i="37"/>
  <c r="AT14" i="36"/>
  <c r="AU14" i="36"/>
  <c r="AT17" i="36"/>
  <c r="AU17" i="36" s="1"/>
  <c r="O23" i="40"/>
  <c r="T32" i="37"/>
  <c r="U32" i="37"/>
  <c r="V32" i="37"/>
  <c r="W32" i="37"/>
  <c r="X32" i="37"/>
  <c r="AZ32" i="37"/>
  <c r="BA32" i="37"/>
  <c r="BB32" i="37"/>
  <c r="BC32" i="37"/>
  <c r="BD32" i="37"/>
  <c r="BE32" i="37"/>
  <c r="AC25" i="40"/>
  <c r="AC23" i="40"/>
  <c r="AD25" i="40" s="1"/>
  <c r="O22" i="40"/>
  <c r="P41" i="40"/>
  <c r="P40" i="40"/>
  <c r="P39" i="40"/>
  <c r="P38" i="40"/>
  <c r="N57" i="40" s="1"/>
  <c r="O57" i="40"/>
  <c r="P30" i="40"/>
  <c r="P28" i="1"/>
  <c r="P24" i="1"/>
  <c r="AX12" i="37"/>
  <c r="AX13" i="37"/>
  <c r="AX23" i="37"/>
  <c r="AX24" i="37"/>
  <c r="AX25" i="37"/>
  <c r="AX26" i="37"/>
  <c r="AX27" i="37"/>
  <c r="AX28" i="37"/>
  <c r="AX29" i="37"/>
  <c r="AX30" i="37"/>
  <c r="AX31" i="37"/>
  <c r="AX11" i="37"/>
  <c r="R12" i="37"/>
  <c r="R32" i="37" s="1"/>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H57" i="46"/>
  <c r="D57" i="46"/>
  <c r="D68" i="46" s="1"/>
  <c r="D69" i="46" s="1"/>
  <c r="K58" i="40"/>
  <c r="D57" i="40"/>
  <c r="L58" i="40"/>
  <c r="H57" i="42"/>
  <c r="J57" i="40"/>
  <c r="E59" i="46"/>
  <c r="E58" i="42"/>
  <c r="N59" i="45"/>
  <c r="E58" i="40"/>
  <c r="O59" i="46"/>
  <c r="K58" i="43"/>
  <c r="K65" i="43"/>
  <c r="K66" i="43" s="1"/>
  <c r="K35" i="43"/>
  <c r="I58" i="43"/>
  <c r="I65" i="43"/>
  <c r="I66" i="43" s="1"/>
  <c r="I35" i="43" s="1"/>
  <c r="I57" i="40"/>
  <c r="D58" i="40"/>
  <c r="O58" i="40"/>
  <c r="N58" i="40"/>
  <c r="F58" i="40"/>
  <c r="O58" i="43"/>
  <c r="O65" i="43" s="1"/>
  <c r="O66" i="43" s="1"/>
  <c r="O35" i="43" s="1"/>
  <c r="O58" i="46"/>
  <c r="J59" i="44"/>
  <c r="F58" i="46"/>
  <c r="N58" i="46"/>
  <c r="D57" i="42"/>
  <c r="E59" i="44"/>
  <c r="G57" i="46"/>
  <c r="K58" i="42"/>
  <c r="L60" i="44"/>
  <c r="E57" i="40"/>
  <c r="M57" i="40"/>
  <c r="I58" i="46"/>
  <c r="F61" i="42"/>
  <c r="P61" i="42" s="1"/>
  <c r="R61" i="42" s="1"/>
  <c r="G58" i="40"/>
  <c r="F59" i="44"/>
  <c r="L59" i="44"/>
  <c r="H59" i="44"/>
  <c r="M59" i="44"/>
  <c r="M57" i="42"/>
  <c r="L57" i="42"/>
  <c r="M58" i="42"/>
  <c r="M61" i="46"/>
  <c r="G61" i="46"/>
  <c r="J60" i="44"/>
  <c r="O59" i="44"/>
  <c r="F60" i="40"/>
  <c r="E61" i="42"/>
  <c r="I59" i="44"/>
  <c r="P59" i="44" s="1"/>
  <c r="R59" i="44" s="1"/>
  <c r="K62" i="46"/>
  <c r="F62" i="46"/>
  <c r="L57" i="40"/>
  <c r="J58" i="46"/>
  <c r="K58" i="46"/>
  <c r="F59" i="46"/>
  <c r="H60" i="46"/>
  <c r="D60" i="46"/>
  <c r="N60" i="46"/>
  <c r="O60" i="46"/>
  <c r="L59" i="46"/>
  <c r="M62" i="45"/>
  <c r="D62" i="45"/>
  <c r="G61" i="45"/>
  <c r="J62" i="45"/>
  <c r="I62" i="45"/>
  <c r="H62" i="45"/>
  <c r="L61" i="45"/>
  <c r="G62" i="45"/>
  <c r="K61" i="45"/>
  <c r="E62" i="45"/>
  <c r="I61" i="45"/>
  <c r="D59" i="46"/>
  <c r="F57" i="40"/>
  <c r="K57" i="40"/>
  <c r="G57" i="40"/>
  <c r="H57" i="40"/>
  <c r="M58" i="40"/>
  <c r="J58" i="40"/>
  <c r="O58" i="42"/>
  <c r="M60" i="44"/>
  <c r="M65" i="44" s="1"/>
  <c r="M66" i="44" s="1"/>
  <c r="M35" i="44" s="1"/>
  <c r="N57" i="42"/>
  <c r="E57" i="42"/>
  <c r="O57" i="42"/>
  <c r="D59" i="44"/>
  <c r="F57" i="42"/>
  <c r="F58" i="42"/>
  <c r="G59" i="44"/>
  <c r="G57" i="42"/>
  <c r="G68" i="42" s="1"/>
  <c r="G69" i="42" s="1"/>
  <c r="G34" i="42" s="1"/>
  <c r="H58" i="42"/>
  <c r="N59" i="44"/>
  <c r="I57" i="42"/>
  <c r="J58" i="42"/>
  <c r="F60" i="44"/>
  <c r="J57" i="42"/>
  <c r="L58" i="42"/>
  <c r="G60" i="44"/>
  <c r="G65" i="44" s="1"/>
  <c r="G66" i="44" s="1"/>
  <c r="G35" i="44" s="1"/>
  <c r="K57" i="42"/>
  <c r="N58" i="42"/>
  <c r="F58" i="45"/>
  <c r="M58" i="45"/>
  <c r="E58" i="45"/>
  <c r="O58" i="45"/>
  <c r="I57" i="45"/>
  <c r="L58" i="45"/>
  <c r="E57" i="45"/>
  <c r="N58" i="45"/>
  <c r="M57" i="45"/>
  <c r="L57" i="45"/>
  <c r="H57" i="45"/>
  <c r="D58" i="45"/>
  <c r="G57" i="45"/>
  <c r="F57" i="45"/>
  <c r="G58" i="45"/>
  <c r="O57" i="43"/>
  <c r="O68" i="43" s="1"/>
  <c r="O69" i="43"/>
  <c r="O34" i="43" s="1"/>
  <c r="N57" i="43"/>
  <c r="N68" i="43" s="1"/>
  <c r="N69" i="43"/>
  <c r="N34" i="43" s="1"/>
  <c r="L58" i="43"/>
  <c r="L65" i="43" s="1"/>
  <c r="L66" i="43" s="1"/>
  <c r="L35" i="43" s="1"/>
  <c r="F58" i="43"/>
  <c r="F65" i="43" s="1"/>
  <c r="F66" i="43" s="1"/>
  <c r="F35" i="43" s="1"/>
  <c r="H57" i="43"/>
  <c r="H68" i="43"/>
  <c r="H69" i="43" s="1"/>
  <c r="H34" i="43" s="1"/>
  <c r="G57" i="43"/>
  <c r="G68" i="43" s="1"/>
  <c r="G69" i="43" s="1"/>
  <c r="G34" i="43" s="1"/>
  <c r="M58" i="43"/>
  <c r="M65" i="43" s="1"/>
  <c r="M66" i="43" s="1"/>
  <c r="M35" i="43" s="1"/>
  <c r="D58" i="43"/>
  <c r="D65" i="43"/>
  <c r="D66" i="43" s="1"/>
  <c r="D35" i="43" s="1"/>
  <c r="L57" i="43"/>
  <c r="L68" i="43"/>
  <c r="L69" i="43" s="1"/>
  <c r="L34" i="43" s="1"/>
  <c r="K57" i="43"/>
  <c r="K68" i="43" s="1"/>
  <c r="K69" i="43" s="1"/>
  <c r="K34" i="43" s="1"/>
  <c r="H58" i="43"/>
  <c r="H65" i="43" s="1"/>
  <c r="H66" i="43"/>
  <c r="H35" i="43" s="1"/>
  <c r="D57" i="43"/>
  <c r="D68" i="43"/>
  <c r="D69" i="43" s="1"/>
  <c r="D34" i="43" s="1"/>
  <c r="M59" i="45"/>
  <c r="M68" i="45" s="1"/>
  <c r="M69" i="45" s="1"/>
  <c r="M34" i="45" s="1"/>
  <c r="L59" i="45"/>
  <c r="M60" i="45"/>
  <c r="O60" i="45"/>
  <c r="H60" i="45"/>
  <c r="G59" i="45"/>
  <c r="I60" i="45"/>
  <c r="K59" i="45"/>
  <c r="F59" i="45"/>
  <c r="K60" i="45"/>
  <c r="H59" i="45"/>
  <c r="D60" i="45"/>
  <c r="F60" i="45"/>
  <c r="F65" i="45" s="1"/>
  <c r="F66" i="45" s="1"/>
  <c r="F35" i="45" s="1"/>
  <c r="G60" i="45"/>
  <c r="I57" i="43"/>
  <c r="I68" i="43" s="1"/>
  <c r="I69" i="43"/>
  <c r="I34" i="43" s="1"/>
  <c r="E59" i="45"/>
  <c r="J58" i="43"/>
  <c r="J65" i="43" s="1"/>
  <c r="J66" i="43" s="1"/>
  <c r="J35" i="43" s="1"/>
  <c r="O60" i="44"/>
  <c r="H60" i="44"/>
  <c r="I60" i="44"/>
  <c r="N60" i="44"/>
  <c r="D60" i="44"/>
  <c r="K59" i="44"/>
  <c r="K60" i="44"/>
  <c r="J61" i="42"/>
  <c r="J68" i="42" s="1"/>
  <c r="J69" i="42" s="1"/>
  <c r="J34" i="42" s="1"/>
  <c r="O60" i="40"/>
  <c r="O65" i="40" s="1"/>
  <c r="O66" i="40" s="1"/>
  <c r="O35" i="40" s="1"/>
  <c r="L60" i="40"/>
  <c r="L65" i="40" s="1"/>
  <c r="L66" i="40" s="1"/>
  <c r="L35" i="40" s="1"/>
  <c r="J59" i="40"/>
  <c r="J68" i="40" s="1"/>
  <c r="J69" i="40" s="1"/>
  <c r="J34" i="40" s="1"/>
  <c r="I61" i="42"/>
  <c r="J62" i="42"/>
  <c r="H62" i="42"/>
  <c r="K62" i="42"/>
  <c r="D62" i="42"/>
  <c r="E62" i="42"/>
  <c r="H61" i="42"/>
  <c r="O57" i="44"/>
  <c r="O68" i="44"/>
  <c r="O69" i="44" s="1"/>
  <c r="O34" i="44" s="1"/>
  <c r="I57" i="44"/>
  <c r="I68" i="44" s="1"/>
  <c r="I69" i="44" s="1"/>
  <c r="I34" i="44" s="1"/>
  <c r="D57" i="44"/>
  <c r="D68" i="44" s="1"/>
  <c r="D69" i="44" s="1"/>
  <c r="L58" i="44"/>
  <c r="L65" i="44" s="1"/>
  <c r="L66" i="44" s="1"/>
  <c r="L35" i="44" s="1"/>
  <c r="M57" i="44"/>
  <c r="M68" i="44" s="1"/>
  <c r="M69" i="44" s="1"/>
  <c r="M34" i="44" s="1"/>
  <c r="G57" i="44"/>
  <c r="G68" i="44" s="1"/>
  <c r="G69" i="44" s="1"/>
  <c r="G34" i="44" s="1"/>
  <c r="J59" i="42"/>
  <c r="M60" i="42"/>
  <c r="L60" i="42"/>
  <c r="N59" i="42"/>
  <c r="N68" i="42" s="1"/>
  <c r="N69" i="42" s="1"/>
  <c r="N34" i="42" s="1"/>
  <c r="K59" i="42"/>
  <c r="M59" i="42"/>
  <c r="L59" i="42"/>
  <c r="G58" i="42"/>
  <c r="I58" i="42"/>
  <c r="F59" i="40"/>
  <c r="G59" i="40"/>
  <c r="G68" i="40" s="1"/>
  <c r="G69" i="40" s="1"/>
  <c r="G34" i="40" s="1"/>
  <c r="M59" i="40"/>
  <c r="M68" i="40" s="1"/>
  <c r="M69" i="40" s="1"/>
  <c r="M34" i="40" s="1"/>
  <c r="I60" i="40"/>
  <c r="AD25" i="44"/>
  <c r="AD25" i="46"/>
  <c r="AD23" i="46"/>
  <c r="AD25" i="41"/>
  <c r="AD23" i="41"/>
  <c r="L68" i="45"/>
  <c r="L69" i="45" s="1"/>
  <c r="L34" i="45"/>
  <c r="M65" i="45"/>
  <c r="M66" i="45"/>
  <c r="M35" i="45" s="1"/>
  <c r="G68" i="45"/>
  <c r="G69" i="45" s="1"/>
  <c r="G34" i="45" s="1"/>
  <c r="E68" i="45"/>
  <c r="E69" i="45" s="1"/>
  <c r="E34" i="45" s="1"/>
  <c r="O65" i="46"/>
  <c r="O66" i="46" s="1"/>
  <c r="O35" i="46" s="1"/>
  <c r="K61" i="46"/>
  <c r="L62" i="46"/>
  <c r="M62" i="46"/>
  <c r="G62" i="46"/>
  <c r="D61" i="46"/>
  <c r="O62" i="46"/>
  <c r="N62" i="46"/>
  <c r="I62" i="46"/>
  <c r="O61" i="46"/>
  <c r="J61" i="46"/>
  <c r="H61" i="46"/>
  <c r="I61" i="46"/>
  <c r="F61" i="46"/>
  <c r="D62" i="46"/>
  <c r="E61" i="46"/>
  <c r="G59" i="42"/>
  <c r="G60" i="42"/>
  <c r="J60" i="42"/>
  <c r="F60" i="42"/>
  <c r="D60" i="42"/>
  <c r="F59" i="42"/>
  <c r="H59" i="42"/>
  <c r="H68" i="42" s="1"/>
  <c r="H69" i="42" s="1"/>
  <c r="H34" i="42" s="1"/>
  <c r="E59" i="42"/>
  <c r="E68" i="42"/>
  <c r="E69" i="42" s="1"/>
  <c r="I59" i="42"/>
  <c r="H60" i="42"/>
  <c r="H65" i="42"/>
  <c r="H66" i="42" s="1"/>
  <c r="H35" i="42" s="1"/>
  <c r="D59" i="42"/>
  <c r="M58" i="44"/>
  <c r="I58" i="44"/>
  <c r="I65" i="44"/>
  <c r="I66" i="44" s="1"/>
  <c r="I35" i="44" s="1"/>
  <c r="J57" i="44"/>
  <c r="J68" i="44"/>
  <c r="J69" i="44" s="1"/>
  <c r="J34" i="44" s="1"/>
  <c r="K58" i="44"/>
  <c r="K65" i="44"/>
  <c r="K66" i="44" s="1"/>
  <c r="K35" i="44" s="1"/>
  <c r="G58" i="44"/>
  <c r="H57" i="44"/>
  <c r="H68" i="44"/>
  <c r="H69" i="44" s="1"/>
  <c r="H34" i="44" s="1"/>
  <c r="D58" i="44"/>
  <c r="D65" i="44" s="1"/>
  <c r="D66" i="44" s="1"/>
  <c r="H58" i="44"/>
  <c r="H65" i="44" s="1"/>
  <c r="H66" i="44" s="1"/>
  <c r="H35" i="44" s="1"/>
  <c r="K57" i="44"/>
  <c r="K68" i="44"/>
  <c r="K69" i="44" s="1"/>
  <c r="K34" i="44" s="1"/>
  <c r="N57" i="44"/>
  <c r="N68" i="44"/>
  <c r="N69" i="44"/>
  <c r="N34" i="44" s="1"/>
  <c r="F58" i="44"/>
  <c r="F65" i="44" s="1"/>
  <c r="F66" i="44" s="1"/>
  <c r="F35" i="44" s="1"/>
  <c r="F57" i="44"/>
  <c r="F68" i="44"/>
  <c r="F69" i="44"/>
  <c r="F34" i="44" s="1"/>
  <c r="E57" i="44"/>
  <c r="E68" i="44"/>
  <c r="E69" i="44" s="1"/>
  <c r="E34" i="44"/>
  <c r="N60" i="42"/>
  <c r="L61" i="46"/>
  <c r="O60" i="42"/>
  <c r="L57" i="44"/>
  <c r="L68" i="44" s="1"/>
  <c r="L69" i="44"/>
  <c r="L34" i="44" s="1"/>
  <c r="J62" i="46"/>
  <c r="J65" i="42"/>
  <c r="J66" i="42"/>
  <c r="J35" i="42" s="1"/>
  <c r="J58" i="44"/>
  <c r="J65" i="44" s="1"/>
  <c r="J66" i="44"/>
  <c r="J35" i="44" s="1"/>
  <c r="N61" i="46"/>
  <c r="O58" i="44"/>
  <c r="O65" i="44" s="1"/>
  <c r="O66" i="44" s="1"/>
  <c r="O35" i="44" s="1"/>
  <c r="I60" i="42"/>
  <c r="P57" i="40"/>
  <c r="K60" i="42"/>
  <c r="E58" i="44"/>
  <c r="E65" i="44"/>
  <c r="E66" i="44"/>
  <c r="E35" i="44"/>
  <c r="E62" i="46"/>
  <c r="G62" i="42"/>
  <c r="O62" i="42"/>
  <c r="N62" i="42"/>
  <c r="K61" i="42"/>
  <c r="I62" i="42"/>
  <c r="L61" i="42"/>
  <c r="L68" i="42" s="1"/>
  <c r="L69" i="42" s="1"/>
  <c r="M62" i="42"/>
  <c r="M65" i="42"/>
  <c r="M66" i="42" s="1"/>
  <c r="M35" i="42" s="1"/>
  <c r="G61" i="42"/>
  <c r="N61" i="42"/>
  <c r="M61" i="42"/>
  <c r="M68" i="42"/>
  <c r="M69" i="42"/>
  <c r="M34" i="42" s="1"/>
  <c r="F62" i="42"/>
  <c r="D61" i="42"/>
  <c r="L62" i="42"/>
  <c r="F61" i="45"/>
  <c r="P61" i="45" s="1"/>
  <c r="R61" i="45" s="1"/>
  <c r="H61" i="45"/>
  <c r="M61" i="45"/>
  <c r="K62" i="45"/>
  <c r="L62" i="45"/>
  <c r="D61" i="45"/>
  <c r="O62" i="45"/>
  <c r="O65" i="45" s="1"/>
  <c r="O66" i="45" s="1"/>
  <c r="O35" i="45" s="1"/>
  <c r="O61" i="45"/>
  <c r="F62" i="45"/>
  <c r="L60" i="46"/>
  <c r="K59" i="46"/>
  <c r="E60" i="46"/>
  <c r="F60" i="46"/>
  <c r="F65" i="46"/>
  <c r="F66" i="46"/>
  <c r="F35" i="46"/>
  <c r="H59" i="46"/>
  <c r="H68" i="46" s="1"/>
  <c r="H69" i="46" s="1"/>
  <c r="H34" i="46" s="1"/>
  <c r="G60" i="46"/>
  <c r="M59" i="46"/>
  <c r="J59" i="46"/>
  <c r="I59" i="46"/>
  <c r="J60" i="46"/>
  <c r="J65" i="46"/>
  <c r="J66" i="46" s="1"/>
  <c r="J35" i="46" s="1"/>
  <c r="I60" i="46"/>
  <c r="K60" i="46"/>
  <c r="P60" i="46" s="1"/>
  <c r="K65" i="46"/>
  <c r="K66" i="46"/>
  <c r="K35" i="46" s="1"/>
  <c r="N62" i="45"/>
  <c r="E61" i="45"/>
  <c r="M60" i="46"/>
  <c r="L34" i="42"/>
  <c r="AC24" i="43"/>
  <c r="J61" i="45"/>
  <c r="N61" i="45"/>
  <c r="G59" i="46"/>
  <c r="H60" i="40"/>
  <c r="E59" i="40"/>
  <c r="E68" i="40" s="1"/>
  <c r="E69" i="40" s="1"/>
  <c r="E34" i="40" s="1"/>
  <c r="E60" i="40"/>
  <c r="S60" i="37"/>
  <c r="O57" i="45"/>
  <c r="H58" i="45"/>
  <c r="H65" i="45"/>
  <c r="H66" i="45" s="1"/>
  <c r="H35" i="45" s="1"/>
  <c r="K57" i="45"/>
  <c r="I58" i="45"/>
  <c r="I65" i="45"/>
  <c r="I66" i="45" s="1"/>
  <c r="I35" i="45" s="1"/>
  <c r="K58" i="45"/>
  <c r="D57" i="45"/>
  <c r="J58" i="45"/>
  <c r="J57" i="45"/>
  <c r="J68" i="45" s="1"/>
  <c r="J69" i="45" s="1"/>
  <c r="J34" i="45" s="1"/>
  <c r="N57" i="45"/>
  <c r="N68" i="45" s="1"/>
  <c r="N69" i="45" s="1"/>
  <c r="N34" i="45" s="1"/>
  <c r="P62" i="42"/>
  <c r="N65" i="42"/>
  <c r="N66" i="42" s="1"/>
  <c r="N35" i="42" s="1"/>
  <c r="E65" i="40"/>
  <c r="E66" i="40" s="1"/>
  <c r="O65" i="42"/>
  <c r="O66" i="42" s="1"/>
  <c r="O35" i="42" s="1"/>
  <c r="D68" i="42"/>
  <c r="D69" i="42"/>
  <c r="P57" i="44"/>
  <c r="K65" i="45"/>
  <c r="K66" i="45"/>
  <c r="K35" i="45" s="1"/>
  <c r="F65" i="42"/>
  <c r="F66" i="42" s="1"/>
  <c r="F35" i="42" s="1"/>
  <c r="I65" i="42"/>
  <c r="I66" i="42" s="1"/>
  <c r="P61" i="46"/>
  <c r="R61" i="46" s="1"/>
  <c r="E35" i="40"/>
  <c r="D34" i="42"/>
  <c r="P57" i="45" l="1"/>
  <c r="F68" i="45"/>
  <c r="F69" i="45" s="1"/>
  <c r="F34" i="45" s="1"/>
  <c r="Q60" i="46"/>
  <c r="R60" i="46" s="1"/>
  <c r="N65" i="40"/>
  <c r="N66" i="40" s="1"/>
  <c r="N35" i="40" s="1"/>
  <c r="L65" i="45"/>
  <c r="L66" i="45" s="1"/>
  <c r="L35" i="45" s="1"/>
  <c r="P58" i="45"/>
  <c r="P69" i="44"/>
  <c r="D34" i="44"/>
  <c r="P34" i="44" s="1"/>
  <c r="D34" i="46"/>
  <c r="P66" i="44"/>
  <c r="D35" i="44"/>
  <c r="P35" i="44" s="1"/>
  <c r="E34" i="42"/>
  <c r="P59" i="46"/>
  <c r="R59" i="46" s="1"/>
  <c r="G68" i="46"/>
  <c r="G69" i="46" s="1"/>
  <c r="G34" i="46" s="1"/>
  <c r="P68" i="44"/>
  <c r="Q62" i="42"/>
  <c r="R62" i="42" s="1"/>
  <c r="P62" i="45"/>
  <c r="K65" i="42"/>
  <c r="K66" i="42" s="1"/>
  <c r="K35" i="42" s="1"/>
  <c r="F68" i="42"/>
  <c r="F69" i="42" s="1"/>
  <c r="F34" i="42" s="1"/>
  <c r="G65" i="45"/>
  <c r="G66" i="45" s="1"/>
  <c r="G35" i="45" s="1"/>
  <c r="K68" i="42"/>
  <c r="K69" i="42" s="1"/>
  <c r="K34" i="42" s="1"/>
  <c r="F68" i="40"/>
  <c r="F69" i="40" s="1"/>
  <c r="F34" i="40" s="1"/>
  <c r="F65" i="40"/>
  <c r="F66" i="40" s="1"/>
  <c r="F35" i="40" s="1"/>
  <c r="AA15" i="36"/>
  <c r="AD15" i="36" s="1"/>
  <c r="AG15" i="36" s="1"/>
  <c r="AJ15" i="36" s="1"/>
  <c r="BA15" i="36"/>
  <c r="P58" i="44"/>
  <c r="J65" i="45"/>
  <c r="J66" i="45" s="1"/>
  <c r="J35" i="45" s="1"/>
  <c r="K68" i="45"/>
  <c r="K69" i="45" s="1"/>
  <c r="K34" i="45" s="1"/>
  <c r="G65" i="42"/>
  <c r="G66" i="42" s="1"/>
  <c r="G35" i="42" s="1"/>
  <c r="P62" i="46"/>
  <c r="I65" i="46"/>
  <c r="I66" i="46" s="1"/>
  <c r="I35" i="46" s="1"/>
  <c r="N65" i="46"/>
  <c r="N66" i="46" s="1"/>
  <c r="N35" i="46" s="1"/>
  <c r="O68" i="45"/>
  <c r="O69" i="45" s="1"/>
  <c r="O34" i="45" s="1"/>
  <c r="P34" i="43"/>
  <c r="P59" i="47"/>
  <c r="R57" i="44"/>
  <c r="H68" i="45"/>
  <c r="H69" i="45" s="1"/>
  <c r="H34" i="45" s="1"/>
  <c r="L59" i="40"/>
  <c r="L68" i="40" s="1"/>
  <c r="L69" i="40" s="1"/>
  <c r="L34" i="40" s="1"/>
  <c r="K59" i="40"/>
  <c r="K68" i="40" s="1"/>
  <c r="K69" i="40" s="1"/>
  <c r="K34" i="40" s="1"/>
  <c r="O59" i="40"/>
  <c r="O68" i="40" s="1"/>
  <c r="O69" i="40" s="1"/>
  <c r="O34" i="40" s="1"/>
  <c r="H59" i="40"/>
  <c r="H68" i="40" s="1"/>
  <c r="H69" i="40" s="1"/>
  <c r="H34" i="40" s="1"/>
  <c r="K60" i="40"/>
  <c r="K65" i="40" s="1"/>
  <c r="K66" i="40" s="1"/>
  <c r="K35" i="40" s="1"/>
  <c r="D60" i="40"/>
  <c r="N59" i="40"/>
  <c r="N68" i="40" s="1"/>
  <c r="N69" i="40" s="1"/>
  <c r="N34" i="40" s="1"/>
  <c r="N60" i="40"/>
  <c r="I59" i="40"/>
  <c r="I68" i="40" s="1"/>
  <c r="I69" i="40" s="1"/>
  <c r="I34" i="40" s="1"/>
  <c r="G60" i="40"/>
  <c r="G65" i="40" s="1"/>
  <c r="G66" i="40" s="1"/>
  <c r="G35" i="40" s="1"/>
  <c r="M60" i="40"/>
  <c r="M65" i="40" s="1"/>
  <c r="M66" i="40" s="1"/>
  <c r="M35" i="40" s="1"/>
  <c r="R57" i="40"/>
  <c r="J65" i="40"/>
  <c r="J66" i="40" s="1"/>
  <c r="J35" i="40" s="1"/>
  <c r="H55" i="47"/>
  <c r="H56" i="47" s="1"/>
  <c r="P56" i="47" s="1"/>
  <c r="P48" i="47"/>
  <c r="P59" i="42"/>
  <c r="R59" i="42" s="1"/>
  <c r="D65" i="45"/>
  <c r="D66" i="45" s="1"/>
  <c r="L65" i="42"/>
  <c r="L66" i="42" s="1"/>
  <c r="L35" i="42" s="1"/>
  <c r="J60" i="40"/>
  <c r="P60" i="44"/>
  <c r="D59" i="40"/>
  <c r="K57" i="46"/>
  <c r="K68" i="46" s="1"/>
  <c r="K69" i="46" s="1"/>
  <c r="K34" i="46" s="1"/>
  <c r="G58" i="46"/>
  <c r="G65" i="46" s="1"/>
  <c r="G66" i="46" s="1"/>
  <c r="G35" i="46" s="1"/>
  <c r="H58" i="46"/>
  <c r="J57" i="46"/>
  <c r="J68" i="46" s="1"/>
  <c r="J69" i="46" s="1"/>
  <c r="J34" i="46" s="1"/>
  <c r="M57" i="46"/>
  <c r="M68" i="46" s="1"/>
  <c r="M69" i="46" s="1"/>
  <c r="M34" i="46" s="1"/>
  <c r="M58" i="46"/>
  <c r="M65" i="46" s="1"/>
  <c r="M66" i="46" s="1"/>
  <c r="M35" i="46" s="1"/>
  <c r="O57" i="46"/>
  <c r="O68" i="46" s="1"/>
  <c r="O69" i="46" s="1"/>
  <c r="O34" i="46" s="1"/>
  <c r="F57" i="46"/>
  <c r="F68" i="46" s="1"/>
  <c r="F69" i="46" s="1"/>
  <c r="F34" i="46" s="1"/>
  <c r="D58" i="46"/>
  <c r="L57" i="46"/>
  <c r="L68" i="46" s="1"/>
  <c r="L69" i="46" s="1"/>
  <c r="L34" i="46" s="1"/>
  <c r="E57" i="46"/>
  <c r="L58" i="46"/>
  <c r="L65" i="46" s="1"/>
  <c r="L66" i="46" s="1"/>
  <c r="L35" i="46" s="1"/>
  <c r="E58" i="46"/>
  <c r="E65" i="46" s="1"/>
  <c r="E66" i="46" s="1"/>
  <c r="E35" i="46" s="1"/>
  <c r="N57" i="46"/>
  <c r="N68" i="46" s="1"/>
  <c r="N69" i="46" s="1"/>
  <c r="N34" i="46" s="1"/>
  <c r="I57" i="46"/>
  <c r="I68" i="46" s="1"/>
  <c r="I69" i="46" s="1"/>
  <c r="I34" i="46" s="1"/>
  <c r="AC24" i="45"/>
  <c r="P47" i="47"/>
  <c r="J65" i="48"/>
  <c r="J66" i="48" s="1"/>
  <c r="E60" i="42"/>
  <c r="O59" i="42"/>
  <c r="O68" i="42" s="1"/>
  <c r="O69" i="42" s="1"/>
  <c r="O34" i="42" s="1"/>
  <c r="AD23" i="43"/>
  <c r="P25" i="44"/>
  <c r="P58" i="42"/>
  <c r="P57" i="42"/>
  <c r="M57" i="43"/>
  <c r="M68" i="43" s="1"/>
  <c r="M69" i="43" s="1"/>
  <c r="M34" i="43" s="1"/>
  <c r="E58" i="43"/>
  <c r="E57" i="43"/>
  <c r="E68" i="43" s="1"/>
  <c r="E69" i="43" s="1"/>
  <c r="E34" i="43" s="1"/>
  <c r="F57" i="43"/>
  <c r="F68" i="43" s="1"/>
  <c r="F69" i="43" s="1"/>
  <c r="F34" i="43" s="1"/>
  <c r="N58" i="43"/>
  <c r="N65" i="43" s="1"/>
  <c r="N66" i="43" s="1"/>
  <c r="N35" i="43" s="1"/>
  <c r="J57" i="43"/>
  <c r="J68" i="43" s="1"/>
  <c r="J69" i="43" s="1"/>
  <c r="J34" i="43" s="1"/>
  <c r="G58" i="43"/>
  <c r="G65" i="43" s="1"/>
  <c r="G66" i="43" s="1"/>
  <c r="G35" i="43" s="1"/>
  <c r="N60" i="45"/>
  <c r="N65" i="45" s="1"/>
  <c r="N66" i="45" s="1"/>
  <c r="N35" i="45" s="1"/>
  <c r="E60" i="45"/>
  <c r="E65" i="45" s="1"/>
  <c r="E66" i="45" s="1"/>
  <c r="E35" i="45" s="1"/>
  <c r="D59" i="45"/>
  <c r="P59" i="45" s="1"/>
  <c r="R59" i="45" s="1"/>
  <c r="L60" i="45"/>
  <c r="J60" i="45"/>
  <c r="I59" i="45"/>
  <c r="I68" i="45" s="1"/>
  <c r="I69" i="45" s="1"/>
  <c r="I34" i="45" s="1"/>
  <c r="O59" i="45"/>
  <c r="D68" i="48"/>
  <c r="D69" i="48" s="1"/>
  <c r="I68" i="42"/>
  <c r="I69" i="42" s="1"/>
  <c r="I34" i="42" s="1"/>
  <c r="O24" i="42"/>
  <c r="P25" i="42" s="1"/>
  <c r="P62" i="48"/>
  <c r="AD23" i="45"/>
  <c r="D65" i="48"/>
  <c r="D66" i="48" s="1"/>
  <c r="D35" i="48" s="1"/>
  <c r="G57" i="48"/>
  <c r="AC24" i="46"/>
  <c r="AC24" i="41"/>
  <c r="AC24" i="42"/>
  <c r="E58" i="48"/>
  <c r="E65" i="48" s="1"/>
  <c r="E66" i="48" s="1"/>
  <c r="G58" i="48"/>
  <c r="G65" i="48" s="1"/>
  <c r="G66" i="48" s="1"/>
  <c r="K58" i="48"/>
  <c r="K65" i="48" s="1"/>
  <c r="K66" i="48" s="1"/>
  <c r="E57" i="48"/>
  <c r="G59" i="48"/>
  <c r="P59" i="48" s="1"/>
  <c r="R59" i="48" s="1"/>
  <c r="N60" i="48"/>
  <c r="P60" i="48" s="1"/>
  <c r="H58" i="40"/>
  <c r="H65" i="40" s="1"/>
  <c r="H66" i="40" s="1"/>
  <c r="H35" i="40" s="1"/>
  <c r="H65" i="46"/>
  <c r="H66" i="46" s="1"/>
  <c r="H35" i="46" s="1"/>
  <c r="I58" i="40"/>
  <c r="I65" i="40" s="1"/>
  <c r="I66" i="40" s="1"/>
  <c r="I35" i="40" s="1"/>
  <c r="AC24" i="40"/>
  <c r="K57" i="48"/>
  <c r="K68" i="48" s="1"/>
  <c r="K69" i="48" s="1"/>
  <c r="N58" i="48"/>
  <c r="M60" i="48"/>
  <c r="M65" i="48" s="1"/>
  <c r="M66" i="48" s="1"/>
  <c r="I57" i="48"/>
  <c r="I68" i="48" s="1"/>
  <c r="I69" i="48" s="1"/>
  <c r="F58" i="48"/>
  <c r="F65" i="48" s="1"/>
  <c r="F66" i="48" s="1"/>
  <c r="AC24" i="48"/>
  <c r="AD23" i="40"/>
  <c r="AC24" i="44"/>
  <c r="Q60" i="48" l="1"/>
  <c r="R60" i="48" s="1"/>
  <c r="E65" i="42"/>
  <c r="E66" i="42" s="1"/>
  <c r="P60" i="42"/>
  <c r="D68" i="45"/>
  <c r="D69" i="45" s="1"/>
  <c r="P34" i="42"/>
  <c r="P69" i="43"/>
  <c r="P58" i="43"/>
  <c r="E65" i="43"/>
  <c r="E66" i="43" s="1"/>
  <c r="E68" i="46"/>
  <c r="E69" i="46" s="1"/>
  <c r="P57" i="46"/>
  <c r="Q58" i="45"/>
  <c r="R58" i="45"/>
  <c r="R47" i="47"/>
  <c r="P58" i="47"/>
  <c r="P59" i="40"/>
  <c r="D68" i="40"/>
  <c r="D69" i="40" s="1"/>
  <c r="AM15" i="36"/>
  <c r="AT15" i="36"/>
  <c r="AU15" i="36" s="1"/>
  <c r="P57" i="43"/>
  <c r="D65" i="40"/>
  <c r="D66" i="40" s="1"/>
  <c r="P60" i="40"/>
  <c r="P60" i="45"/>
  <c r="P58" i="40"/>
  <c r="R57" i="42"/>
  <c r="P68" i="42"/>
  <c r="P58" i="46"/>
  <c r="D65" i="46"/>
  <c r="D66" i="46" s="1"/>
  <c r="Q58" i="44"/>
  <c r="P65" i="44"/>
  <c r="R65" i="44" s="1"/>
  <c r="R58" i="44"/>
  <c r="D34" i="48"/>
  <c r="Q60" i="44"/>
  <c r="R60" i="44" s="1"/>
  <c r="Q62" i="48"/>
  <c r="R62" i="48" s="1"/>
  <c r="Q62" i="46"/>
  <c r="R62" i="46" s="1"/>
  <c r="Q62" i="45"/>
  <c r="R62" i="45" s="1"/>
  <c r="P69" i="42"/>
  <c r="P55" i="47"/>
  <c r="R55" i="47" s="1"/>
  <c r="Q48" i="47"/>
  <c r="R48" i="47"/>
  <c r="G68" i="48"/>
  <c r="G69" i="48" s="1"/>
  <c r="Q58" i="42"/>
  <c r="R58" i="42" s="1"/>
  <c r="N65" i="48"/>
  <c r="N66" i="48" s="1"/>
  <c r="P66" i="48" s="1"/>
  <c r="P57" i="48"/>
  <c r="E68" i="48"/>
  <c r="E69" i="48" s="1"/>
  <c r="P69" i="48" s="1"/>
  <c r="P58" i="48"/>
  <c r="P66" i="45"/>
  <c r="D35" i="45"/>
  <c r="P35" i="45" s="1"/>
  <c r="R57" i="45"/>
  <c r="P68" i="45"/>
  <c r="P68" i="43" l="1"/>
  <c r="R57" i="43"/>
  <c r="P68" i="48"/>
  <c r="R57" i="48"/>
  <c r="E35" i="42"/>
  <c r="P35" i="42" s="1"/>
  <c r="P66" i="42"/>
  <c r="Q60" i="45"/>
  <c r="R60" i="45"/>
  <c r="P65" i="43"/>
  <c r="R65" i="43" s="1"/>
  <c r="Q58" i="43"/>
  <c r="R58" i="43" s="1"/>
  <c r="Q60" i="40"/>
  <c r="R60" i="40"/>
  <c r="Q58" i="48"/>
  <c r="R58" i="48"/>
  <c r="P65" i="48"/>
  <c r="R65" i="48" s="1"/>
  <c r="D35" i="40"/>
  <c r="P35" i="40" s="1"/>
  <c r="P66" i="40"/>
  <c r="D34" i="45"/>
  <c r="P34" i="45" s="1"/>
  <c r="P69" i="45"/>
  <c r="P65" i="42"/>
  <c r="R65" i="42" s="1"/>
  <c r="Q60" i="42"/>
  <c r="R60" i="42" s="1"/>
  <c r="D34" i="40"/>
  <c r="P34" i="40" s="1"/>
  <c r="P69" i="40"/>
  <c r="E34" i="46"/>
  <c r="P34" i="46" s="1"/>
  <c r="P69" i="46"/>
  <c r="P66" i="46"/>
  <c r="D35" i="46"/>
  <c r="P35" i="46" s="1"/>
  <c r="P65" i="46"/>
  <c r="R65" i="46" s="1"/>
  <c r="Q58" i="46"/>
  <c r="R58" i="46" s="1"/>
  <c r="P65" i="45"/>
  <c r="R65" i="45" s="1"/>
  <c r="P68" i="46"/>
  <c r="R57" i="46"/>
  <c r="Q58" i="40"/>
  <c r="P65" i="40"/>
  <c r="R65" i="40" s="1"/>
  <c r="R58" i="40"/>
  <c r="R59" i="40"/>
  <c r="P68" i="40"/>
  <c r="E35" i="43"/>
  <c r="P35" i="43" s="1"/>
  <c r="P66"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D96C870B-7B58-494A-BB3B-61AD8EA399A5}">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000-000001000000}">
      <text>
        <r>
          <rPr>
            <b/>
            <sz val="9"/>
            <color indexed="81"/>
            <rFont val="Tahoma"/>
            <family val="2"/>
          </rPr>
          <t>USUARIO:</t>
        </r>
        <r>
          <rPr>
            <sz val="9"/>
            <color indexed="81"/>
            <rFont val="Tahoma"/>
            <family val="2"/>
          </rPr>
          <t xml:space="preserve">
PSP</t>
        </r>
      </text>
    </comment>
    <comment ref="T22" authorId="1" shapeId="0" xr:uid="{00000000-0006-0000-0000-000002000000}">
      <text>
        <r>
          <rPr>
            <b/>
            <sz val="9"/>
            <color indexed="81"/>
            <rFont val="Tahoma"/>
            <family val="2"/>
          </rPr>
          <t>USUARIO:</t>
        </r>
        <r>
          <rPr>
            <sz val="9"/>
            <color indexed="81"/>
            <rFont val="Tahoma"/>
            <family val="2"/>
          </rPr>
          <t xml:space="preserve">
Licenciamiento</t>
        </r>
      </text>
    </comment>
    <comment ref="V22" authorId="1" shapeId="0" xr:uid="{00000000-0006-0000-0000-000003000000}">
      <text>
        <r>
          <rPr>
            <b/>
            <sz val="9"/>
            <color indexed="81"/>
            <rFont val="Tahoma"/>
            <family val="2"/>
          </rPr>
          <t>USUARIO:</t>
        </r>
        <r>
          <rPr>
            <sz val="9"/>
            <color indexed="81"/>
            <rFont val="Tahoma"/>
            <family val="2"/>
          </rPr>
          <t xml:space="preserve">
Papelería, central de medios</t>
        </r>
      </text>
    </comment>
    <comment ref="C24" authorId="1" shapeId="0" xr:uid="{00000000-0006-0000-0000-000004000000}">
      <text>
        <r>
          <rPr>
            <b/>
            <sz val="9"/>
            <color rgb="FF000000"/>
            <rFont val="Tahoma"/>
            <family val="2"/>
          </rPr>
          <t>USUARIO:</t>
        </r>
        <r>
          <rPr>
            <sz val="9"/>
            <color rgb="FF000000"/>
            <rFont val="Tahoma"/>
            <family val="2"/>
          </rPr>
          <t xml:space="preserve">
</t>
        </r>
        <r>
          <rPr>
            <sz val="9"/>
            <color rgb="FF000000"/>
            <rFont val="Tahoma"/>
            <family val="2"/>
          </rPr>
          <t>Central de medios</t>
        </r>
      </text>
    </comment>
    <comment ref="D24" authorId="1" shapeId="0" xr:uid="{00000000-0006-0000-0000-000005000000}">
      <text>
        <r>
          <rPr>
            <sz val="10"/>
            <color indexed="81"/>
            <rFont val="Tahoma"/>
            <family val="2"/>
          </rPr>
          <t>Equipos tecnológicos, PSP Camilo, PSP Jonathan, adición PSP Carol Quintero, Adición PSP Ana, Adición PSP Carol Rozo, central de medios</t>
        </r>
      </text>
    </comment>
    <comment ref="R24" authorId="1" shapeId="0" xr:uid="{00000000-0006-0000-0000-000006000000}">
      <text>
        <r>
          <rPr>
            <b/>
            <sz val="9"/>
            <color rgb="FF000000"/>
            <rFont val="Tahoma"/>
            <family val="2"/>
          </rPr>
          <t>USUARIO:</t>
        </r>
        <r>
          <rPr>
            <sz val="9"/>
            <color rgb="FF000000"/>
            <rFont val="Tahoma"/>
            <family val="2"/>
          </rPr>
          <t xml:space="preserve">
</t>
        </r>
        <r>
          <rPr>
            <sz val="9"/>
            <color rgb="FF000000"/>
            <rFont val="Tahoma"/>
            <family val="2"/>
          </rPr>
          <t>PSP</t>
        </r>
      </text>
    </comment>
    <comment ref="S24" authorId="1" shapeId="0" xr:uid="{00000000-0006-0000-0000-000007000000}">
      <text>
        <r>
          <rPr>
            <b/>
            <sz val="9"/>
            <color rgb="FF000000"/>
            <rFont val="Tahoma"/>
            <family val="2"/>
          </rPr>
          <t>USUARIO:</t>
        </r>
        <r>
          <rPr>
            <sz val="9"/>
            <color rgb="FF000000"/>
            <rFont val="Tahoma"/>
            <family val="2"/>
          </rPr>
          <t xml:space="preserve">
</t>
        </r>
        <r>
          <rPr>
            <sz val="9"/>
            <color rgb="FF000000"/>
            <rFont val="Tahoma"/>
            <family val="2"/>
          </rPr>
          <t>PSP</t>
        </r>
      </text>
    </comment>
    <comment ref="T24" authorId="1" shapeId="0" xr:uid="{00000000-0006-0000-0000-000008000000}">
      <text>
        <r>
          <rPr>
            <b/>
            <sz val="9"/>
            <color indexed="81"/>
            <rFont val="Tahoma"/>
            <family val="2"/>
          </rPr>
          <t>USUARIO:</t>
        </r>
        <r>
          <rPr>
            <sz val="9"/>
            <color indexed="81"/>
            <rFont val="Tahoma"/>
            <family val="2"/>
          </rPr>
          <t xml:space="preserve">
PSP</t>
        </r>
      </text>
    </comment>
    <comment ref="U24" authorId="1" shapeId="0" xr:uid="{00000000-0006-0000-0000-000009000000}">
      <text>
        <r>
          <rPr>
            <b/>
            <sz val="9"/>
            <color indexed="81"/>
            <rFont val="Tahoma"/>
            <family val="2"/>
          </rPr>
          <t>USUARIO:</t>
        </r>
        <r>
          <rPr>
            <sz val="9"/>
            <color indexed="81"/>
            <rFont val="Tahoma"/>
            <family val="2"/>
          </rPr>
          <t xml:space="preserve">
PSP, licenciamiento</t>
        </r>
      </text>
    </comment>
    <comment ref="V24" authorId="1" shapeId="0" xr:uid="{00000000-0006-0000-0000-00000A000000}">
      <text>
        <r>
          <rPr>
            <b/>
            <sz val="9"/>
            <color rgb="FF000000"/>
            <rFont val="Tahoma"/>
            <family val="2"/>
          </rPr>
          <t>USUARIO:</t>
        </r>
        <r>
          <rPr>
            <sz val="9"/>
            <color rgb="FF000000"/>
            <rFont val="Tahoma"/>
            <family val="2"/>
          </rPr>
          <t xml:space="preserve">
</t>
        </r>
        <r>
          <rPr>
            <sz val="9"/>
            <color rgb="FF000000"/>
            <rFont val="Tahoma"/>
            <family val="2"/>
          </rPr>
          <t>PSP</t>
        </r>
      </text>
    </comment>
    <comment ref="W24" authorId="1" shapeId="0" xr:uid="{00000000-0006-0000-0000-00000B000000}">
      <text>
        <r>
          <rPr>
            <b/>
            <sz val="9"/>
            <color indexed="81"/>
            <rFont val="Tahoma"/>
            <family val="2"/>
          </rPr>
          <t>USUARIO:</t>
        </r>
        <r>
          <rPr>
            <sz val="9"/>
            <color indexed="81"/>
            <rFont val="Tahoma"/>
            <family val="2"/>
          </rPr>
          <t xml:space="preserve">
PSP, papelería, central de medios</t>
        </r>
      </text>
    </comment>
    <comment ref="X24" authorId="1" shapeId="0" xr:uid="{00000000-0006-0000-0000-00000C000000}">
      <text>
        <r>
          <rPr>
            <b/>
            <sz val="9"/>
            <color indexed="81"/>
            <rFont val="Tahoma"/>
            <family val="2"/>
          </rPr>
          <t>USUARIO:</t>
        </r>
        <r>
          <rPr>
            <sz val="9"/>
            <color indexed="81"/>
            <rFont val="Tahoma"/>
            <family val="2"/>
          </rPr>
          <t xml:space="preserve">
PSP</t>
        </r>
      </text>
    </comment>
    <comment ref="Y24" authorId="1" shapeId="0" xr:uid="{00000000-0006-0000-0000-00000D000000}">
      <text>
        <r>
          <rPr>
            <b/>
            <sz val="9"/>
            <color indexed="81"/>
            <rFont val="Tahoma"/>
            <family val="2"/>
          </rPr>
          <t>USUARIO:</t>
        </r>
        <r>
          <rPr>
            <sz val="9"/>
            <color indexed="81"/>
            <rFont val="Tahoma"/>
            <family val="2"/>
          </rPr>
          <t xml:space="preserve">
PSP, central de medios</t>
        </r>
      </text>
    </comment>
    <comment ref="Z24" authorId="1" shapeId="0" xr:uid="{00000000-0006-0000-0000-00000E000000}">
      <text>
        <r>
          <rPr>
            <b/>
            <sz val="9"/>
            <color indexed="81"/>
            <rFont val="Tahoma"/>
            <family val="2"/>
          </rPr>
          <t>USUARIO:</t>
        </r>
        <r>
          <rPr>
            <sz val="9"/>
            <color indexed="81"/>
            <rFont val="Tahoma"/>
            <family val="2"/>
          </rPr>
          <t xml:space="preserve">
PSP</t>
        </r>
      </text>
    </comment>
    <comment ref="AA24" authorId="1" shapeId="0" xr:uid="{00000000-0006-0000-0000-00000F000000}">
      <text>
        <r>
          <rPr>
            <b/>
            <sz val="9"/>
            <color indexed="81"/>
            <rFont val="Tahoma"/>
            <family val="2"/>
          </rPr>
          <t>USUARIO:</t>
        </r>
        <r>
          <rPr>
            <sz val="9"/>
            <color indexed="81"/>
            <rFont val="Tahoma"/>
            <family val="2"/>
          </rPr>
          <t xml:space="preserve">
PSP, central de medios</t>
        </r>
      </text>
    </comment>
    <comment ref="AB24" authorId="1" shapeId="0" xr:uid="{00000000-0006-0000-0000-000010000000}">
      <text>
        <r>
          <rPr>
            <b/>
            <sz val="9"/>
            <color rgb="FF000000"/>
            <rFont val="Tahoma"/>
            <family val="2"/>
          </rPr>
          <t>USUARIO:</t>
        </r>
        <r>
          <rPr>
            <sz val="9"/>
            <color rgb="FF000000"/>
            <rFont val="Tahoma"/>
            <family val="2"/>
          </rPr>
          <t xml:space="preserve">
</t>
        </r>
        <r>
          <rPr>
            <sz val="9"/>
            <color rgb="FF000000"/>
            <rFont val="Tahoma"/>
            <family val="2"/>
          </rPr>
          <t>PSP</t>
        </r>
      </text>
    </comment>
    <comment ref="C32" authorId="2"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0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4" authorId="0" shapeId="0" xr:uid="{3DF6814F-E5EA-4C8C-8150-11E9950910B2}">
      <text>
        <r>
          <rPr>
            <b/>
            <sz val="11"/>
            <color rgb="FF000000"/>
            <rFont val="Tahoma"/>
            <family val="2"/>
          </rPr>
          <t>ANGELA MARCELA FORERO RUIZ:</t>
        </r>
        <r>
          <rPr>
            <sz val="11"/>
            <color rgb="FF000000"/>
            <rFont val="Tahoma"/>
            <family val="2"/>
          </rPr>
          <t xml:space="preserve">
</t>
        </r>
        <r>
          <rPr>
            <sz val="11"/>
            <color rgb="FF000000"/>
            <rFont val="Tahoma"/>
            <family val="2"/>
          </rPr>
          <t xml:space="preserve">Verificar redacción en rojo
</t>
        </r>
        <r>
          <rPr>
            <sz val="11"/>
            <color rgb="FF000000"/>
            <rFont val="Tahoma"/>
            <family val="2"/>
          </rPr>
          <t xml:space="preserve">Adicionalmente, mejorar un poco la redacción que no quede como un retraso dado que los avances de la meta y de las actividades se han dado de acuerdo a lo programado, no se evidencian retrason. </t>
        </r>
      </text>
    </comment>
    <comment ref="Q38" authorId="0" shapeId="0" xr:uid="{CB19E867-954A-4C1A-BE14-C117683FDB06}">
      <text>
        <r>
          <rPr>
            <b/>
            <sz val="11"/>
            <color rgb="FF000000"/>
            <rFont val="Tahoma"/>
            <family val="2"/>
          </rPr>
          <t>ANGELA MARCELA FORERO RUIZ:</t>
        </r>
        <r>
          <rPr>
            <sz val="11"/>
            <color rgb="FF000000"/>
            <rFont val="Tahoma"/>
            <family val="2"/>
          </rPr>
          <t xml:space="preserve">
</t>
        </r>
        <r>
          <rPr>
            <sz val="11"/>
            <color rgb="FF000000"/>
            <rFont val="Tahoma"/>
            <family val="2"/>
          </rPr>
          <t>Incluir no  solo el avance del mes sino el acumulado a la fecha (primer semestre)</t>
        </r>
      </text>
    </comment>
    <comment ref="Q40" authorId="0" shapeId="0" xr:uid="{0EBB232F-999D-4496-AF96-A35A6CD586ED}">
      <text>
        <r>
          <rPr>
            <b/>
            <sz val="11"/>
            <color rgb="FF000000"/>
            <rFont val="Tahoma"/>
            <family val="2"/>
          </rPr>
          <t xml:space="preserve">ANGELA MARCELA FORERO RUIZ:
</t>
        </r>
        <r>
          <rPr>
            <sz val="11"/>
            <color rgb="FF000000"/>
            <rFont val="Tahoma"/>
            <family val="2"/>
          </rPr>
          <t>Incluir no  solo el avance del mes sino el acumulado a la fecha (primer semestre)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T13" authorId="1" shapeId="0" xr:uid="{72474310-AE39-4E13-9E75-C8F9323FCD30}">
      <text>
        <r>
          <rPr>
            <b/>
            <sz val="11"/>
            <color rgb="FF000000"/>
            <rFont val="Tahoma"/>
            <family val="2"/>
          </rPr>
          <t>ANGELA MARCELA FORERO RUIZ:</t>
        </r>
        <r>
          <rPr>
            <sz val="11"/>
            <color rgb="FF000000"/>
            <rFont val="Tahoma"/>
            <family val="2"/>
          </rPr>
          <t xml:space="preserve">
</t>
        </r>
        <r>
          <rPr>
            <sz val="11"/>
            <color rgb="FF000000"/>
            <rFont val="Tahoma"/>
            <family val="2"/>
          </rPr>
          <t>Esta meta es tipo creciente, el valor corresponde al último registrado para el caso 1</t>
        </r>
      </text>
    </comment>
    <comment ref="AV13" authorId="1" shapeId="0" xr:uid="{11309D6B-A31E-4BCF-81C1-FC3DD6ED2DED}">
      <text>
        <r>
          <rPr>
            <b/>
            <sz val="11"/>
            <color rgb="FF000000"/>
            <rFont val="Tahoma"/>
            <family val="2"/>
          </rPr>
          <t>ANGELA MARCELA FORERO RUIZ:</t>
        </r>
        <r>
          <rPr>
            <sz val="11"/>
            <color rgb="FF000000"/>
            <rFont val="Tahoma"/>
            <family val="2"/>
          </rPr>
          <t xml:space="preserve">
</t>
        </r>
        <r>
          <rPr>
            <sz val="11"/>
            <color rgb="FF000000"/>
            <rFont val="Tahoma"/>
            <family val="2"/>
          </rPr>
          <t>Verificar redacción creo que sobran la spalabras en rojo</t>
        </r>
      </text>
    </comment>
    <comment ref="AW13" authorId="1" shapeId="0" xr:uid="{BF9D8F82-FB74-4828-9A91-148532ACCB40}">
      <text>
        <r>
          <rPr>
            <b/>
            <sz val="11"/>
            <color rgb="FF000000"/>
            <rFont val="Tahoma"/>
            <family val="2"/>
          </rPr>
          <t>ANGELA MARCELA FORERO RUIZ:</t>
        </r>
        <r>
          <rPr>
            <sz val="11"/>
            <color rgb="FF000000"/>
            <rFont val="Tahoma"/>
            <family val="2"/>
          </rPr>
          <t xml:space="preserve">
</t>
        </r>
        <r>
          <rPr>
            <sz val="11"/>
            <color rgb="FF000000"/>
            <rFont val="Tahoma"/>
            <family val="2"/>
          </rPr>
          <t xml:space="preserve">Es posible mejorar la redaccón para que el avance quede en relación con la meta "Formular e implementar una estrategia pedagógica para la valoración, la resignificación, el reconocimiento y la redistribución del trabajo de cuidado no remunerado que realizan las mujeres en Bogotá"
</t>
        </r>
        <r>
          <rPr>
            <sz val="11"/>
            <color rgb="FF000000"/>
            <rFont val="Tahoma"/>
            <family val="2"/>
          </rPr>
          <t xml:space="preserve">
</t>
        </r>
        <r>
          <rPr>
            <sz val="11"/>
            <color rgb="FF000000"/>
            <rFont val="Tahoma"/>
            <family val="2"/>
          </rPr>
          <t>Algo así que en el marco de la implementación de la estrategia pedagógica para la valoración, la resignificación, el reconocimiento y la redistribución del trabajo de cuidado no remunerado durante el primer semestre de 2023 se avanzó en el diseño y socialización de la caja de herramientas xxxx .... (lo anterior dado que esta información trimestralmente se repota en SEGPLAN y estos son los reportes que generalmente toman o los entes de control o los concejales para hacer control político y como estas son las metas PDD es importante que la redacción del avance quede en torno a la meta a lograr)</t>
        </r>
      </text>
    </comment>
    <comment ref="AW14" authorId="1" shapeId="0" xr:uid="{6B2B51DA-BA80-49B8-B3A5-FE8C2F65B325}">
      <text>
        <r>
          <rPr>
            <b/>
            <sz val="11"/>
            <color rgb="FF000000"/>
            <rFont val="Tahoma"/>
            <family val="2"/>
          </rPr>
          <t>ANGELA MARCELA FORERO RUIZ:</t>
        </r>
        <r>
          <rPr>
            <sz val="11"/>
            <color rgb="FF000000"/>
            <rFont val="Tahoma"/>
            <family val="2"/>
          </rPr>
          <t xml:space="preserve">
</t>
        </r>
        <r>
          <rPr>
            <sz val="11"/>
            <color rgb="FF000000"/>
            <rFont val="Tahoma"/>
            <family val="2"/>
          </rPr>
          <t xml:space="preserve">Incluir estos avances que son importantes, en el marco de la meta que busca avanzar  en "la construcción del documento de lineamientos técnicos para la formulación de las bases del Sistema Distrital de Cuidado y los resultados de articulación con las entidades distritales que hacen parte del sistema"
</t>
        </r>
        <r>
          <rPr>
            <sz val="11"/>
            <color rgb="FF000000"/>
            <rFont val="Tahoma"/>
            <family val="2"/>
          </rPr>
          <t>Es decir, que sea muy claro como estos avances que mencionamos aportan a esta meta PDD</t>
        </r>
      </text>
    </comment>
    <comment ref="AW15" authorId="1" shapeId="0" xr:uid="{F86D18F8-6BB5-4000-8062-77B8C605D6A5}">
      <text>
        <r>
          <rPr>
            <b/>
            <sz val="11"/>
            <color rgb="FF000000"/>
            <rFont val="Tahoma"/>
            <family val="2"/>
          </rPr>
          <t>ANGELA MARCELA FORERO RUIZ:</t>
        </r>
        <r>
          <rPr>
            <sz val="11"/>
            <color rgb="FF000000"/>
            <rFont val="Tahoma"/>
            <family val="2"/>
          </rPr>
          <t xml:space="preserve">
</t>
        </r>
        <r>
          <rPr>
            <sz val="11"/>
            <color rgb="FF000000"/>
            <rFont val="Tahoma"/>
            <family val="2"/>
          </rPr>
          <t>Se sugiere ajustar la redaccion con lo que se indica en negrilla color negro</t>
        </r>
      </text>
    </comment>
    <comment ref="AU16" authorId="1" shapeId="0" xr:uid="{D82A7293-A8EA-4993-8780-7E9B17C001C9}">
      <text>
        <r>
          <rPr>
            <b/>
            <sz val="11"/>
            <color rgb="FF000000"/>
            <rFont val="Tahoma"/>
            <family val="2"/>
          </rPr>
          <t>ANGELA MARCELA FORERO RUIZ:</t>
        </r>
        <r>
          <rPr>
            <sz val="11"/>
            <color rgb="FF000000"/>
            <rFont val="Tahoma"/>
            <family val="2"/>
          </rPr>
          <t xml:space="preserve">
</t>
        </r>
        <r>
          <rPr>
            <sz val="11"/>
            <color rgb="FF000000"/>
            <rFont val="Tahoma"/>
            <family val="2"/>
          </rPr>
          <t>Es importante que se revise el avance de este indicador dado que su avance con respecto a lo corrido del año se considera bajo.  Se presenta retraso de acuerdo a lo programado para el primer semestre de 2023.</t>
        </r>
      </text>
    </comment>
    <comment ref="AT19" authorId="1" shapeId="0" xr:uid="{9250D027-3BC4-43DD-9EC9-E484C045B984}">
      <text>
        <r>
          <rPr>
            <b/>
            <sz val="11"/>
            <color rgb="FF000000"/>
            <rFont val="Tahoma"/>
            <family val="2"/>
          </rPr>
          <t>ANGELA MARCELA FORERO RUIZ:</t>
        </r>
        <r>
          <rPr>
            <sz val="11"/>
            <color rgb="FF000000"/>
            <rFont val="Tahoma"/>
            <family val="2"/>
          </rPr>
          <t xml:space="preserve">
</t>
        </r>
        <r>
          <rPr>
            <sz val="11"/>
            <color rgb="FF000000"/>
            <rFont val="Tahoma"/>
            <family val="2"/>
          </rPr>
          <t xml:space="preserve">Verificar la formula y el avance dado que si se suma lo programado daría 600% y si se suma lo ejecutaod da 784%, eso indica que hay una sobre ejecución, es decir que se han realizado muhcas mas actividades de la que se prograron en l matriz de programació mensual
</t>
        </r>
        <r>
          <rPr>
            <sz val="11"/>
            <color rgb="FF000000"/>
            <rFont val="Tahoma"/>
            <family val="2"/>
          </rPr>
          <t xml:space="preserve">
</t>
        </r>
        <r>
          <rPr>
            <sz val="11"/>
            <color rgb="FF000000"/>
            <rFont val="Tahoma"/>
            <family val="2"/>
          </rPr>
          <t xml:space="preserve">O si efectivamente el cumplimiento es del 76,5 indicaria que se tienen retrasos en las actividades programadas en esa matriz
</t>
        </r>
        <r>
          <rPr>
            <sz val="11"/>
            <color rgb="FF000000"/>
            <rFont val="Tahoma"/>
            <family val="2"/>
          </rPr>
          <t xml:space="preserve">
</t>
        </r>
        <r>
          <rPr>
            <sz val="11"/>
            <color rgb="FF000000"/>
            <rFont val="Tahoma"/>
            <family val="2"/>
          </rPr>
          <t>Es importante revisar los % de avances que se estan incluyendo cada mes. Inicialmente podría ser que se están poniendo al dia con lo que no se logró en enero y febrero, sin embargo a la fecha da que están haciendo mucho más de lo programado en la matriz</t>
        </r>
      </text>
    </comment>
    <comment ref="AW19" authorId="1" shapeId="0" xr:uid="{1140FB42-E840-496B-BB9A-E43FEF720C99}">
      <text>
        <r>
          <rPr>
            <b/>
            <sz val="11"/>
            <color rgb="FF000000"/>
            <rFont val="Tahoma"/>
            <family val="2"/>
          </rPr>
          <t>ANGELA MARCELA FORERO RUIZ:</t>
        </r>
        <r>
          <rPr>
            <sz val="11"/>
            <color rgb="FF000000"/>
            <rFont val="Tahoma"/>
            <family val="2"/>
          </rPr>
          <t xml:space="preserve">
</t>
        </r>
        <r>
          <rPr>
            <sz val="11"/>
            <color rgb="FF000000"/>
            <rFont val="Tahoma"/>
            <family val="2"/>
          </rPr>
          <t xml:space="preserve">Es posible que el avance se mencione de acuerdo a lo planeado, es decir de acuerdo al  cumplimiento de la programación para la implementación del Sistema Distrital de Cuidado durante la vigencia anual.
</t>
        </r>
        <r>
          <rPr>
            <sz val="11"/>
            <color rgb="FF000000"/>
            <rFont val="Tahoma"/>
            <family val="2"/>
          </rPr>
          <t xml:space="preserve">
</t>
        </r>
        <r>
          <rPr>
            <sz val="11"/>
            <color rgb="FF000000"/>
            <rFont val="Tahoma"/>
            <family val="2"/>
          </rPr>
          <t xml:space="preserve">Por ejemplo, en lo corrido del año se ha dado un cumplimiento del XX% de la programación para la implementación del SIDICU dado por la ejecución de las siguientes actividades principalmente:
</t>
        </r>
        <r>
          <rPr>
            <sz val="11"/>
            <color rgb="FF000000"/>
            <rFont val="Tahoma"/>
            <family val="2"/>
          </rPr>
          <t xml:space="preserve">- Se mantienen  el funcioanmiento de dos unidades  moviles
</t>
        </r>
        <r>
          <rPr>
            <sz val="11"/>
            <color rgb="FF000000"/>
            <rFont val="Tahoma"/>
            <family val="2"/>
          </rPr>
          <t xml:space="preserve">- Manzanas xxx
</t>
        </r>
        <r>
          <rPr>
            <sz val="11"/>
            <color rgb="FF000000"/>
            <rFont val="Tahoma"/>
            <family val="2"/>
          </rPr>
          <t xml:space="preserve">- Orientaciones psicosociales xxxx e
</t>
        </r>
        <r>
          <rPr>
            <sz val="11"/>
            <color rgb="FF000000"/>
            <rFont val="Tahoma"/>
            <family val="2"/>
          </rPr>
          <t>.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100159CE-719B-40AD-9AD9-AAE71B3F8A2E}">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100-000001000000}">
      <text>
        <r>
          <rPr>
            <b/>
            <sz val="9"/>
            <color indexed="81"/>
            <rFont val="Tahoma"/>
            <family val="2"/>
          </rPr>
          <t>USUARIO:</t>
        </r>
        <r>
          <rPr>
            <sz val="9"/>
            <color indexed="81"/>
            <rFont val="Tahoma"/>
            <family val="2"/>
          </rPr>
          <t xml:space="preserve">
PSP</t>
        </r>
      </text>
    </comment>
    <comment ref="T22" authorId="1" shapeId="0" xr:uid="{00000000-0006-0000-0100-000002000000}">
      <text>
        <r>
          <rPr>
            <b/>
            <sz val="9"/>
            <color indexed="81"/>
            <rFont val="Tahoma"/>
            <family val="2"/>
          </rPr>
          <t>USUARIO:</t>
        </r>
        <r>
          <rPr>
            <sz val="9"/>
            <color indexed="81"/>
            <rFont val="Tahoma"/>
            <family val="2"/>
          </rPr>
          <t xml:space="preserve">
Licenciamiento</t>
        </r>
      </text>
    </comment>
    <comment ref="V22" authorId="1" shapeId="0" xr:uid="{00000000-0006-0000-0100-000003000000}">
      <text>
        <r>
          <rPr>
            <b/>
            <sz val="9"/>
            <color indexed="81"/>
            <rFont val="Tahoma"/>
            <family val="2"/>
          </rPr>
          <t>USUARIO:</t>
        </r>
        <r>
          <rPr>
            <sz val="9"/>
            <color indexed="81"/>
            <rFont val="Tahoma"/>
            <family val="2"/>
          </rPr>
          <t xml:space="preserve">
Papeleria, central de medios</t>
        </r>
      </text>
    </comment>
    <comment ref="C24" authorId="1" shapeId="0" xr:uid="{00000000-0006-0000-0100-000004000000}">
      <text>
        <r>
          <rPr>
            <b/>
            <sz val="9"/>
            <color indexed="81"/>
            <rFont val="Tahoma"/>
            <family val="2"/>
          </rPr>
          <t>USUARIO:</t>
        </r>
        <r>
          <rPr>
            <sz val="9"/>
            <color indexed="81"/>
            <rFont val="Tahoma"/>
            <family val="2"/>
          </rPr>
          <t xml:space="preserve">
Central de Medios</t>
        </r>
      </text>
    </comment>
    <comment ref="D24" authorId="1"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1" shapeId="0" xr:uid="{00000000-0006-0000-0100-000006000000}">
      <text>
        <r>
          <rPr>
            <b/>
            <sz val="9"/>
            <color indexed="81"/>
            <rFont val="Tahoma"/>
            <family val="2"/>
          </rPr>
          <t>USUARIO:</t>
        </r>
        <r>
          <rPr>
            <sz val="9"/>
            <color indexed="81"/>
            <rFont val="Tahoma"/>
            <family val="2"/>
          </rPr>
          <t xml:space="preserve">
PSP</t>
        </r>
      </text>
    </comment>
    <comment ref="S24" authorId="1" shapeId="0" xr:uid="{00000000-0006-0000-0100-000007000000}">
      <text>
        <r>
          <rPr>
            <b/>
            <sz val="9"/>
            <color indexed="81"/>
            <rFont val="Tahoma"/>
            <family val="2"/>
          </rPr>
          <t>USUARIO:</t>
        </r>
        <r>
          <rPr>
            <sz val="9"/>
            <color indexed="81"/>
            <rFont val="Tahoma"/>
            <family val="2"/>
          </rPr>
          <t xml:space="preserve">
PSP</t>
        </r>
      </text>
    </comment>
    <comment ref="T24" authorId="1" shapeId="0" xr:uid="{00000000-0006-0000-0100-000008000000}">
      <text>
        <r>
          <rPr>
            <b/>
            <sz val="9"/>
            <color indexed="81"/>
            <rFont val="Tahoma"/>
            <family val="2"/>
          </rPr>
          <t>USUARIO:</t>
        </r>
        <r>
          <rPr>
            <sz val="9"/>
            <color indexed="81"/>
            <rFont val="Tahoma"/>
            <family val="2"/>
          </rPr>
          <t xml:space="preserve">
PSP</t>
        </r>
      </text>
    </comment>
    <comment ref="U24" authorId="1" shapeId="0" xr:uid="{00000000-0006-0000-0100-000009000000}">
      <text>
        <r>
          <rPr>
            <b/>
            <sz val="9"/>
            <color indexed="81"/>
            <rFont val="Tahoma"/>
            <family val="2"/>
          </rPr>
          <t>USUARIO:</t>
        </r>
        <r>
          <rPr>
            <sz val="9"/>
            <color indexed="81"/>
            <rFont val="Tahoma"/>
            <family val="2"/>
          </rPr>
          <t xml:space="preserve">
PSP, licenciamiento</t>
        </r>
      </text>
    </comment>
    <comment ref="V24" authorId="1" shapeId="0" xr:uid="{00000000-0006-0000-0100-00000A000000}">
      <text>
        <r>
          <rPr>
            <b/>
            <sz val="9"/>
            <color indexed="81"/>
            <rFont val="Tahoma"/>
            <family val="2"/>
          </rPr>
          <t>USUARIO:</t>
        </r>
        <r>
          <rPr>
            <sz val="9"/>
            <color indexed="81"/>
            <rFont val="Tahoma"/>
            <family val="2"/>
          </rPr>
          <t xml:space="preserve">
PSP</t>
        </r>
      </text>
    </comment>
    <comment ref="W24" authorId="1"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1" shapeId="0" xr:uid="{00000000-0006-0000-0100-00000C000000}">
      <text>
        <r>
          <rPr>
            <b/>
            <sz val="9"/>
            <color indexed="81"/>
            <rFont val="Tahoma"/>
            <family val="2"/>
          </rPr>
          <t>USUARIO:</t>
        </r>
        <r>
          <rPr>
            <sz val="9"/>
            <color indexed="81"/>
            <rFont val="Tahoma"/>
            <family val="2"/>
          </rPr>
          <t xml:space="preserve">
PSP</t>
        </r>
      </text>
    </comment>
    <comment ref="Y24" authorId="1" shapeId="0" xr:uid="{00000000-0006-0000-0100-00000D000000}">
      <text>
        <r>
          <rPr>
            <b/>
            <sz val="9"/>
            <color indexed="81"/>
            <rFont val="Tahoma"/>
            <family val="2"/>
          </rPr>
          <t>USUARIO:</t>
        </r>
        <r>
          <rPr>
            <sz val="9"/>
            <color indexed="81"/>
            <rFont val="Tahoma"/>
            <family val="2"/>
          </rPr>
          <t xml:space="preserve">
PSP, central de medios</t>
        </r>
      </text>
    </comment>
    <comment ref="Z24" authorId="1" shapeId="0" xr:uid="{00000000-0006-0000-0100-00000E000000}">
      <text>
        <r>
          <rPr>
            <b/>
            <sz val="9"/>
            <color indexed="81"/>
            <rFont val="Tahoma"/>
            <family val="2"/>
          </rPr>
          <t>USUARIO:</t>
        </r>
        <r>
          <rPr>
            <sz val="9"/>
            <color indexed="81"/>
            <rFont val="Tahoma"/>
            <family val="2"/>
          </rPr>
          <t xml:space="preserve">
PSP</t>
        </r>
      </text>
    </comment>
    <comment ref="AA24" authorId="1" shapeId="0" xr:uid="{00000000-0006-0000-0100-00000F000000}">
      <text>
        <r>
          <rPr>
            <b/>
            <sz val="9"/>
            <color indexed="81"/>
            <rFont val="Tahoma"/>
            <family val="2"/>
          </rPr>
          <t>USUARIO:</t>
        </r>
        <r>
          <rPr>
            <sz val="9"/>
            <color indexed="81"/>
            <rFont val="Tahoma"/>
            <family val="2"/>
          </rPr>
          <t xml:space="preserve">
PSP, central de medios</t>
        </r>
      </text>
    </comment>
    <comment ref="AB24" authorId="1" shapeId="0" xr:uid="{00000000-0006-0000-0100-000010000000}">
      <text>
        <r>
          <rPr>
            <b/>
            <sz val="9"/>
            <color indexed="81"/>
            <rFont val="Tahoma"/>
            <family val="2"/>
          </rPr>
          <t>USUARIO:</t>
        </r>
        <r>
          <rPr>
            <sz val="9"/>
            <color indexed="81"/>
            <rFont val="Tahoma"/>
            <family val="2"/>
          </rPr>
          <t xml:space="preserve">
PSP</t>
        </r>
      </text>
    </comment>
    <comment ref="C32" authorId="2"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1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100-000013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W34" authorId="0" shapeId="0" xr:uid="{4EE7650C-E8AB-4769-8F84-A1559EF95534}">
      <text>
        <r>
          <rPr>
            <b/>
            <sz val="11"/>
            <color rgb="FF000000"/>
            <rFont val="Tahoma"/>
            <family val="2"/>
          </rPr>
          <t>ANGELA MARCELA FORERO RUIZ:</t>
        </r>
        <r>
          <rPr>
            <sz val="11"/>
            <color rgb="FF000000"/>
            <rFont val="Tahoma"/>
            <family val="2"/>
          </rPr>
          <t xml:space="preserve">
</t>
        </r>
        <r>
          <rPr>
            <sz val="11"/>
            <color rgb="FF000000"/>
            <rFont val="Tahoma"/>
            <family val="2"/>
          </rPr>
          <t xml:space="preserve">Se menciona que no hay retrasos, sin embargo en junio solo se articularon 12 secretarías y no 13 como está programada la meta esto podría tomarse como un retraso 
</t>
        </r>
        <r>
          <rPr>
            <sz val="11"/>
            <color rgb="FF000000"/>
            <rFont val="Tahoma"/>
            <family val="2"/>
          </rPr>
          <t xml:space="preserve">Justificar si apica
</t>
        </r>
      </text>
    </comment>
    <comment ref="I35" authorId="0" shapeId="0" xr:uid="{0E76FBF8-0EA5-480B-B802-5F97B0898D1D}">
      <text>
        <r>
          <rPr>
            <b/>
            <sz val="11"/>
            <color rgb="FF000000"/>
            <rFont val="Tahoma"/>
            <family val="2"/>
          </rPr>
          <t>ANGELA MARCELA FORERO RUIZ:</t>
        </r>
        <r>
          <rPr>
            <sz val="11"/>
            <color rgb="FF000000"/>
            <rFont val="Tahoma"/>
            <family val="2"/>
          </rPr>
          <t xml:space="preserve">
</t>
        </r>
        <r>
          <rPr>
            <sz val="11"/>
            <color rgb="FF000000"/>
            <rFont val="Tahoma"/>
            <family val="2"/>
          </rPr>
          <t xml:space="preserve">Porque no fueron las 13 secretarías? Mencionar en el avance porque no se cumplió la meta de las 13
</t>
        </r>
        <r>
          <rPr>
            <sz val="11"/>
            <color rgb="FF000000"/>
            <rFont val="Tahoma"/>
            <family val="2"/>
          </rPr>
          <t>En ese orden cual sería el resultado a la fecha, las 12 o 13?</t>
        </r>
      </text>
    </comment>
    <comment ref="P35" authorId="0" shapeId="0" xr:uid="{B9A4561C-A819-44FF-AF0C-5D265DC01269}">
      <text>
        <r>
          <rPr>
            <b/>
            <sz val="11"/>
            <color rgb="FF000000"/>
            <rFont val="Tahoma"/>
            <family val="2"/>
          </rPr>
          <t>ANGELA MARCELA FORERO RUIZ:</t>
        </r>
        <r>
          <rPr>
            <sz val="11"/>
            <color rgb="FF000000"/>
            <rFont val="Tahoma"/>
            <family val="2"/>
          </rPr>
          <t xml:space="preserve">
</t>
        </r>
        <r>
          <rPr>
            <sz val="11"/>
            <color rgb="FF000000"/>
            <rFont val="Tahoma"/>
            <family val="2"/>
          </rPr>
          <t>Cual sería el avance, 13 secretarías o 12?</t>
        </r>
      </text>
    </comment>
    <comment ref="Q38" authorId="0" shapeId="0" xr:uid="{320B9786-8947-48A0-BCB7-6EEE6D010562}">
      <text>
        <r>
          <rPr>
            <b/>
            <sz val="11"/>
            <color rgb="FF000000"/>
            <rFont val="Tahoma"/>
            <family val="2"/>
          </rPr>
          <t>ANGELA MARCELA FORERO RUIZ:</t>
        </r>
        <r>
          <rPr>
            <sz val="11"/>
            <color rgb="FF000000"/>
            <rFont val="Tahoma"/>
            <family val="2"/>
          </rPr>
          <t xml:space="preserve">
</t>
        </r>
        <r>
          <rPr>
            <sz val="11"/>
            <color rgb="FF000000"/>
            <rFont val="Tahoma"/>
            <family val="2"/>
          </rPr>
          <t>Incluir no  solo el avance del mes sino el acumulado a la fecha (primer semestre)</t>
        </r>
      </text>
    </comment>
    <comment ref="Q40" authorId="0" shapeId="0" xr:uid="{2BB4F6D8-FEFE-4956-AC84-4D309D0CF0D1}">
      <text>
        <r>
          <rPr>
            <b/>
            <sz val="11"/>
            <color rgb="FF000000"/>
            <rFont val="Tahoma"/>
            <family val="2"/>
          </rPr>
          <t xml:space="preserve">ANGELA MARCELA FORERO RUIZ:
</t>
        </r>
        <r>
          <rPr>
            <sz val="11"/>
            <color rgb="FF000000"/>
            <rFont val="Tahoma"/>
            <family val="2"/>
          </rPr>
          <t>Incluir no  solo el avance del mes sino el acumulado a la fecha (primer semestre)</t>
        </r>
      </text>
    </comment>
    <comment ref="Q42" authorId="0" shapeId="0" xr:uid="{A79EB417-44D6-473A-A14A-50DC52D7B456}">
      <text>
        <r>
          <rPr>
            <b/>
            <sz val="11"/>
            <color rgb="FF000000"/>
            <rFont val="Tahoma"/>
            <family val="2"/>
          </rPr>
          <t xml:space="preserve">ANGELA MARCELA FORERO RUIZ:
</t>
        </r>
        <r>
          <rPr>
            <sz val="11"/>
            <color rgb="FF000000"/>
            <rFont val="Tahoma"/>
            <family val="2"/>
          </rPr>
          <t xml:space="preserve">Incluir no  solo el avance del mes sino el acumulado a la fecha (primer semestre)
</t>
        </r>
        <r>
          <rPr>
            <sz val="11"/>
            <color rgb="FF000000"/>
            <rFont val="Tahoma"/>
            <family val="2"/>
          </rPr>
          <t xml:space="preserve">
</t>
        </r>
        <r>
          <rPr>
            <sz val="11"/>
            <color rgb="FF000000"/>
            <rFont val="Tahoma"/>
            <family val="2"/>
          </rPr>
          <t>Adicionalmente aclarar si se gestionó, se realizó la tercera sesión, falta la palabra al inicio del parrafo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F7DF0878-A76F-4467-9E6C-50B9CEA8B8D4}">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200-000001000000}">
      <text>
        <r>
          <rPr>
            <b/>
            <sz val="9"/>
            <color indexed="81"/>
            <rFont val="Tahoma"/>
            <family val="2"/>
          </rPr>
          <t>USUARIO:</t>
        </r>
        <r>
          <rPr>
            <sz val="9"/>
            <color indexed="81"/>
            <rFont val="Tahoma"/>
            <family val="2"/>
          </rPr>
          <t xml:space="preserve">
PSP</t>
        </r>
      </text>
    </comment>
    <comment ref="S22" authorId="1"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1"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1" shapeId="0" xr:uid="{00000000-0006-0000-0200-000004000000}">
      <text>
        <r>
          <rPr>
            <b/>
            <sz val="9"/>
            <color indexed="81"/>
            <rFont val="Tahoma"/>
            <family val="2"/>
          </rPr>
          <t>USUARIO:</t>
        </r>
        <r>
          <rPr>
            <sz val="9"/>
            <color indexed="81"/>
            <rFont val="Tahoma"/>
            <family val="2"/>
          </rPr>
          <t xml:space="preserve">
papeleria, central de medios</t>
        </r>
      </text>
    </comment>
    <comment ref="W22" authorId="1" shapeId="0" xr:uid="{00000000-0006-0000-0200-000005000000}">
      <text>
        <r>
          <rPr>
            <b/>
            <sz val="9"/>
            <color indexed="81"/>
            <rFont val="Tahoma"/>
            <family val="2"/>
          </rPr>
          <t>USUARIO:</t>
        </r>
        <r>
          <rPr>
            <sz val="9"/>
            <color indexed="81"/>
            <rFont val="Tahoma"/>
            <family val="2"/>
          </rPr>
          <t xml:space="preserve">
Mobiliario</t>
        </r>
      </text>
    </comment>
    <comment ref="C24" authorId="1" shapeId="0" xr:uid="{00000000-0006-0000-0200-000006000000}">
      <text>
        <r>
          <rPr>
            <b/>
            <sz val="9"/>
            <color rgb="FF000000"/>
            <rFont val="Tahoma"/>
            <family val="2"/>
          </rPr>
          <t>USUARIO:</t>
        </r>
        <r>
          <rPr>
            <sz val="9"/>
            <color rgb="FF000000"/>
            <rFont val="Tahoma"/>
            <family val="2"/>
          </rPr>
          <t xml:space="preserve">
</t>
        </r>
        <r>
          <rPr>
            <sz val="9"/>
            <color rgb="FF000000"/>
            <rFont val="Tahoma"/>
            <family val="2"/>
          </rPr>
          <t>Impresos, lineas celular, internet, aseo y cafeteria, operador logistico, Central de Medios</t>
        </r>
      </text>
    </comment>
    <comment ref="D24" authorId="1"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1"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1"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1" shapeId="0" xr:uid="{00000000-0006-0000-0200-00000A000000}">
      <text>
        <r>
          <rPr>
            <b/>
            <sz val="9"/>
            <color indexed="81"/>
            <rFont val="Tahoma"/>
            <family val="2"/>
          </rPr>
          <t>USUARIO:</t>
        </r>
        <r>
          <rPr>
            <sz val="9"/>
            <color indexed="81"/>
            <rFont val="Tahoma"/>
            <family val="2"/>
          </rPr>
          <t xml:space="preserve">
Lineas celular, internet</t>
        </r>
      </text>
    </comment>
    <comment ref="H24" authorId="1" shapeId="0" xr:uid="{00000000-0006-0000-0200-00000B000000}">
      <text>
        <r>
          <rPr>
            <b/>
            <sz val="9"/>
            <color indexed="81"/>
            <rFont val="Tahoma"/>
            <family val="2"/>
          </rPr>
          <t>USUARIO:</t>
        </r>
        <r>
          <rPr>
            <sz val="9"/>
            <color indexed="81"/>
            <rFont val="Tahoma"/>
            <family val="2"/>
          </rPr>
          <t xml:space="preserve">
Internet</t>
        </r>
      </text>
    </comment>
    <comment ref="I24" authorId="1" shapeId="0" xr:uid="{00000000-0006-0000-0200-00000C000000}">
      <text>
        <r>
          <rPr>
            <b/>
            <sz val="9"/>
            <color indexed="81"/>
            <rFont val="Tahoma"/>
            <family val="2"/>
          </rPr>
          <t>USUARIO:</t>
        </r>
        <r>
          <rPr>
            <sz val="9"/>
            <color indexed="81"/>
            <rFont val="Tahoma"/>
            <family val="2"/>
          </rPr>
          <t xml:space="preserve">
Internet</t>
        </r>
      </text>
    </comment>
    <comment ref="N24" authorId="1" shapeId="0" xr:uid="{00000000-0006-0000-0200-00000D000000}">
      <text>
        <r>
          <rPr>
            <b/>
            <sz val="9"/>
            <color indexed="81"/>
            <rFont val="Tahoma"/>
            <family val="2"/>
          </rPr>
          <t>USUARIO:</t>
        </r>
        <r>
          <rPr>
            <sz val="9"/>
            <color indexed="81"/>
            <rFont val="Tahoma"/>
            <family val="2"/>
          </rPr>
          <t xml:space="preserve">
Rezago Aseo y Cafeteria</t>
        </r>
      </text>
    </comment>
    <comment ref="R24" authorId="1" shapeId="0" xr:uid="{00000000-0006-0000-0200-00000E000000}">
      <text>
        <r>
          <rPr>
            <b/>
            <sz val="9"/>
            <color indexed="81"/>
            <rFont val="Tahoma"/>
            <family val="2"/>
          </rPr>
          <t>USUARIO:</t>
        </r>
        <r>
          <rPr>
            <sz val="9"/>
            <color indexed="81"/>
            <rFont val="Tahoma"/>
            <family val="2"/>
          </rPr>
          <t xml:space="preserve">
PSP</t>
        </r>
      </text>
    </comment>
    <comment ref="S24" authorId="1" shapeId="0" xr:uid="{00000000-0006-0000-0200-00000F000000}">
      <text>
        <r>
          <rPr>
            <b/>
            <sz val="9"/>
            <color indexed="81"/>
            <rFont val="Tahoma"/>
            <family val="2"/>
          </rPr>
          <t>USUARIO:</t>
        </r>
        <r>
          <rPr>
            <sz val="9"/>
            <color indexed="81"/>
            <rFont val="Tahoma"/>
            <family val="2"/>
          </rPr>
          <t xml:space="preserve">
PSP</t>
        </r>
      </text>
    </comment>
    <comment ref="T24" authorId="1"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1"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1"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1"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1"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1"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1"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1" shapeId="0" xr:uid="{00000000-0006-0000-0200-000017000000}">
      <text>
        <r>
          <rPr>
            <b/>
            <sz val="9"/>
            <color rgb="FF000000"/>
            <rFont val="Tahoma"/>
            <family val="2"/>
          </rPr>
          <t>USUARIO:</t>
        </r>
        <r>
          <rPr>
            <sz val="9"/>
            <color rgb="FF000000"/>
            <rFont val="Tahoma"/>
            <family val="2"/>
          </rPr>
          <t xml:space="preserve">
</t>
        </r>
        <r>
          <rPr>
            <sz val="9"/>
            <color rgb="FF000000"/>
            <rFont val="Tahoma"/>
            <family val="2"/>
          </rPr>
          <t>PSP, transporte, operador logistico, aseo y cafeteria, internet, central de medios, lineas celular</t>
        </r>
      </text>
    </comment>
    <comment ref="AB24" authorId="1"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2"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200-00001B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42" authorId="0" shapeId="0" xr:uid="{A11CED0B-3B7A-4110-9C41-BC24DBED40CB}">
      <text>
        <r>
          <rPr>
            <b/>
            <sz val="11"/>
            <color rgb="FF000000"/>
            <rFont val="Tahoma"/>
            <family val="2"/>
          </rPr>
          <t>ANGELA MARCELA FORERO RUIZ:</t>
        </r>
        <r>
          <rPr>
            <sz val="11"/>
            <color rgb="FF000000"/>
            <rFont val="Tahoma"/>
            <family val="2"/>
          </rPr>
          <t xml:space="preserve">
</t>
        </r>
        <r>
          <rPr>
            <sz val="11"/>
            <color rgb="FF000000"/>
            <rFont val="Tahoma"/>
            <family val="2"/>
          </rPr>
          <t xml:space="preserve">Especificar si del mes que hacen mención es junio o es abril. 
</t>
        </r>
        <r>
          <rPr>
            <sz val="11"/>
            <color rgb="FF000000"/>
            <rFont val="Tahoma"/>
            <family val="2"/>
          </rPr>
          <t>Se sugiere que sea caro que se hizo en junio y finamente como indica el parrafo que acumulado del semestre van 86 sesiones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3BB2F7E1-775C-442A-9BFD-F7A39CE0AE69}">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300-000001000000}">
      <text>
        <r>
          <rPr>
            <b/>
            <sz val="9"/>
            <color indexed="81"/>
            <rFont val="Tahoma"/>
            <family val="2"/>
          </rPr>
          <t>USUARIO:</t>
        </r>
        <r>
          <rPr>
            <sz val="9"/>
            <color indexed="81"/>
            <rFont val="Tahoma"/>
            <family val="2"/>
          </rPr>
          <t xml:space="preserve">
PSP</t>
        </r>
      </text>
    </comment>
    <comment ref="S22" authorId="1"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1"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1" shapeId="0" xr:uid="{00000000-0006-0000-0300-000004000000}">
      <text>
        <r>
          <rPr>
            <b/>
            <sz val="9"/>
            <color indexed="81"/>
            <rFont val="Tahoma"/>
            <family val="2"/>
          </rPr>
          <t>USUARIO:</t>
        </r>
        <r>
          <rPr>
            <sz val="9"/>
            <color indexed="81"/>
            <rFont val="Tahoma"/>
            <family val="2"/>
          </rPr>
          <t xml:space="preserve">
papeleria, central de medios</t>
        </r>
      </text>
    </comment>
    <comment ref="C24" authorId="1"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1"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1"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1"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1" shapeId="0" xr:uid="{00000000-0006-0000-0300-000009000000}">
      <text>
        <r>
          <rPr>
            <b/>
            <sz val="9"/>
            <color indexed="81"/>
            <rFont val="Tahoma"/>
            <family val="2"/>
          </rPr>
          <t>USUARIO:</t>
        </r>
        <r>
          <rPr>
            <sz val="9"/>
            <color indexed="81"/>
            <rFont val="Tahoma"/>
            <family val="2"/>
          </rPr>
          <t xml:space="preserve">
Lineas celular, internet</t>
        </r>
      </text>
    </comment>
    <comment ref="H24" authorId="1" shapeId="0" xr:uid="{00000000-0006-0000-0300-00000A000000}">
      <text>
        <r>
          <rPr>
            <b/>
            <sz val="9"/>
            <color indexed="81"/>
            <rFont val="Tahoma"/>
            <family val="2"/>
          </rPr>
          <t>USUARIO:</t>
        </r>
        <r>
          <rPr>
            <sz val="9"/>
            <color indexed="81"/>
            <rFont val="Tahoma"/>
            <family val="2"/>
          </rPr>
          <t xml:space="preserve">
Internet</t>
        </r>
      </text>
    </comment>
    <comment ref="I24" authorId="1" shapeId="0" xr:uid="{00000000-0006-0000-0300-00000B000000}">
      <text>
        <r>
          <rPr>
            <b/>
            <sz val="9"/>
            <color indexed="81"/>
            <rFont val="Tahoma"/>
            <family val="2"/>
          </rPr>
          <t>USUARIO:</t>
        </r>
        <r>
          <rPr>
            <sz val="9"/>
            <color indexed="81"/>
            <rFont val="Tahoma"/>
            <family val="2"/>
          </rPr>
          <t xml:space="preserve">
Internet</t>
        </r>
      </text>
    </comment>
    <comment ref="R24" authorId="1" shapeId="0" xr:uid="{00000000-0006-0000-0300-00000C000000}">
      <text>
        <r>
          <rPr>
            <b/>
            <sz val="9"/>
            <color indexed="81"/>
            <rFont val="Tahoma"/>
            <family val="2"/>
          </rPr>
          <t>USUARIO:</t>
        </r>
        <r>
          <rPr>
            <sz val="9"/>
            <color indexed="81"/>
            <rFont val="Tahoma"/>
            <family val="2"/>
          </rPr>
          <t xml:space="preserve">
PSP</t>
        </r>
      </text>
    </comment>
    <comment ref="S24" authorId="1" shapeId="0" xr:uid="{00000000-0006-0000-0300-00000D000000}">
      <text>
        <r>
          <rPr>
            <b/>
            <sz val="9"/>
            <color indexed="81"/>
            <rFont val="Tahoma"/>
            <family val="2"/>
          </rPr>
          <t>USUARIO:</t>
        </r>
        <r>
          <rPr>
            <sz val="9"/>
            <color indexed="81"/>
            <rFont val="Tahoma"/>
            <family val="2"/>
          </rPr>
          <t xml:space="preserve">
PSP</t>
        </r>
      </text>
    </comment>
    <comment ref="T24" authorId="1" shapeId="0" xr:uid="{00000000-0006-0000-0300-00000E000000}">
      <text>
        <r>
          <rPr>
            <b/>
            <sz val="9"/>
            <color indexed="81"/>
            <rFont val="Tahoma"/>
            <family val="2"/>
          </rPr>
          <t>USUARIO:</t>
        </r>
        <r>
          <rPr>
            <sz val="9"/>
            <color indexed="81"/>
            <rFont val="Tahoma"/>
            <family val="2"/>
          </rPr>
          <t xml:space="preserve">
PSP, transporte, internet</t>
        </r>
      </text>
    </comment>
    <comment ref="U24" authorId="1"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1"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1"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1"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1"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1"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1"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1"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2"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300-000019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6205A871-1ECF-4BE8-BDF2-D9A3ED85B132}">
      <text>
        <r>
          <rPr>
            <b/>
            <sz val="11"/>
            <color rgb="FF000000"/>
            <rFont val="Tahoma"/>
            <family val="2"/>
          </rPr>
          <t>ANGELA MARCELA FORERO RUIZ:</t>
        </r>
        <r>
          <rPr>
            <sz val="11"/>
            <color rgb="FF000000"/>
            <rFont val="Tahoma"/>
            <family val="2"/>
          </rPr>
          <t xml:space="preserve">
</t>
        </r>
        <r>
          <rPr>
            <sz val="11"/>
            <color rgb="FF000000"/>
            <rFont val="Tahoma"/>
            <family val="2"/>
          </rPr>
          <t>Incluir adicional al avance del mes, el acumulado del primer trimestre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BE0B6ADB-B609-4F9B-9FD9-E8A6F6D98B27}">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0" authorId="3" shapeId="0" xr:uid="{27EA5C29-DE63-4031-9851-7CAD4B9D545F}">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2" authorId="3" shapeId="0" xr:uid="{0B436EB4-E83B-4BA7-BABA-A64536CCD58D}">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Angela Marcela Forero Ruiz</author>
  </authors>
  <commentList>
    <comment ref="O8" authorId="0" shapeId="0" xr:uid="{79C39D15-6B98-4278-A5B5-9CE42980EEF0}">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9B9B9FE4-79C0-5D48-8F04-F2566F688E4D}">
      <text>
        <r>
          <rPr>
            <b/>
            <sz val="9"/>
            <color indexed="81"/>
            <rFont val="Tahoma"/>
            <family val="2"/>
          </rPr>
          <t>USUARIO:</t>
        </r>
        <r>
          <rPr>
            <sz val="9"/>
            <color indexed="81"/>
            <rFont val="Tahoma"/>
            <family val="2"/>
          </rPr>
          <t xml:space="preserve">
PSP</t>
        </r>
      </text>
    </comment>
    <comment ref="T22" authorId="1" shapeId="0" xr:uid="{C24F8766-804A-B74C-8840-BF0FA977C91B}">
      <text>
        <r>
          <rPr>
            <b/>
            <sz val="9"/>
            <color indexed="81"/>
            <rFont val="Tahoma"/>
            <family val="2"/>
          </rPr>
          <t>USUARIO:</t>
        </r>
        <r>
          <rPr>
            <sz val="9"/>
            <color indexed="81"/>
            <rFont val="Tahoma"/>
            <family val="2"/>
          </rPr>
          <t xml:space="preserve">
Licenciamiento</t>
        </r>
      </text>
    </comment>
    <comment ref="V22" authorId="1" shapeId="0" xr:uid="{8FF217B0-A300-F145-B7C6-05E4CC6065F2}">
      <text>
        <r>
          <rPr>
            <b/>
            <sz val="9"/>
            <color indexed="81"/>
            <rFont val="Tahoma"/>
            <family val="2"/>
          </rPr>
          <t>USUARIO:</t>
        </r>
        <r>
          <rPr>
            <sz val="9"/>
            <color indexed="81"/>
            <rFont val="Tahoma"/>
            <family val="2"/>
          </rPr>
          <t xml:space="preserve">
Papeleria, central de medios</t>
        </r>
      </text>
    </comment>
    <comment ref="C24" authorId="1" shapeId="0" xr:uid="{3AC2F764-B360-D94A-B77F-421CCA39690E}">
      <text>
        <r>
          <rPr>
            <b/>
            <sz val="9"/>
            <color indexed="81"/>
            <rFont val="Tahoma"/>
            <family val="2"/>
          </rPr>
          <t>USUARIO:</t>
        </r>
        <r>
          <rPr>
            <sz val="9"/>
            <color indexed="81"/>
            <rFont val="Tahoma"/>
            <family val="2"/>
          </rPr>
          <t xml:space="preserve">
Central de Medios</t>
        </r>
      </text>
    </comment>
    <comment ref="D24" authorId="1" shapeId="0" xr:uid="{2AEEF1B5-CB04-8941-925A-EC658A124522}">
      <text>
        <r>
          <rPr>
            <b/>
            <sz val="9"/>
            <color indexed="81"/>
            <rFont val="Tahoma"/>
            <family val="2"/>
          </rPr>
          <t>USUARIO:</t>
        </r>
        <r>
          <rPr>
            <sz val="9"/>
            <color indexed="81"/>
            <rFont val="Tahoma"/>
            <family val="2"/>
          </rPr>
          <t xml:space="preserve">
PSP Derly, Adición PSP Ana, Adición PSP Carol Rozo, Central de Medios</t>
        </r>
      </text>
    </comment>
    <comment ref="R24" authorId="1" shapeId="0" xr:uid="{3B8B047E-59B2-0243-980B-B9D1D2E4C9D0}">
      <text>
        <r>
          <rPr>
            <b/>
            <sz val="9"/>
            <color indexed="81"/>
            <rFont val="Tahoma"/>
            <family val="2"/>
          </rPr>
          <t>USUARIO:</t>
        </r>
        <r>
          <rPr>
            <sz val="9"/>
            <color indexed="81"/>
            <rFont val="Tahoma"/>
            <family val="2"/>
          </rPr>
          <t xml:space="preserve">
PSP</t>
        </r>
      </text>
    </comment>
    <comment ref="S24" authorId="1" shapeId="0" xr:uid="{7308AA7A-84A7-FA4D-AE8D-1F45ED1E6414}">
      <text>
        <r>
          <rPr>
            <b/>
            <sz val="9"/>
            <color indexed="81"/>
            <rFont val="Tahoma"/>
            <family val="2"/>
          </rPr>
          <t>USUARIO:</t>
        </r>
        <r>
          <rPr>
            <sz val="9"/>
            <color indexed="81"/>
            <rFont val="Tahoma"/>
            <family val="2"/>
          </rPr>
          <t xml:space="preserve">
PSP</t>
        </r>
      </text>
    </comment>
    <comment ref="T24" authorId="1" shapeId="0" xr:uid="{93899F26-24E2-1B42-9B77-0E1461A2ECB5}">
      <text>
        <r>
          <rPr>
            <b/>
            <sz val="9"/>
            <color indexed="81"/>
            <rFont val="Tahoma"/>
            <family val="2"/>
          </rPr>
          <t>USUARIO:</t>
        </r>
        <r>
          <rPr>
            <sz val="9"/>
            <color indexed="81"/>
            <rFont val="Tahoma"/>
            <family val="2"/>
          </rPr>
          <t xml:space="preserve">
PSP</t>
        </r>
      </text>
    </comment>
    <comment ref="U24" authorId="1" shapeId="0" xr:uid="{4C84F406-96B9-254A-8067-5563F8C45D41}">
      <text>
        <r>
          <rPr>
            <b/>
            <sz val="9"/>
            <color indexed="81"/>
            <rFont val="Tahoma"/>
            <family val="2"/>
          </rPr>
          <t>USUARIO:</t>
        </r>
        <r>
          <rPr>
            <sz val="9"/>
            <color indexed="81"/>
            <rFont val="Tahoma"/>
            <family val="2"/>
          </rPr>
          <t xml:space="preserve">
PSP, licenciamiento</t>
        </r>
      </text>
    </comment>
    <comment ref="V24" authorId="1" shapeId="0" xr:uid="{281CE66B-1AE1-5A44-9EE8-DEF0D90FA257}">
      <text>
        <r>
          <rPr>
            <b/>
            <sz val="9"/>
            <color indexed="81"/>
            <rFont val="Tahoma"/>
            <family val="2"/>
          </rPr>
          <t>USUARIO:</t>
        </r>
        <r>
          <rPr>
            <sz val="9"/>
            <color indexed="81"/>
            <rFont val="Tahoma"/>
            <family val="2"/>
          </rPr>
          <t xml:space="preserve">
PSP</t>
        </r>
      </text>
    </comment>
    <comment ref="W24" authorId="1" shapeId="0" xr:uid="{91CD3B0F-F421-5445-B494-42894F843A0A}">
      <text>
        <r>
          <rPr>
            <b/>
            <sz val="9"/>
            <color indexed="81"/>
            <rFont val="Tahoma"/>
            <family val="2"/>
          </rPr>
          <t>USUARIO:</t>
        </r>
        <r>
          <rPr>
            <sz val="9"/>
            <color indexed="81"/>
            <rFont val="Tahoma"/>
            <family val="2"/>
          </rPr>
          <t xml:space="preserve">
PSP, papeleria, central de medios</t>
        </r>
      </text>
    </comment>
    <comment ref="X24" authorId="1" shapeId="0" xr:uid="{8309DD05-9A58-794D-8225-DF0E85EDF032}">
      <text>
        <r>
          <rPr>
            <b/>
            <sz val="9"/>
            <color indexed="81"/>
            <rFont val="Tahoma"/>
            <family val="2"/>
          </rPr>
          <t>USUARIO:</t>
        </r>
        <r>
          <rPr>
            <sz val="9"/>
            <color indexed="81"/>
            <rFont val="Tahoma"/>
            <family val="2"/>
          </rPr>
          <t xml:space="preserve">
PSP</t>
        </r>
      </text>
    </comment>
    <comment ref="Y24" authorId="1" shapeId="0" xr:uid="{4BF8DBF7-21CF-6B49-8B42-FA344FE4E76B}">
      <text>
        <r>
          <rPr>
            <b/>
            <sz val="9"/>
            <color indexed="81"/>
            <rFont val="Tahoma"/>
            <family val="2"/>
          </rPr>
          <t>USUARIO:</t>
        </r>
        <r>
          <rPr>
            <sz val="9"/>
            <color indexed="81"/>
            <rFont val="Tahoma"/>
            <family val="2"/>
          </rPr>
          <t xml:space="preserve">
PSP, central de medios</t>
        </r>
      </text>
    </comment>
    <comment ref="Z24" authorId="1" shapeId="0" xr:uid="{35C3ED67-0F44-234A-A38E-151FF293C283}">
      <text>
        <r>
          <rPr>
            <b/>
            <sz val="9"/>
            <color indexed="81"/>
            <rFont val="Tahoma"/>
            <family val="2"/>
          </rPr>
          <t>USUARIO:</t>
        </r>
        <r>
          <rPr>
            <sz val="9"/>
            <color indexed="81"/>
            <rFont val="Tahoma"/>
            <family val="2"/>
          </rPr>
          <t xml:space="preserve">
PSP</t>
        </r>
      </text>
    </comment>
    <comment ref="AA24" authorId="1" shapeId="0" xr:uid="{772639D7-5162-E649-8340-96FA728CC3F8}">
      <text>
        <r>
          <rPr>
            <b/>
            <sz val="9"/>
            <color indexed="81"/>
            <rFont val="Tahoma"/>
            <family val="2"/>
          </rPr>
          <t>USUARIO:</t>
        </r>
        <r>
          <rPr>
            <sz val="9"/>
            <color indexed="81"/>
            <rFont val="Tahoma"/>
            <family val="2"/>
          </rPr>
          <t xml:space="preserve">
PSP, central de medios</t>
        </r>
      </text>
    </comment>
    <comment ref="AB24" authorId="1" shapeId="0" xr:uid="{C9AAFB46-38FC-BC4B-B25E-AD2223BC045E}">
      <text>
        <r>
          <rPr>
            <b/>
            <sz val="9"/>
            <color indexed="81"/>
            <rFont val="Tahoma"/>
            <family val="2"/>
          </rPr>
          <t>USUARIO:</t>
        </r>
        <r>
          <rPr>
            <sz val="9"/>
            <color indexed="81"/>
            <rFont val="Tahoma"/>
            <family val="2"/>
          </rPr>
          <t xml:space="preserve">
PSP</t>
        </r>
      </text>
    </comment>
    <comment ref="C32" authorId="2" shapeId="0" xr:uid="{0FE5CF96-BE50-B148-A40A-D9A5098325C2}">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8FCEEBE-4942-B14B-82B2-5D80C783224B}">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O38" authorId="4" shapeId="0" xr:uid="{6EB6BF81-4F63-4D95-80E4-C62DD7117130}">
      <text>
        <r>
          <rPr>
            <b/>
            <sz val="11"/>
            <color rgb="FF000000"/>
            <rFont val="Tahoma"/>
            <family val="2"/>
          </rPr>
          <t>Angela Marcela Forero Ruiz:</t>
        </r>
        <r>
          <rPr>
            <sz val="11"/>
            <color rgb="FF000000"/>
            <rFont val="Tahoma"/>
            <family val="2"/>
          </rPr>
          <t xml:space="preserve">
</t>
        </r>
        <r>
          <rPr>
            <sz val="11"/>
            <color rgb="FF000000"/>
            <rFont val="Tahoma"/>
            <family val="2"/>
          </rPr>
          <t>Mantener la programación que se tenía programada, en las actividades no aplica la meta creciente.</t>
        </r>
      </text>
    </comment>
    <comment ref="Q38" authorId="0" shapeId="0" xr:uid="{CE2CD0F5-FD6F-45ED-838C-DBB1B56C095E}">
      <text>
        <r>
          <rPr>
            <b/>
            <sz val="9"/>
            <color rgb="FF000000"/>
            <rFont val="Tahoma"/>
            <family val="2"/>
          </rPr>
          <t>ANGELA MARCELA FORERO RUIZ</t>
        </r>
        <r>
          <rPr>
            <b/>
            <sz val="11"/>
            <color rgb="FF000000"/>
            <rFont val="Tahoma"/>
            <family val="2"/>
          </rPr>
          <t>:</t>
        </r>
        <r>
          <rPr>
            <sz val="11"/>
            <color rgb="FF000000"/>
            <rFont val="Tahoma"/>
            <family val="2"/>
          </rPr>
          <t xml:space="preserve">
</t>
        </r>
        <r>
          <rPr>
            <sz val="11"/>
            <color rgb="FF000000"/>
            <rFont val="Tahoma"/>
            <family val="2"/>
          </rPr>
          <t xml:space="preserve">Es necesario que el avance del mes se evidencie claramente, que de lo que mencionan se reailzó en el mes de junio
</t>
        </r>
        <r>
          <rPr>
            <sz val="11"/>
            <color rgb="FF000000"/>
            <rFont val="Tahoma"/>
            <family val="2"/>
          </rPr>
          <t>Adicionalmente, incluir el avance acumulado correspondiente al primer semestre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32875DE0-270D-4DDF-8009-044D253EF927}">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917115C2-A172-AB41-87DC-48A4A7ACBE77}">
      <text>
        <r>
          <rPr>
            <b/>
            <sz val="9"/>
            <color indexed="81"/>
            <rFont val="Tahoma"/>
            <family val="2"/>
          </rPr>
          <t>USUARIO:</t>
        </r>
        <r>
          <rPr>
            <sz val="9"/>
            <color indexed="81"/>
            <rFont val="Tahoma"/>
            <family val="2"/>
          </rPr>
          <t xml:space="preserve">
PSP</t>
        </r>
      </text>
    </comment>
    <comment ref="S22" authorId="1" shapeId="0" xr:uid="{04DB8BE9-A4A7-7B45-9A76-AE848F87D74A}">
      <text>
        <r>
          <rPr>
            <b/>
            <sz val="9"/>
            <color indexed="81"/>
            <rFont val="Tahoma"/>
            <family val="2"/>
          </rPr>
          <t>USUARIO:</t>
        </r>
        <r>
          <rPr>
            <sz val="9"/>
            <color indexed="81"/>
            <rFont val="Tahoma"/>
            <family val="2"/>
          </rPr>
          <t xml:space="preserve">
Transporte</t>
        </r>
      </text>
    </comment>
    <comment ref="T22" authorId="1" shapeId="0" xr:uid="{8200768A-139A-2749-824F-FA86494B88F0}">
      <text>
        <r>
          <rPr>
            <b/>
            <sz val="9"/>
            <color indexed="81"/>
            <rFont val="Tahoma"/>
            <family val="2"/>
          </rPr>
          <t>USUARIO:</t>
        </r>
        <r>
          <rPr>
            <sz val="9"/>
            <color indexed="81"/>
            <rFont val="Tahoma"/>
            <family val="2"/>
          </rPr>
          <t xml:space="preserve">
Operador logistico, licenciamiento</t>
        </r>
      </text>
    </comment>
    <comment ref="V22" authorId="1" shapeId="0" xr:uid="{372CC988-56A3-AA4C-89F7-0374F5C51CD5}">
      <text>
        <r>
          <rPr>
            <b/>
            <sz val="9"/>
            <color indexed="81"/>
            <rFont val="Tahoma"/>
            <family val="2"/>
          </rPr>
          <t>USUARIO:</t>
        </r>
        <r>
          <rPr>
            <sz val="9"/>
            <color indexed="81"/>
            <rFont val="Tahoma"/>
            <family val="2"/>
          </rPr>
          <t xml:space="preserve">
papeleria, central de medios</t>
        </r>
      </text>
    </comment>
    <comment ref="C24" authorId="1" shapeId="0" xr:uid="{B9611FEC-2D75-A04F-85F3-70B3036C5E29}">
      <text>
        <r>
          <rPr>
            <b/>
            <sz val="9"/>
            <color indexed="81"/>
            <rFont val="Tahoma"/>
            <family val="2"/>
          </rPr>
          <t>USUARIO:</t>
        </r>
        <r>
          <rPr>
            <sz val="9"/>
            <color indexed="81"/>
            <rFont val="Tahoma"/>
            <family val="2"/>
          </rPr>
          <t xml:space="preserve">
Impresos, operador logistico, Central de Medios</t>
        </r>
      </text>
    </comment>
    <comment ref="D24" authorId="1" shapeId="0" xr:uid="{3D08E083-A605-5945-ADC6-9EDC7A94D44E}">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1" shapeId="0" xr:uid="{0F494500-B80A-2F43-80DD-0ABCB6866A28}">
      <text>
        <r>
          <rPr>
            <b/>
            <sz val="9"/>
            <color indexed="81"/>
            <rFont val="Tahoma"/>
            <family val="2"/>
          </rPr>
          <t>USUARIO:</t>
        </r>
        <r>
          <rPr>
            <sz val="9"/>
            <color indexed="81"/>
            <rFont val="Tahoma"/>
            <family val="2"/>
          </rPr>
          <t xml:space="preserve">
Adición operador logistico</t>
        </r>
      </text>
    </comment>
    <comment ref="F24" authorId="1" shapeId="0" xr:uid="{DD18A177-078F-B444-98F9-8C69AAE69638}">
      <text>
        <r>
          <rPr>
            <b/>
            <sz val="9"/>
            <color indexed="81"/>
            <rFont val="Tahoma"/>
            <family val="2"/>
          </rPr>
          <t>USUARIO:</t>
        </r>
        <r>
          <rPr>
            <sz val="9"/>
            <color indexed="81"/>
            <rFont val="Tahoma"/>
            <family val="2"/>
          </rPr>
          <t xml:space="preserve">
Adición operador logistico</t>
        </r>
      </text>
    </comment>
    <comment ref="R24" authorId="1" shapeId="0" xr:uid="{928FB3A8-2B9A-7F4D-98AB-C731B975F910}">
      <text>
        <r>
          <rPr>
            <b/>
            <sz val="9"/>
            <color indexed="81"/>
            <rFont val="Tahoma"/>
            <family val="2"/>
          </rPr>
          <t>USUARIO:</t>
        </r>
        <r>
          <rPr>
            <sz val="9"/>
            <color indexed="81"/>
            <rFont val="Tahoma"/>
            <family val="2"/>
          </rPr>
          <t xml:space="preserve">
PSP</t>
        </r>
      </text>
    </comment>
    <comment ref="S24" authorId="1" shapeId="0" xr:uid="{53E9FF31-24C2-E84E-8E1D-3A03DC453C2A}">
      <text>
        <r>
          <rPr>
            <b/>
            <sz val="9"/>
            <color indexed="81"/>
            <rFont val="Tahoma"/>
            <family val="2"/>
          </rPr>
          <t>USUARIO:</t>
        </r>
        <r>
          <rPr>
            <sz val="9"/>
            <color indexed="81"/>
            <rFont val="Tahoma"/>
            <family val="2"/>
          </rPr>
          <t xml:space="preserve">
PSP</t>
        </r>
      </text>
    </comment>
    <comment ref="T24" authorId="1" shapeId="0" xr:uid="{B129119E-F2D3-764C-8B4C-092E89E493ED}">
      <text>
        <r>
          <rPr>
            <b/>
            <sz val="9"/>
            <color indexed="81"/>
            <rFont val="Tahoma"/>
            <family val="2"/>
          </rPr>
          <t>USUARIO:</t>
        </r>
        <r>
          <rPr>
            <sz val="9"/>
            <color indexed="81"/>
            <rFont val="Tahoma"/>
            <family val="2"/>
          </rPr>
          <t xml:space="preserve">
PSP, transporte</t>
        </r>
      </text>
    </comment>
    <comment ref="U24" authorId="1" shapeId="0" xr:uid="{9EA4449F-44C8-A944-89C0-9EA4E0F50A19}">
      <text>
        <r>
          <rPr>
            <b/>
            <sz val="9"/>
            <color indexed="81"/>
            <rFont val="Tahoma"/>
            <family val="2"/>
          </rPr>
          <t>USUARIO:</t>
        </r>
        <r>
          <rPr>
            <sz val="9"/>
            <color indexed="81"/>
            <rFont val="Tahoma"/>
            <family val="2"/>
          </rPr>
          <t xml:space="preserve">
PSP, transporte, operador logistico, licenciamiento</t>
        </r>
      </text>
    </comment>
    <comment ref="V24" authorId="1" shapeId="0" xr:uid="{1487F7C4-C232-F744-AAA7-096049711983}">
      <text>
        <r>
          <rPr>
            <b/>
            <sz val="9"/>
            <color indexed="81"/>
            <rFont val="Tahoma"/>
            <family val="2"/>
          </rPr>
          <t>USUARIO:</t>
        </r>
        <r>
          <rPr>
            <sz val="9"/>
            <color indexed="81"/>
            <rFont val="Tahoma"/>
            <family val="2"/>
          </rPr>
          <t xml:space="preserve">
PSP, transporte, operador logistico</t>
        </r>
      </text>
    </comment>
    <comment ref="W24" authorId="1" shapeId="0" xr:uid="{36AE6568-0A05-1943-8298-AFE3A1694A37}">
      <text>
        <r>
          <rPr>
            <b/>
            <sz val="9"/>
            <color indexed="81"/>
            <rFont val="Tahoma"/>
            <family val="2"/>
          </rPr>
          <t>USUARIO:</t>
        </r>
        <r>
          <rPr>
            <sz val="9"/>
            <color indexed="81"/>
            <rFont val="Tahoma"/>
            <family val="2"/>
          </rPr>
          <t xml:space="preserve">
PSP, transporte, papeleria, operador logistico, central de medios</t>
        </r>
      </text>
    </comment>
    <comment ref="X24" authorId="1" shapeId="0" xr:uid="{E0F0BC43-2F71-5342-80DD-47B5A8CADF1F}">
      <text>
        <r>
          <rPr>
            <b/>
            <sz val="9"/>
            <color indexed="81"/>
            <rFont val="Tahoma"/>
            <family val="2"/>
          </rPr>
          <t>USUARIO:</t>
        </r>
        <r>
          <rPr>
            <sz val="9"/>
            <color indexed="81"/>
            <rFont val="Tahoma"/>
            <family val="2"/>
          </rPr>
          <t xml:space="preserve">
PSP, transporte, operador logistico</t>
        </r>
      </text>
    </comment>
    <comment ref="Y24" authorId="1" shapeId="0" xr:uid="{69264D0C-4384-6A47-8ED7-000FFD90741A}">
      <text>
        <r>
          <rPr>
            <b/>
            <sz val="9"/>
            <color indexed="81"/>
            <rFont val="Tahoma"/>
            <family val="2"/>
          </rPr>
          <t>USUARIO:</t>
        </r>
        <r>
          <rPr>
            <sz val="9"/>
            <color indexed="81"/>
            <rFont val="Tahoma"/>
            <family val="2"/>
          </rPr>
          <t xml:space="preserve">
PSP, transporte, operador logistico, central de medios</t>
        </r>
      </text>
    </comment>
    <comment ref="Z24" authorId="1" shapeId="0" xr:uid="{4E629920-08DA-DB42-A771-B677A92F7D81}">
      <text>
        <r>
          <rPr>
            <b/>
            <sz val="9"/>
            <color indexed="81"/>
            <rFont val="Tahoma"/>
            <family val="2"/>
          </rPr>
          <t>USUARIO:</t>
        </r>
        <r>
          <rPr>
            <sz val="9"/>
            <color indexed="81"/>
            <rFont val="Tahoma"/>
            <family val="2"/>
          </rPr>
          <t xml:space="preserve">
PSP, transporte, operador logistico</t>
        </r>
      </text>
    </comment>
    <comment ref="AA24" authorId="1" shapeId="0" xr:uid="{6DC1FF73-FF78-1147-93A3-16D0E3BA43CB}">
      <text>
        <r>
          <rPr>
            <b/>
            <sz val="9"/>
            <color indexed="81"/>
            <rFont val="Tahoma"/>
            <family val="2"/>
          </rPr>
          <t>USUARIO:</t>
        </r>
        <r>
          <rPr>
            <sz val="9"/>
            <color indexed="81"/>
            <rFont val="Tahoma"/>
            <family val="2"/>
          </rPr>
          <t xml:space="preserve">
PSP, transporte, operador logistico, central de medios</t>
        </r>
      </text>
    </comment>
    <comment ref="AB24" authorId="1" shapeId="0" xr:uid="{FB92FC34-1DC9-434C-BECD-7A4C8EC09259}">
      <text>
        <r>
          <rPr>
            <b/>
            <sz val="9"/>
            <color indexed="81"/>
            <rFont val="Tahoma"/>
            <family val="2"/>
          </rPr>
          <t>USUARIO:</t>
        </r>
        <r>
          <rPr>
            <sz val="9"/>
            <color indexed="81"/>
            <rFont val="Tahoma"/>
            <family val="2"/>
          </rPr>
          <t xml:space="preserve">
PSP, transporte, operador logistico</t>
        </r>
      </text>
    </comment>
    <comment ref="C32" authorId="2" shapeId="0" xr:uid="{7EA78C79-5CE5-0748-AD0B-A4BF9740CA1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6BD0BCC5-5FC3-4D4A-87E8-18998F175D59}">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DEBD36C4-9D0E-CA43-BE23-44AFA2E7AED3}">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40" authorId="0" shapeId="0" xr:uid="{AE84A8C8-27AC-4F3D-BAF9-6946267601C3}">
      <text>
        <r>
          <rPr>
            <b/>
            <sz val="11"/>
            <color rgb="FF000000"/>
            <rFont val="Tahoma"/>
            <family val="2"/>
          </rPr>
          <t>ANGELA MARCELA FORERO RUIZ:</t>
        </r>
        <r>
          <rPr>
            <sz val="11"/>
            <color rgb="FF000000"/>
            <rFont val="Tahoma"/>
            <family val="2"/>
          </rPr>
          <t xml:space="preserve">
</t>
        </r>
        <r>
          <rPr>
            <sz val="11"/>
            <color rgb="FF000000"/>
            <rFont val="Tahoma"/>
            <family val="2"/>
          </rPr>
          <t>Incluir el avance acumulado en lo corrido del año, es decir del primer semestre</t>
        </r>
      </text>
    </comment>
    <comment ref="Q42" authorId="0" shapeId="0" xr:uid="{3C97B3E6-6588-4EAB-9CDA-E7EF2C848E5D}">
      <text>
        <r>
          <rPr>
            <b/>
            <sz val="11"/>
            <color rgb="FF000000"/>
            <rFont val="Tahoma"/>
            <family val="2"/>
          </rPr>
          <t>ANGELA MARCELA FORERO RUIZ:</t>
        </r>
        <r>
          <rPr>
            <sz val="11"/>
            <color rgb="FF000000"/>
            <rFont val="Tahoma"/>
            <family val="2"/>
          </rPr>
          <t xml:space="preserve">
</t>
        </r>
        <r>
          <rPr>
            <sz val="11"/>
            <color rgb="FF000000"/>
            <rFont val="Tahoma"/>
            <family val="2"/>
          </rPr>
          <t>Incluir el avance acumulado en lo corrido del año, es decir del primer semestre</t>
        </r>
      </text>
    </comment>
    <comment ref="P46" authorId="0" shapeId="0" xr:uid="{F79E95A9-7A32-6842-83C0-3597F47E9EF3}">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2836E707-46B1-4058-B4BB-A1728BA6D049}">
      <text>
        <r>
          <rPr>
            <b/>
            <sz val="11"/>
            <color rgb="FF000000"/>
            <rFont val="Tahoma"/>
            <family val="2"/>
          </rPr>
          <t>ANGELA MARCELA FORERO RUIZ:</t>
        </r>
        <r>
          <rPr>
            <sz val="11"/>
            <color rgb="FF000000"/>
            <rFont val="Tahoma"/>
            <family val="2"/>
          </rPr>
          <t xml:space="preserve">
</t>
        </r>
        <r>
          <rPr>
            <sz val="11"/>
            <color rgb="FF000000"/>
            <rFont val="Tahoma"/>
            <family val="2"/>
          </rPr>
          <t>Marcar actualización dado que se realizó ajuste a la programación presupuestal de las metas proyecto de inversión</t>
        </r>
      </text>
    </comment>
    <comment ref="Q22" authorId="1" shapeId="0" xr:uid="{00000000-0006-0000-0600-000001000000}">
      <text>
        <r>
          <rPr>
            <b/>
            <sz val="9"/>
            <color indexed="81"/>
            <rFont val="Tahoma"/>
            <family val="2"/>
          </rPr>
          <t>USUARIO:</t>
        </r>
        <r>
          <rPr>
            <sz val="9"/>
            <color indexed="81"/>
            <rFont val="Tahoma"/>
            <family val="2"/>
          </rPr>
          <t xml:space="preserve">
PSP, Unidades Moviles</t>
        </r>
      </text>
    </comment>
    <comment ref="S22" authorId="1" shapeId="0" xr:uid="{00000000-0006-0000-0600-000002000000}">
      <text>
        <r>
          <rPr>
            <b/>
            <sz val="9"/>
            <color indexed="81"/>
            <rFont val="Tahoma"/>
            <family val="2"/>
          </rPr>
          <t>USUARIO:</t>
        </r>
        <r>
          <rPr>
            <sz val="9"/>
            <color indexed="81"/>
            <rFont val="Tahoma"/>
            <family val="2"/>
          </rPr>
          <t xml:space="preserve">
Transporte</t>
        </r>
      </text>
    </comment>
    <comment ref="T22" authorId="1"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1" shapeId="0" xr:uid="{00000000-0006-0000-0600-000004000000}">
      <text>
        <r>
          <rPr>
            <b/>
            <sz val="9"/>
            <color indexed="81"/>
            <rFont val="Tahoma"/>
            <family val="2"/>
          </rPr>
          <t>USUARIO:</t>
        </r>
        <r>
          <rPr>
            <sz val="9"/>
            <color indexed="81"/>
            <rFont val="Tahoma"/>
            <family val="2"/>
          </rPr>
          <t xml:space="preserve">
papeleria, central de medios</t>
        </r>
      </text>
    </comment>
    <comment ref="C24" authorId="1"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1"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1" shapeId="0" xr:uid="{00000000-0006-0000-0600-000007000000}">
      <text>
        <r>
          <rPr>
            <b/>
            <sz val="9"/>
            <color indexed="81"/>
            <rFont val="Tahoma"/>
            <family val="2"/>
          </rPr>
          <t>USUARIO:</t>
        </r>
        <r>
          <rPr>
            <sz val="9"/>
            <color indexed="81"/>
            <rFont val="Tahoma"/>
            <family val="2"/>
          </rPr>
          <t xml:space="preserve">
Adición operador logistico</t>
        </r>
      </text>
    </comment>
    <comment ref="F24" authorId="1" shapeId="0" xr:uid="{00000000-0006-0000-0600-000008000000}">
      <text>
        <r>
          <rPr>
            <b/>
            <sz val="9"/>
            <color indexed="81"/>
            <rFont val="Tahoma"/>
            <family val="2"/>
          </rPr>
          <t>USUARIO:</t>
        </r>
        <r>
          <rPr>
            <sz val="9"/>
            <color indexed="81"/>
            <rFont val="Tahoma"/>
            <family val="2"/>
          </rPr>
          <t xml:space="preserve">
Adición operador logistico</t>
        </r>
      </text>
    </comment>
    <comment ref="R24" authorId="1" shapeId="0" xr:uid="{00000000-0006-0000-0600-000009000000}">
      <text>
        <r>
          <rPr>
            <b/>
            <sz val="9"/>
            <color indexed="81"/>
            <rFont val="Tahoma"/>
            <family val="2"/>
          </rPr>
          <t>USUARIO:</t>
        </r>
        <r>
          <rPr>
            <sz val="9"/>
            <color indexed="81"/>
            <rFont val="Tahoma"/>
            <family val="2"/>
          </rPr>
          <t xml:space="preserve">
PSP</t>
        </r>
      </text>
    </comment>
    <comment ref="S24" authorId="1" shapeId="0" xr:uid="{00000000-0006-0000-0600-00000A000000}">
      <text>
        <r>
          <rPr>
            <b/>
            <sz val="9"/>
            <color indexed="81"/>
            <rFont val="Tahoma"/>
            <family val="2"/>
          </rPr>
          <t>USUARIO:</t>
        </r>
        <r>
          <rPr>
            <sz val="9"/>
            <color indexed="81"/>
            <rFont val="Tahoma"/>
            <family val="2"/>
          </rPr>
          <t xml:space="preserve">
PSP</t>
        </r>
      </text>
    </comment>
    <comment ref="T24" authorId="1" shapeId="0" xr:uid="{00000000-0006-0000-0600-00000B000000}">
      <text>
        <r>
          <rPr>
            <b/>
            <sz val="9"/>
            <color indexed="81"/>
            <rFont val="Tahoma"/>
            <family val="2"/>
          </rPr>
          <t>USUARIO:</t>
        </r>
        <r>
          <rPr>
            <sz val="9"/>
            <color indexed="81"/>
            <rFont val="Tahoma"/>
            <family val="2"/>
          </rPr>
          <t xml:space="preserve">
PSP, Transporte</t>
        </r>
      </text>
    </comment>
    <comment ref="U24" authorId="1"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1"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1"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1"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1"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1"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1"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1"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2"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6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W34" authorId="0" shapeId="0" xr:uid="{63783635-2D0F-4341-AB06-AE8BDCF648EC}">
      <text>
        <r>
          <rPr>
            <b/>
            <sz val="11"/>
            <color rgb="FF000000"/>
            <rFont val="Tahoma"/>
            <family val="2"/>
          </rPr>
          <t>ANGELA MARCELA FORERO RUIZ:</t>
        </r>
        <r>
          <rPr>
            <sz val="11"/>
            <color rgb="FF000000"/>
            <rFont val="Tahoma"/>
            <family val="2"/>
          </rPr>
          <t xml:space="preserve">
</t>
        </r>
        <r>
          <rPr>
            <sz val="11"/>
            <color rgb="FF000000"/>
            <rFont val="Tahoma"/>
            <family val="2"/>
          </rPr>
          <t xml:space="preserve">Se menciona esto como un retraso, sin embargo el avance de la meta se ha dado de acuerdo a la programación.
</t>
        </r>
        <r>
          <rPr>
            <sz val="11"/>
            <color rgb="FF000000"/>
            <rFont val="Tahoma"/>
            <family val="2"/>
          </rPr>
          <t xml:space="preserve">Verificar si a la fecha sigue sin firma el anexo mencionado o si se puede quitar este comentario.
</t>
        </r>
        <r>
          <rPr>
            <sz val="11"/>
            <color rgb="FF000000"/>
            <rFont val="Tahoma"/>
            <family val="2"/>
          </rPr>
          <t xml:space="preserve">
</t>
        </r>
        <r>
          <rPr>
            <sz val="11"/>
            <color rgb="FF000000"/>
            <rFont val="Tahoma"/>
            <family val="2"/>
          </rPr>
          <t>Como se incluye el retraso, mencionar cual es la alternativa para este.</t>
        </r>
      </text>
    </comment>
    <comment ref="Q38" authorId="0" shapeId="0" xr:uid="{12DDC5AD-1108-48E7-B4E4-906638FF7603}">
      <text>
        <r>
          <rPr>
            <b/>
            <sz val="11"/>
            <color rgb="FF000000"/>
            <rFont val="Tahoma"/>
            <family val="2"/>
          </rPr>
          <t>ANGELA MARCELA FORERO RUIZ:</t>
        </r>
        <r>
          <rPr>
            <sz val="11"/>
            <color rgb="FF000000"/>
            <rFont val="Tahoma"/>
            <family val="2"/>
          </rPr>
          <t xml:space="preserve">
</t>
        </r>
        <r>
          <rPr>
            <sz val="11"/>
            <color rgb="FF000000"/>
            <rFont val="Tahoma"/>
            <family val="2"/>
          </rPr>
          <t xml:space="preserve">Menionar que este avance se dio en el mes de junio
</t>
        </r>
        <r>
          <rPr>
            <sz val="11"/>
            <color rgb="FF000000"/>
            <rFont val="Tahoma"/>
            <family val="2"/>
          </rPr>
          <t>Adicionalmente, incluir el avance acumulado durante el primer semestre</t>
        </r>
      </text>
    </comment>
    <comment ref="Q40" authorId="0" shapeId="0" xr:uid="{4363C1B5-F855-4132-A54D-BF67152AF234}">
      <text>
        <r>
          <rPr>
            <b/>
            <sz val="11"/>
            <color rgb="FF000000"/>
            <rFont val="Tahoma"/>
            <family val="2"/>
          </rPr>
          <t>ANGELA MARCELA FORERO RUIZ:</t>
        </r>
        <r>
          <rPr>
            <sz val="11"/>
            <color rgb="FF000000"/>
            <rFont val="Tahoma"/>
            <family val="2"/>
          </rPr>
          <t xml:space="preserve">
</t>
        </r>
        <r>
          <rPr>
            <sz val="11"/>
            <color rgb="FF000000"/>
            <rFont val="Tahoma"/>
            <family val="2"/>
          </rPr>
          <t xml:space="preserve">Mencionar que este avance se dio en el mes de junio
</t>
        </r>
        <r>
          <rPr>
            <sz val="11"/>
            <color rgb="FF000000"/>
            <rFont val="Tahoma"/>
            <family val="2"/>
          </rPr>
          <t>Adicionalmente, incluir el avance acumulado durante el primer semestre</t>
        </r>
      </text>
    </comment>
  </commentList>
</comments>
</file>

<file path=xl/sharedStrings.xml><?xml version="1.0" encoding="utf-8"?>
<sst xmlns="http://schemas.openxmlformats.org/spreadsheetml/2006/main" count="2306" uniqueCount="585">
  <si>
    <t>SECRETARÍA DISTRITAL DE LA MUJER</t>
  </si>
  <si>
    <t>Código: DE-FO-5</t>
  </si>
  <si>
    <t xml:space="preserve">DIRECCIONAMIENTO ESTRATÉGICO </t>
  </si>
  <si>
    <t>Versión: 09</t>
  </si>
  <si>
    <t xml:space="preserve">FORMULACIÓN Y SEGUIMIENTO  PLAN DE ACCIÓN </t>
  </si>
  <si>
    <t>Fecha de Emisión: 10/01/2023</t>
  </si>
  <si>
    <t>Página 1 de 3</t>
  </si>
  <si>
    <t>PERIODO REPORTADO</t>
  </si>
  <si>
    <t>JUN</t>
  </si>
  <si>
    <t>FECHA DE REPORTE</t>
  </si>
  <si>
    <t>TIPO DE REPORTE</t>
  </si>
  <si>
    <t>FORMULACIÓN</t>
  </si>
  <si>
    <t>ACTUALIZACIÓN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</si>
  <si>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</si>
  <si>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</si>
  <si>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</si>
  <si>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</si>
  <si>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</si>
  <si>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</si>
  <si>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</si>
  <si>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</si>
  <si>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</si>
  <si>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</si>
  <si>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 xml:space="preserve">Teniendo en cuenta que el indicador implica que las mujeres reciban el certificado del cusro de formación complementaría; como estos son realizados por el SENA y requiere de un proceso de verificación y autenticación de los datos de las cursantes, el proceso de emisión de los certificados presenta un rezago. Sin embargo, dentro de la planeación se tiene contemplado la estabilización de dicho proceso con la finalidad de dar cumplimiento a la meta.    </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</si>
  <si>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</si>
  <si>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</si>
  <si>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</si>
  <si>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</si>
  <si>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</si>
  <si>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</si>
  <si>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</si>
  <si>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</si>
  <si>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</si>
  <si>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</si>
  <si>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</si>
  <si>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</si>
  <si>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JUL</t>
  </si>
  <si>
    <t>AGO</t>
  </si>
  <si>
    <t>SEP</t>
  </si>
  <si>
    <t>OCT</t>
  </si>
  <si>
    <t>NOV</t>
  </si>
  <si>
    <t>DIC</t>
  </si>
  <si>
    <t>TOTAL</t>
  </si>
  <si>
    <t>AVANCE</t>
  </si>
  <si>
    <t>PROGRAMACIÓN DE COMPROMISOS</t>
  </si>
  <si>
    <t>Nombre: Constanza Liliana Gomez Romero</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</si>
  <si>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junio en reservas el valor negativo corresponde a liberaciones de saldos con acta de liquidaciòn.</t>
  </si>
  <si>
    <t>COMPROMISOS</t>
  </si>
  <si>
    <t>Cargo: Directora del Sistema de Cuidado</t>
  </si>
  <si>
    <t>PROGRAMACIÓN DE GIROS</t>
  </si>
  <si>
    <t>GIROS</t>
  </si>
  <si>
    <t xml:space="preserve">                                     -  </t>
  </si>
  <si>
    <t xml:space="preserve">                        -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</si>
  <si>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</si>
  <si>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</si>
  <si>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</si>
  <si>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</si>
  <si>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</si>
  <si>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</si>
  <si>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</si>
  <si>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</si>
  <si>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</si>
  <si>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</si>
  <si>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</si>
  <si>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</si>
  <si>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</si>
  <si>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</si>
  <si>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</si>
  <si>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</si>
  <si>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Durante el mes de junio se realizaron 10 jornadas de socialización del Sistema Distrital de Cuidado y sus lineamientos técnicos. También se elaboró un plan de trabajo para desarrollar la estrategia "Pactos locales de cuidado", cuyo objetivo es la apropiación de las Manzanas del Cuidado por parte de la ciudadanía.</t>
  </si>
  <si>
    <t>Durante los meses de enero a junio de 2023 se avanzó en: La retroalimentación del documento “Desarrollo técnico del Sistema Distrital de Cuidado”, entregado por el equipo consultor de la Fundación Barco – Open Society Fundación en diciembre de 2022, La actualización de las delegaciones a la Unidad Técnica de Apoyo de la Comisión intersectorial del Sistema Distrital de Cuidado para retomar el funcionamiento de la Mesa Intersectorial de Seguimiento al Convenio Marco Interadministrativo 913 de 2021, La publicación en SECOP II del Anexo Técnico II de la Manzana del Cuidado de Ciudad Bolívar - Manitas, correspondiente al Acuerdo de Coordinación con el Instituto Distrital para las Artes y la Secretaría General, La suscripción de los Anexos I y II del Convenio Marco Interadministrativo 913 de 2021 para las Manzanas del Cuidado de Fontibón y Teusaquillo, La terminación anticipada del Convenio 725 de 2020, con el objetivo de adoptar dentro del Convenio Marco Interadministrativo 913 de 2021 el funcionamiento de las Manzanas del Cuidado de Bosa - Porvenir, San Cristóbal - San Blas y Usme - Julio César Sánchez, Revisión y firma Anexos II de adhesión al Convenio Marco Interadministrativo 913 de 2021 para las Manzanas del Cuidado de San Cristobal, Usme y Bosa - Porvenir, en lo que respecta a la Secretaría Distrital de la Mujer (SDMujer), La realización de 35 jornadas de socialización del Sistema Distrital de Cuidado y sus lineamientos técnicos y la Elaboración de la estrategia "Pactos locales de cuidado", cuyo objetivo es la apropiación de las Manzanas del Cuidado por parte de la ciudadanía.</t>
  </si>
  <si>
    <t>La socialización de los lineamientos técnicos del Sistema Distrital de Cuidado contribuye a su posicionamiento como un referente imprescindible de política social innovadora a nivel distrital, nacional e internacional. Igualmente, la difusión de sus principales desarrollos y servicios entre la ciudadanía y actores estratégicos estatales y no estatales impulsa la ampliación de su cobertura y la armonización de otras políticas sociales e iniciativas de los sectores privado y comunitario con los objetivos y lineamientos técnicos del Sistema Distrital de Cuidado.</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</si>
  <si>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</si>
  <si>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</si>
  <si>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</si>
  <si>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</si>
  <si>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</si>
  <si>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</si>
  <si>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</si>
  <si>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</si>
  <si>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</si>
  <si>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</si>
  <si>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</si>
  <si>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</si>
  <si>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</si>
  <si>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</si>
  <si>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</si>
  <si>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</si>
  <si>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</si>
  <si>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</si>
  <si>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</si>
  <si>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</si>
  <si>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Socializar los lineamientos técnicos del Sistema Distrital de Cuidado con espacios e instancias de participación y ciudadanía en general. </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</si>
  <si>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</si>
  <si>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 xml:space="preserve">Durante el mes de junio de 2023 se realizó el seguimiento y gestión de implementación del convenio 913 de 2021 mediante la realización de 5 acciones:  1) Gestión y seguimiento de firma del Anexo 2 del CDC Bosa - El Porvenir entre la Secretaría Distrital de Integración Social y la Secretaría Distrital de La Mujer. 2) Gestión, seguimiento y publicación del Anexo 1, mediante el cual, el Fondo de Desarrollo Local de Antonio Nariño se adhiere al convenio interadministrativo 913 de 2021. 3) Seguimiento e identificación de anexos pendientes de firma a cargo de la Secretaría Distrital de Integración Social al mes de junio de 2023. 4) Consolidación y seguimiento de la información de delegados de las distintas entidades para el convenio 913 de 2021. y 5) Gestión y seguimiento de citaciones para la quinta mesa de seguimiento del convenio del segundo semestre del 2023 requiriendo actualización y/o confirmación de delegados. </t>
  </si>
  <si>
    <t>*Incluir tantas filas sean necesarias</t>
  </si>
  <si>
    <t>DESCRIPCIÓN DE LA ACTIVIDAD</t>
  </si>
  <si>
    <t xml:space="preserve">DIRECCIONAMIENTO ESTRATEGICO </t>
  </si>
  <si>
    <t>FORMULACION</t>
  </si>
  <si>
    <t>ACTUALIZACION</t>
  </si>
  <si>
    <t>Coordinar y articular 13 secretarías del nivel distrital para la implementación del sistema distrital de cuidado. (Objetivo 1) (Indicador 2. Meta PDD)</t>
  </si>
  <si>
    <t>PROGRAMACION DE COMPROMISOS</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</si>
  <si>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junio en reservas el valor negativo corresponde a liberaciones de saldos con acta de liquidaciòn.</t>
  </si>
  <si>
    <t>PROGRAMACION DE GIROS</t>
  </si>
  <si>
    <t xml:space="preserve">               -  </t>
  </si>
  <si>
    <t xml:space="preserve">2. Coordinar y articular 13 secretarías del nivel distrital para la implementación del sistema distrital de cuidado. </t>
  </si>
  <si>
    <t>Retrasos y Alternativas de solución (1.000 caracteres)</t>
  </si>
  <si>
    <t>Se articularon 12 entidades del Sector Central, 6 entidades del Sector Descentralizado y 1 entidad del Sector de las Localidades en una (1) sesión ordinaria de la Unidad Técnica de Apoyo (26 de junio) y dos sesiones de las Mesas de Trabajo de la Unidad Técnica de Apoyo: Infraestructura del Cuidado (27.06.23) y Relevos Domiciliarios (27.06.23), donde se avanzó lo pertinente para la inauguración de las Manzana del Cuidado de Antonio Nariño y el funcionamiento de los diferentes modelos de operación del Sistema Distrital del Cuidado, de tal manera que se cumplió con lo establecido en el Decreto 237 de 2020 en aras de coordinar, articular y hacer la gestión intersectorial de las entidades que hacen parte del Sistema Distrital de Cuidado para definirlo, implementarlo y hacerle seguimiento. Además, se elaboraron, convalidaron, suscribieron y publicaron las actas No. 35 de la UTA, la No. 11 de la Comisión Intersectorial del Sistema de Cuidado y la No. 8 del Mecanismo de Participación y Seguimiento.</t>
  </si>
  <si>
    <t>A. Articulación de las entidades de la Administración Distrital para avanzar en la implementación y seguimiento de Sistema Distrital de Cuidado, tanto a nivel distrital como territorial, para la inauguración de las Manzana del Cuidado de Antonio Nariño prevista para el 24 de julio de 2023. Además, se están implementando 19 manzanas del cuidado, el ciclo V de los buses del cuidado urbano y rural en 6 localidades, 3 zonas urbanas y 3 zonas rurales, y tres proyectos/programas de asistencia domiciliaria en el D.C. B. Se esta avanzando en la reglamentación del Acuerdo 893 de 2023 “Por el cual se institucionaliza el Sistema Distrital de Cuidado y se dictan otras disposiciones”. C. Implementación del Decreto 237 de 2020 "Por medio del cual se crea la Comisión Intersectorial del Sistema Distrital de Cuidado" y del Acuerdo 001 de 2020 "Por el cual se adopta el Reglamento Interno de la Comisión Intersectorial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</si>
  <si>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 xml:space="preserve">Las personas cuidadoras en sus diferencias y diversidades y las personas que requieren cuidado y apoyo cuentan con 19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VI y recientemente inició la implementación del ciclo V, con recursos de la Administración Distrital, así como a ofertas que brindan servicios a personas cuidadoras, personas con discapacidad y mayores directamente en sus casas. Además de los programas/proyectos de las Secretarías de Salud e Integración Social, ya inició la implementación del Programa de Asistencia Domiciliaria con recursos de Bloomberg liderado por el PNUD. </t>
  </si>
  <si>
    <t>3. Convocar y gestionar las sesiones de la Comisión Intersectorial del Sistema de Cuidado según lo establecido en el Decreto 237 de 2020</t>
  </si>
  <si>
    <t xml:space="preserve">De acuerdo con lo establecido en el Decreto 237 de 2020, en el artículo 7: "La Comisión se reunirá ordinariamente cada trimestre, es decir, cuatro (4) veces al año". De acuerdo con lo anterior, en el mes de junio no se convocó sesión de esta instancia de coordinación. Sin embargo, en el mes de junio frente al acta de la 2da sesión ordinaria del año y la No. 11 desde la expedición del Decreto 237 de 2020 realizada el 25 de mayo de 2023, se convalidó y se realizaron los ajustes solicitados por: el Idartes y la Secretaría de Gobierno. Finalmente, se tramitó la suscripción del acta por parte de la Presidencia y Secretaría Técnica de la Comisión (27.06.23) y su publicación en las páginas Web de la Secretaría de la Mujer y el Sistema Distrital del Cuidado (28.06.23). </t>
  </si>
  <si>
    <t>4. Convocar y gestionar las sesiones de la Unidad Técnica de Apoyo de la Comisión Intersectorial del Sistema de Cuidado según lo establecido en el Decreto 237 de 2020</t>
  </si>
  <si>
    <t>5. Convocar y gestionar las sesiones del Mecanismo de Participación y Seguimiento de la Comisión Intersectorial del Sistema de Cuidado según lo establecido en el Decreto 237 de 2020</t>
  </si>
  <si>
    <t xml:space="preserve">La tercera sesión del Mecanismo de Participación y Seguimiento (la segunda sesión ordinaria de 2023 y la octava desde que se expidió el Decreto 237 de 2020). Se convalidó el acta (08, 09  y 14.06.23) y se suscribió (27.06.23). Por otra parte, se realizó tramite de publicación y publicación en páginas Web de la Secretaría de la Mujer y el Sistema Distrital de Cuidado. </t>
  </si>
  <si>
    <t>Gestionar 1 estrategia para la adecuación de infraestructura de manzanas de cuidado</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</si>
  <si>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t>
  </si>
  <si>
    <t xml:space="preserve">3. Gestionar 1 estrategia para la adecuación de infraestructura de manzanas de cuidado </t>
  </si>
  <si>
    <t>Durante el mes de junio de 2023, se logró avanzar en las gestiones para la  inaguración de la Manzana del Cuidado en la localidad de Antonio Nariño, la cual está proyectada para el 24 de julio del 2023. Así mismo, se lograron llevar a cabo las acciones de articulación intersectorial requeridas para la concertación y aprobación de la ficha técnica que establece los servicios ofertados por el Distrito, en beneficio de las personas cuidadoras y de las personas que requieren cuidados en esta localidad.</t>
  </si>
  <si>
    <t>Las 19  Manzanas del Cuidado inauguradas  vienen ampliando la cobertura de atenciones y el posicionamiento de la estrategia territorial de las Manzanas del Cuidado, en beneficio de las personas cuidadoras y de las personas que requieren cuidados o altos niveles de apoyo en Bogotá.</t>
  </si>
  <si>
    <t xml:space="preserve">6. Implementar actividades de difusión del programa de Sistema de Cuidado con ciudadanía y actores territoriales </t>
  </si>
  <si>
    <t>7. Articular las acciones intersectoriales para la puesta en operación de cinco (5) manzanas del cuidado</t>
  </si>
  <si>
    <t>8. Convocar y gestionar las sesiones de las Mesas Locales de las Manzanas del Cuidado que se encuentran en funcionamiento</t>
  </si>
  <si>
    <t>Diseñar e implementar 1 estrategia de cuidado a cuidadoras</t>
  </si>
  <si>
    <t>4. Diseñar e implementar 1 estrategia de cuidado a cuidadoras</t>
  </si>
  <si>
    <r>
      <rPr>
        <sz val="11"/>
        <color rgb="FF000000"/>
        <rFont val="Times New Roman"/>
        <family val="1"/>
      </rPr>
      <t xml:space="preserve">En el mes de junio de 2023 se obtuvieron los siguientes logros en el proceso de formación de la Estrategia Cuidado a Cuidadoras:  
1) Formación Complementaria: </t>
    </r>
    <r>
      <rPr>
        <b/>
        <sz val="11"/>
        <color rgb="FF000000"/>
        <rFont val="Times New Roman"/>
        <family val="1"/>
      </rPr>
      <t>300 cuidadoras graduadas</t>
    </r>
    <r>
      <rPr>
        <sz val="11"/>
        <color rgb="FF000000"/>
        <rFont val="Times New Roman"/>
        <family val="1"/>
      </rPr>
      <t xml:space="preserve">.  
2) Homologación de Saberes: </t>
    </r>
    <r>
      <rPr>
        <b/>
        <sz val="11"/>
        <color rgb="FF000000"/>
        <rFont val="Times New Roman"/>
        <family val="1"/>
      </rPr>
      <t>71 cuidadoras certificadas</t>
    </r>
    <r>
      <rPr>
        <sz val="11"/>
        <color rgb="FF000000"/>
        <rFont val="Times New Roman"/>
        <family val="1"/>
      </rPr>
      <t xml:space="preserve">. 
3) Número de Espacios Respiro: </t>
    </r>
    <r>
      <rPr>
        <b/>
        <sz val="11"/>
        <color rgb="FF000000"/>
        <rFont val="Times New Roman"/>
        <family val="1"/>
      </rPr>
      <t>19 y</t>
    </r>
    <r>
      <rPr>
        <sz val="11"/>
        <color rgb="FF000000"/>
        <rFont val="Times New Roman"/>
        <family val="1"/>
      </rPr>
      <t xml:space="preserve"> </t>
    </r>
    <r>
      <rPr>
        <b/>
        <sz val="11"/>
        <color rgb="FF000000"/>
        <rFont val="Times New Roman"/>
        <family val="1"/>
      </rPr>
      <t>262</t>
    </r>
    <r>
      <rPr>
        <sz val="11"/>
        <color rgb="FF000000"/>
        <rFont val="Times New Roman"/>
        <family val="1"/>
      </rPr>
      <t xml:space="preserve"> atenciones.  
4) Orientación y asesoría psico jurídica: 1.027 cuidadoras (552 atención jurídica y 475 atención psicosocial).	</t>
    </r>
  </si>
  <si>
    <t xml:space="preserve">En lo referente a diseñar e implementar una estrategia de cuidado a cuidadoras, durante enero a junio del 2023 no se han presentado dificultades que alteren la normal ejecución de esta meta. 
En lo que respecta a la implementación del Plan Integral de Acciones Afirmativas se avanzó en proyección de espacios a realizar atendiendo los requerimientos diferenciales y a la disponibilidad de garantías con el operador logístico contratado el cual inicia operación en el mes de julio del presente año. 	</t>
  </si>
  <si>
    <t>9. Implementar el componente de formación para cuidadoras</t>
  </si>
  <si>
    <t xml:space="preserve">10. Implementar el componente de orientación psicojurídica para cuidadoras </t>
  </si>
  <si>
    <t xml:space="preserve">11. Implementar, monitorear y hacer seguimiento al Plan Integral de Acciones Afirmativas </t>
  </si>
  <si>
    <t xml:space="preserve">Durante el mes de junio se implementaron diecinueve (19) espacios respiro y se logró doscientas sesenta y dos (262) atenciones a mujeres cuidadoras, así:  Cuatro espacios, (103) atenciones a cuidadoras Negras y Afrodescendientes, Seis espacios, (87) atenciones a cuidadoras Raizales y  Nueve espacios, (72) atenciones a cuidadoras Gitanas. A la fecha, el balance en la implementación de espacios respiro asciende a 35. 
a) Natación con ritmos afro caribeños: Atenciones: 7 cuidadoras Negras y Afrodescendientes 
b) Circuito "Medicina tradicional, cuidado y autocuidado- Celebración día de Afrocolombianidad" espacio elaboración de alcoholes Jardín Botánico JJB: Atenciones: 32 
c) Rumba con ritmos Afrocaribeños- IDRD: Atenciones: 32  d) Yoga dirigido a mujeres negras/afrocolombianas- IDRD: Atenciones: 32  e) y f) Meditar y estirar:15 atenciones g) Actividad Física- Raizales: Atenciones: 21 h) Rumba Terapia Folclórica- Raizales: Atenciones: 21  i) Actividad Física- Raizales: Atenciones: 15  j) Rumba Terapia Folclórica- Raizales: Atenciones: 15  k) Natación Mujeres Unión Romaní- Gitanas: Atenciones: 6  l) Salida Jardín Botánico Mujeres Rrom- Gitanas: Atenciones: 5  m) Natación Mujeres Pro Rrom- Gitanas: Atenciones: 9  n) Natación Mujeres Unión Romaní- Gitanas: Atenciones: 8  o) Natación Mujeres Pro Rrom- Gitanas: Atenciones: 9  p) Natación Mujeres Unión Romaní- Gitanas: Atenciones: 8  q) Natación Mujeres Pro Rrom- Gitanas: Atenciones: 9  r) Natación Mujeres Unión Romaní- Gitanas: Atenciones: 9  s) Natación Mujeres Pro Rrom- Gitanas: Atenciones: 9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</si>
  <si>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</si>
  <si>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</si>
  <si>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En el marco de diseñar un documento que abarque la implementación de la estrategia pedagógica para la valoración, la resignificación, el reconocimiento y la redistribución del trabajo de cuidado no remunerado que realizan las mujeres en Bogotá, en el mes de marzo se continuo con las actividades requeridas dentro del diseño de la caja de herramientas de la Estrategia Pedagógica y de Cambio Cultural, logrando así la elaboración de la primera versión del documento “Caja de herramientas EPCC”.</t>
  </si>
  <si>
    <t xml:space="preserve">Durante el primer trimestre, con relación al proceso de diseño y  socialización de la caja de herramientas de la estrategia pedagógica de cambio cultural, se avanzó en la construcción de dos documentos metodológicos, los cuales están dirigidos a aportar a los beneficiarios del programa "A cuidar se aprende", versión familias. También, se elaboró la primera versión del documento “Caja de herramientas EPCC”.	</t>
  </si>
  <si>
    <t xml:space="preserve">En lo referente a diseñar un documento para la implementación de la estrategia pedagógica para la valoración, la resignificación, el reconocimiento y la redistribución del trabajo de cuidado no remunerado que realizan las mujeres en Bogotá, durante el primer trimestre del 2023 no se han presentado dificultades que alteren la mormal ejecución de esta meta.			
			</t>
  </si>
  <si>
    <t xml:space="preserve">12. Diseñar, publicar y socializar una caja de herramientas de la Estrategia Pedagógica y de Cambio Cultural.  </t>
  </si>
  <si>
    <t>Posterior a la construcción de dos metodologias dirigidos a familias beneficiarias del programa Casa a Casa, y sumado las actividades desarrolladas durante el mes de marzo, dan como balance que a la fecha ya se cuente y presentado la primera versión del documento “Caja de herramientas EPCC”.</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</si>
  <si>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</si>
  <si>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</si>
  <si>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En el mes de marzo se logró beneficiar a 542 personas en los talleres de cambio cultural. Adicionalmente, se realizó la actualización y ajuste del documento “Estrategia de conformación y fortalecimiento de la red de alianzas del cuidado - RAC” y se llevo a cabo la primera Mesa Técnica de Transformación Cultural del 2023.
</t>
  </si>
  <si>
    <t xml:space="preserve">Durante el primer trimestre se han beneficiado a 670 personas en los talleres de cambio cultural. Se avanzó en el rastreo y organización de documentos RAC, actualización y ajuste del documento “Estrategia de conformación y fortalecimiento de la red de alianzas del cuidado - RAC” y se realizó la primera Mesa Técnica de Transformación Cultural del 2023.
</t>
  </si>
  <si>
    <t>Durante el mes de marzo y, de acuerdo al informe de SIMISIONAL, se vincularon a talleres de Cambio Cultural a 587 personas, sin embargo, de estas personas solamente 542 fueron nuevos ingresos. De igual forma, en el reporte del mes de marzo no se evidenciaron dos talleres con 27 participantes.
Actualmente se presentan demoras en la contratación de la coordinadora de la RAC, no obstante, para no afectar significativamente el desarrollo de las acciones programadas, se distribuyó las responsabilidades en los lideres y talleristas del equipo de Cambio Cultural.</t>
  </si>
  <si>
    <t xml:space="preserve">13. Implementar los talleres de cambio cultural </t>
  </si>
  <si>
    <t xml:space="preserve">En el mes de marzo se implementaron 46 talleres de Cambio Cultural, a través de los cuales se vincularon 542 beneficiarias. En la localidad de Bosa se realizaron 2 talleres y se vincularon 18 beneficiarias, en Chapinero se realizaron 5 talleres y se vincularon 41 beneficiaria, en Engativá se realizaron 7 talleres y se vincularon 120 beneficiarias; en Fontibón se realizaron 2 talleres y se vincularon 34 beneficiarias, en Kennedy se realizaron 3 talleres y se vincularon 22 beneficiarias, en  La Candelaria se realizaron 2 talleres y se vincularon 13 beneficiarias, en  Los Mártires se realizaron 2 talleres y se vincularon 31 beneficiarias, en  Puente Aranda se realizaron 4 talleres y se vincularon 67 beneficiarias, en Rafael Uribe  se realizó 1 taller y se vincularon 6 beneficiarias, en  San Cristóbal se realizaron 3 talleres y se vincularon 35 beneficiarias, en Santa Fe se realizaron 2 talleres y se vincularon 8 beneficiarias, en Suba se realizaron 3 talleres y se vincularon 48 beneficiarias, en Tunjuelito se realizó 1 taller y se vincularon 10 beneficiarias, en Usaquén se realizaron 5 talleres y se vincularon 62 beneficiarias, en Usme se realizaron 2 talleres y se vincularon 12 beneficiarias y a nivel Distrital se realizaron 2 talleres y se vincularon 15 beneficiarias. Sumando los beneficiarios del primer bimestre del 2023, dan como balance 677 beneficiarios vinculados. </t>
  </si>
  <si>
    <t>14. Implementar la Red de Alianzas del Cuidado</t>
  </si>
  <si>
    <t xml:space="preserve">En el mes de marzo se realizó la revisión y perfeccionamiento del documento “Estrategia de conformación y fortalecimiento de la red de alianzas del cuidado - RAC”. Por otra parte, frente a la implementación de la Red de Alianzas del Cuidado, las acciones de los enlaces y la vinculación con diferentes actores como lo son: empresas, organizaciones no gubernamentales, entidades e instituciones publicas; requiere contar con una persona que se desempeñe como coordinadora de la RAC, en este sentido se están adelantando los tramites pertinentes para hacer la vinculación de este rol a través de un contrato de prestación de servicios profesionales, la cual se espera se realice en el mes de abril.	
</t>
  </si>
  <si>
    <t>15. Convocar y gestionar las sesiones de la Mesa de Transformación Cultural de la Unidad Técnica de Apoyo de la Comisión Intersectorial del Sistema de Cuidado</t>
  </si>
  <si>
    <r>
      <t xml:space="preserve">En el marco de las gestiones realizadas en el mes de febrero, en la cual se realizaron las convocatoria y gestiones pertinentes, se logro que se realizara el 16 de marzo la primera Mesa técnica de Transformación Cultural. </t>
    </r>
    <r>
      <rPr>
        <sz val="11"/>
        <color rgb="FFFF0000"/>
        <rFont val="Times New Roman"/>
        <family val="1"/>
      </rPr>
      <t xml:space="preserve">En este sentido, a lo largo del primer trimestre se han desarrollado las gestiones pertinentes, las cuales permitieron el cumplimiento de realizar la seseión trimestral programada </t>
    </r>
  </si>
  <si>
    <t xml:space="preserve">En el mes de junio, según el reporte enviado por Gestión del Conocimiento, se logró beneficiar a 454 personas en los talleres de cambio cultural. Adicionalmente, durante el mes de junio se realizaron las siguientes actividades en el marco de la Red de Alianzas del Cuidado: Reunión interna para planeación de las acciones de la RAC,  acercamientos preliminares con la Fundación Bolívar Davivienda- Filarmónica Joven de Colombia para la inclusión de la RAC y el agendamiento de talleres a sus grupos de interés, reuniones de presentación de la RAC con la Universidad Ecci, la Universidad UNAD, las empresas  ZTE y EWay quienes llevan avances relevantes para la obtención del Sello de Igualdad, asimismo se avanzó en el primer contacto con nueve organizaciones de  personas que se comunicaron vía página oficial. Finalmente se realizó la tercera Mesa de Trabajo de Transformación Cultural en la que se presentó a la directora del Sistema Distrital del Cuidado, se verificaron los espacios de sensibilización para los equipos territoriales de Biblored y Nidos, se actualizaron fechas y escenarios importantes para realizar actividades conjuntas, además se realizó la primera formación cruzada a cargo de Secretaria de Cultura, Recreación y Deporte.
</t>
  </si>
  <si>
    <t>Al mes de junio se beneficiaron a 2.709 personas en los talleres de cambio cultural. Se hace la salvedad de que esta información presenta inconsistencias en relación con el número total de personas vinculadas al mes, tal como se explicó en el apartado “Avances y logros mensuales”.  Se realizaron cuatro reuniones con actores privados y académicos y se estableció un primer acercamiento  con nueve organizaciones. Finalmente, se han organizado y ejecutado tres Mesas de transformación cultural en el 2023.</t>
  </si>
  <si>
    <t xml:space="preserve">Si bien, solamente hasta el mes de junio se logró avanzar con la contratación de la coordinadora de la RAC, durante la ausencia de esta profesional la situación se logró solventar con el apoyo del equipo Cambio Cultural.  Uno de los principales logros de este periodo fue la definición del Portafolio RAC, así como de los insumos y materiales de apoyo que lo componen. Consolidar el kit de comunicaciones, las ayudas audiovisuales y las herramientas con las que permanentemente se alimenta el documento “Repositorio” se constituye en una de las acciones relevantes que permitirán cumplir el objetivo de amplificar los objetivos del Sistema de Cuidado. De igual manera se resalta como avance del mes la articulación en mesa de trabajo con el Sello de Igualdad y la Estrategia de Sostenibilidad con el fin de presentar una única oferta consolidada a los potenciales aliados del sector privado de la Secretaría de la Mujer.  A la fecha también se cuenta con una presentación que expone de manera sintética los pasos que las organizaciones deben seguir para hacer parte de la RAC.
</t>
  </si>
  <si>
    <t>En el marco de acciones de la Red de Alianzas de Cuidado durante el mes de junio inició su contrato la Coordinadora de la RAC, lo que implicó la definición de su Plan de Acción, la estructuración del Portafolio de Servicios, la articulación con otros grupos de la entidad como Cuidado Comunitario, Sello de Igualdad y Estrategia de Emprendimiento y la realización de sesiones de socialización de la RAC con agentes del Sector Privado.</t>
  </si>
  <si>
    <t>Gestionar la implementación de 1 estrategia de unidades móviles de cuidado</t>
  </si>
  <si>
    <t> </t>
  </si>
  <si>
    <t>7. Gestionar la implementación de 1 estrategia de unidades móviles de cuidado</t>
  </si>
  <si>
    <t>1. Se realizaron actividades de cierre en cada uno de los Buses del cuidado (rural y urbano) para los puntos de operación del ciclo IV, dentro de las cuales las personas cuidadoras valoraron y evaluaron cada uno de los servicios prestados. En las actividades de cierre se indagó a las cuidadoras sobre ¿Qué se lleva del Bus del cuidado? la mayoría coincide en aspectos tales como aprendizaje/conocimiento, redes de apoyo comunitarias – amistades – y agradecimiento por los servicios prestados. 
2. Sobre la puesta en marcha den ciclo V, se están realizando socializaciones con actores comunitarios en cada uno de lo seis puntos de operación, estas cuentan con la presencia de los sectores que prestan servicios en los Buses del Cuidado. Además de las socializaciones, se hacen avanzadas en el sector: casa a casa, en locales comerciales y en el espacio público. Por último, en las redes de la Secretaría Distrital de la Mujer se han publicado piezas gráficas y videos donde se mencionan los servicios y puntos de operación del ciclo V.</t>
  </si>
  <si>
    <t>Presencia del Sistema Distrital de Cuidado en zonas rurales y urbanas prestando servicios de formación, respiro, generación de ingresos y cuidado. Con la implementación del Ciclo V, la estrategia de Buses del Cuidado llegó a todas las localidades con suelo rural.</t>
  </si>
  <si>
    <t xml:space="preserve"> </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</si>
  <si>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</si>
  <si>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17. Convocar y gestionar las sesiones de las Mesa de Unidades Móviles de Servicios del Cuidado</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</si>
  <si>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</si>
  <si>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</si>
  <si>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</si>
  <si>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</si>
  <si>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</si>
  <si>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</si>
  <si>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</si>
  <si>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</si>
  <si>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</si>
  <si>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</si>
  <si>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</si>
  <si>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</si>
  <si>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</si>
  <si>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</si>
  <si>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</si>
  <si>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</si>
  <si>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</si>
  <si>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</si>
  <si>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</si>
  <si>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</si>
  <si>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</si>
  <si>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</si>
  <si>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</si>
  <si>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</si>
  <si>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</si>
  <si>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</si>
  <si>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</si>
  <si>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</si>
  <si>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</si>
  <si>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</si>
  <si>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</si>
  <si>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</si>
  <si>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</si>
  <si>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</si>
  <si>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</si>
  <si>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</si>
  <si>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</si>
  <si>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</si>
  <si>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</si>
  <si>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</si>
  <si>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</si>
  <si>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</si>
  <si>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</si>
  <si>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</si>
  <si>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</si>
  <si>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</si>
  <si>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</si>
  <si>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</si>
  <si>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</si>
  <si>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</si>
  <si>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</si>
  <si>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</si>
  <si>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</si>
  <si>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</si>
  <si>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</si>
  <si>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</si>
  <si>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</si>
  <si>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</si>
  <si>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</si>
  <si>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Ninguno</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</si>
  <si>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</si>
  <si>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</si>
  <si>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</si>
  <si>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</si>
  <si>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</si>
  <si>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</si>
  <si>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</si>
  <si>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Informes de gestión de las manzanas y unidades de cuidado implementadas</t>
  </si>
  <si>
    <t>Gestión del Sistema Distrital de Cuidado</t>
  </si>
  <si>
    <t>Número de mujeres formadas en cuidados, en el marco de la estrategia cuidado a cuidadoras</t>
  </si>
  <si>
    <t>Mujeres formadas</t>
  </si>
  <si>
    <t>Mujeres únicas formadas (Incluye certificadas).</t>
  </si>
  <si>
    <t>Mensual</t>
  </si>
  <si>
    <t>SiMisional</t>
  </si>
  <si>
    <t xml:space="preserve">El número total de cuidadoras graduadas en el mes de junio fue de 300
En cuanto al proceso de Homologación de Saberes, se certificaron 71 cuidadoras certificadas en el mes de junio. </t>
  </si>
  <si>
    <t>Durante lo corrido del año, se ha logrado que 1.220 cuidadoras se graduen en cursos de formación complementaria. y en cuanto al proceso de Homologación de Saberes, se han certificado a 264 cuidadoras. En este sentido, el balance total es de 1.484</t>
  </si>
  <si>
    <t>De acuerdo a la programación, a mayo se deberian terener 2.000 mujeres unicas formadas y certificadas. Sin embargo la ejecución acumulada es de 1.484 lo que representa un avance del 74,2%. Este retraso se presenta por efecto de que los cursos son dictados y certificados por un tercero, lo que conlleva a que el proceso de validar la información de los beneficuarios toma un tiempo. No osbtante, se esta trabajando en agilizar el procesony en este sentido.</t>
  </si>
  <si>
    <t>Se esta trabajando en agilizar los procesos de validación de las beneficiarias del curso.</t>
  </si>
  <si>
    <t>Número de personas vinculadas a los talleres de cambio cultural</t>
  </si>
  <si>
    <t>Personas vinculadas</t>
  </si>
  <si>
    <t xml:space="preserve">Número de personas vinculadas en talleres presenciales y virtual de cambio cultural.  </t>
  </si>
  <si>
    <t>En el mes de junio se implementaron 62 talleres 46 Cambio Cultural, a través de los cuales se vincularon 454 beneficiarias</t>
  </si>
  <si>
    <t>Durante lo corrido del año, se han vinculado en talleres de cambio cultural a 2.709 beneficiarios.</t>
  </si>
  <si>
    <t>Número de manzanas inauguradas</t>
  </si>
  <si>
    <t>Manzanas puestas en operación</t>
  </si>
  <si>
    <t>Número de manzanas del cuidado puestas en operación en Bogotá</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</si>
  <si>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</si>
  <si>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</si>
  <si>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</si>
  <si>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</si>
  <si>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</si>
  <si>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</si>
  <si>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</si>
  <si>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 xml:space="preserve">Durante el mes de junio de 2023, se logró avanzar en las gestiones para la  inaguración de la Manzana del Cuidado en la localidad de Antonio Nariño, la cual está proyectada para el 24 de julio del 2023. Con relación a los talleres de cambio cultural, a traves de estos se logró antender 454 personas y frente a las orientaciones psicosociales, jurídicas y psico jurídicas, se logro atender a 1.027 personas. </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</si>
  <si>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</si>
  <si>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</si>
  <si>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</si>
  <si>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</si>
  <si>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</si>
  <si>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</si>
  <si>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</si>
  <si>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Angie Paola Mesa Rojas</t>
  </si>
  <si>
    <t>Nombre:</t>
  </si>
  <si>
    <t>Nombre: Catalina Campos Romero</t>
  </si>
  <si>
    <t>Cargo:  Profesional Universitario</t>
  </si>
  <si>
    <t xml:space="preserve">Cargo:  Subsecretaría del Cuidado y Políticas de Igualdad </t>
  </si>
  <si>
    <t xml:space="preserve">Cargo: </t>
  </si>
  <si>
    <t>Cargo: Jefa Oficina Asesora de Planeación</t>
  </si>
  <si>
    <t>cambio cultural</t>
  </si>
  <si>
    <t>cuidado a cuidaoras</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</si>
  <si>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</si>
  <si>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</si>
  <si>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</si>
  <si>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</si>
  <si>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</si>
  <si>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</si>
  <si>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</si>
  <si>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</si>
  <si>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</si>
  <si>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</si>
  <si>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</si>
  <si>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</si>
  <si>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</si>
  <si>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</si>
  <si>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</si>
  <si>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</si>
  <si>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</si>
  <si>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</si>
  <si>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</si>
  <si>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</si>
  <si>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</si>
  <si>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</si>
  <si>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</si>
  <si>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</si>
  <si>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</si>
  <si>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</si>
  <si>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</si>
  <si>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</si>
  <si>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</si>
  <si>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</si>
  <si>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</si>
  <si>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</si>
  <si>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</si>
  <si>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</si>
  <si>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</si>
  <si>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</si>
  <si>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</si>
  <si>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</si>
  <si>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</si>
  <si>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</si>
  <si>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</si>
  <si>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</si>
  <si>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</si>
  <si>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</si>
  <si>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</si>
  <si>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</si>
  <si>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</si>
  <si>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</si>
  <si>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</si>
  <si>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</si>
  <si>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</si>
  <si>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</si>
  <si>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</si>
  <si>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</si>
  <si>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</si>
  <si>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</si>
  <si>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</si>
  <si>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</si>
  <si>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</si>
  <si>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</si>
  <si>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</si>
  <si>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</si>
  <si>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</si>
  <si>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</si>
  <si>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</si>
  <si>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</si>
  <si>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</si>
  <si>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</si>
  <si>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</si>
  <si>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</si>
  <si>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</si>
  <si>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</si>
  <si>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</si>
  <si>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</si>
  <si>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</si>
  <si>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</si>
  <si>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</si>
  <si>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</si>
  <si>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</si>
  <si>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</si>
  <si>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</si>
  <si>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</si>
  <si>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</si>
  <si>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</si>
  <si>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</si>
  <si>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</si>
  <si>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</si>
  <si>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</si>
  <si>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</si>
  <si>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</si>
  <si>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</si>
  <si>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</si>
  <si>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</si>
  <si>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</si>
  <si>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</si>
  <si>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</si>
  <si>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</si>
  <si>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</si>
  <si>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</si>
  <si>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</si>
  <si>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</si>
  <si>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</si>
  <si>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</si>
  <si>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</si>
  <si>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</si>
  <si>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</si>
  <si>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</si>
  <si>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</si>
  <si>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</si>
  <si>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</si>
  <si>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</si>
  <si>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</si>
  <si>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</si>
  <si>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</si>
  <si>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</si>
  <si>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</si>
  <si>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</si>
  <si>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</si>
  <si>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</si>
  <si>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</si>
  <si>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</si>
  <si>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</si>
  <si>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</si>
  <si>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</si>
  <si>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</si>
  <si>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</si>
  <si>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</si>
  <si>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</si>
  <si>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</si>
  <si>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</si>
  <si>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</si>
  <si>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</si>
  <si>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</si>
  <si>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</si>
  <si>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</si>
  <si>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</si>
  <si>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</si>
  <si>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</si>
  <si>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</si>
  <si>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</si>
  <si>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</si>
  <si>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</si>
  <si>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</si>
  <si>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</si>
  <si>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</si>
  <si>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</si>
  <si>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</si>
  <si>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</si>
  <si>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</si>
  <si>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</si>
  <si>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</si>
  <si>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</si>
  <si>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</si>
  <si>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</si>
  <si>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</si>
  <si>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</si>
  <si>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</si>
  <si>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</si>
  <si>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</si>
  <si>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</si>
  <si>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</si>
  <si>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</si>
  <si>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</si>
  <si>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</si>
  <si>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</si>
  <si>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</si>
  <si>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</si>
  <si>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</si>
  <si>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</si>
  <si>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</si>
  <si>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</si>
  <si>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</si>
  <si>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</si>
  <si>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</si>
  <si>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</si>
  <si>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</si>
  <si>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</si>
  <si>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</si>
  <si>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</si>
  <si>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</si>
  <si>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</si>
  <si>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</si>
  <si>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</si>
  <si>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</si>
  <si>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</si>
  <si>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</si>
  <si>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</si>
  <si>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</si>
  <si>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</si>
  <si>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</si>
  <si>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</si>
  <si>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</si>
  <si>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</si>
  <si>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</si>
  <si>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</si>
  <si>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</si>
  <si>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</si>
  <si>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</si>
  <si>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</si>
  <si>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</si>
  <si>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</si>
  <si>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</si>
  <si>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</si>
  <si>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</si>
  <si>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</si>
  <si>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</si>
  <si>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</si>
  <si>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</si>
  <si>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</si>
  <si>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</si>
  <si>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</si>
  <si>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</si>
  <si>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</si>
  <si>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</si>
  <si>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</si>
  <si>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</si>
  <si>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</si>
  <si>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</si>
  <si>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</si>
  <si>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</si>
  <si>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</si>
  <si>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</si>
  <si>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</si>
  <si>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</si>
  <si>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</si>
  <si>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</si>
  <si>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</si>
  <si>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</si>
  <si>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</si>
  <si>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</si>
  <si>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</si>
  <si>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</si>
  <si>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</si>
  <si>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</si>
  <si>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</si>
  <si>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</si>
  <si>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</si>
  <si>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</si>
  <si>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</si>
  <si>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</si>
  <si>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</si>
  <si>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</si>
  <si>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</si>
  <si>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</si>
  <si>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</si>
  <si>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color rgb="FF000000"/>
        <rFont val="Times New Roman"/>
        <family val="1"/>
      </rPr>
      <t xml:space="preserve">En este campo se debe diligenciar:
</t>
    </r>
    <r>
      <rPr>
        <b/>
        <sz val="11"/>
        <color rgb="FF000000"/>
        <rFont val="Times New Roman"/>
        <family val="1"/>
      </rPr>
      <t xml:space="preserve">1.La descripción detallada de la medición del indicador.
</t>
    </r>
    <r>
      <rPr>
        <i/>
        <sz val="11"/>
        <color rgb="FF000000"/>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color rgb="FF000000"/>
        <rFont val="Times New Roman"/>
        <family val="1"/>
      </rPr>
      <t xml:space="preserve">2.La representación matemática del cálculo del indicador.
</t>
    </r>
    <r>
      <rPr>
        <i/>
        <sz val="11"/>
        <color rgb="FF000000"/>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</si>
  <si>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</si>
  <si>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</si>
  <si>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</si>
  <si>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</si>
  <si>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</si>
  <si>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</si>
  <si>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</si>
  <si>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</si>
  <si>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</si>
  <si>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</si>
  <si>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</si>
  <si>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</si>
  <si>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</si>
  <si>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</si>
  <si>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</si>
  <si>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</si>
  <si>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</si>
  <si>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</si>
  <si>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</si>
  <si>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</si>
  <si>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</si>
  <si>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</si>
  <si>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</si>
  <si>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</si>
  <si>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</si>
  <si>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</si>
  <si>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</si>
  <si>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</si>
  <si>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</si>
  <si>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</si>
  <si>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</si>
  <si>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</si>
  <si>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</si>
  <si>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</si>
  <si>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</si>
  <si>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</si>
  <si>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</si>
  <si>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</si>
  <si>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</si>
  <si>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Desde el 16 de enero 2023 hasta el 17 de junio de 2023 se prestaron los servicios en el marco del Ciclo IV de Unidades Móvil es en seis zonas de la ciudad: Rafael Uribe Uribe, Engativá, Suba, Usme, San Cristóbal y Usaquén.
Con la implementación del Ciclo V de operación, la estrategia llega a seis localidades: Barrios Unidos, Antonio Nariño, Kennedy, Usaquén, Ciudad Bolívar y Santafé. En tres de estas localidades no había prestado servicios, Barrios Unidos, Antonio Nariño y Santafé; </t>
  </si>
  <si>
    <r>
      <rPr>
        <sz val="11"/>
        <color rgb="FF000000"/>
        <rFont val="Times New Roman"/>
        <family val="1"/>
      </rPr>
      <t xml:space="preserve">En el mes de junio se implementaron 46 talleres de Cambio Cultural, a través de los cuales se vincularon </t>
    </r>
    <r>
      <rPr>
        <b/>
        <sz val="11"/>
        <color rgb="FF000000"/>
        <rFont val="Times New Roman"/>
        <family val="1"/>
      </rPr>
      <t>454</t>
    </r>
    <r>
      <rPr>
        <sz val="11"/>
        <color rgb="FF000000"/>
        <rFont val="Times New Roman"/>
        <family val="1"/>
      </rPr>
      <t xml:space="preserve"> beneficiarias de la siguiente manera: Nivel Distrital 16 personas;  Usaquén 35 personas;  Chapinero 39 personas;  Santa Fe 9 personas;  San Cristóbal 13 personas; Antonio Nariño 3 personas;  Tunjuelito 42 personas;  Bosa 22 personas;  Kennedy 43 personas;  Fontibón 26 personas;  Engativá 30 personas; Suba 19 personas; Teusaquillo 12 personas; Los Mártires 57 personas;  Puente Aranda 46 personas;  Rafael Uribe Uribe 37 personas; y Ciudad Bolívar 5 personas. Por lo anterior, el balance de los beneficiarios de los talleres implementados durante lo corrido del año, es 2.709</t>
    </r>
  </si>
  <si>
    <t>En el marco del diseño de un documento que abarque la implementación de la Estrategia Pedagógica y de Cambio Cultural para la valoración, resignificación, reconocimiento y redistribución del trabajo de cuidado no remunerado que realizan las mujeres en Bogotá, en el mes de junio se realizaron las actividades requeridas dentro del diseño de la caja de herramientas de la Estrategia Pedagógica y de Cambio Cultural, logrando así la actualización del documento “Caja de herramientas IPC”  para su  revisión y posterior envío a diagramación con el equipo de comunicaciones en Julio.</t>
  </si>
  <si>
    <t xml:space="preserve">Durante lo corrido del primer semestre del 2023, con relación al proceso de diseño y socialización de la caja de herramientas de la Estrategia Pedagógica de Cambio Cultural, se continuó con la construcción de nueve documentos metodológicos, los cuales están dirigidos para un abordaje con enfoque diferencial atendiendo las necesidades poblacionales, así como, aportar al documento final de la Estrategia Pedagógica y de Cambio cultural  “Caja de herramientas IPC”.
</t>
  </si>
  <si>
    <t>En lo referente a diseñar un documento para la implementación de la estrategia pedagógica para la valoración, la resignificación, el reconocimiento y la redistribución del trabajo de cuidado no remunerado que realizan las mujeres en Bogotá, entre enero a junio del 2023 no se han presentado dificultades que alteren la normal ejecución de esta meta.</t>
  </si>
  <si>
    <t xml:space="preserve">La construcción de nuevas metodologías y actualización de las ya existentes contenidas en la caja de herramientas, permitió la constitución y consolidación formal del documento “Caja de herramientas IPC” como un esfuerzo conjunto del equipo de Cambio Cultural en la cual reposa un compendio de conocimientos pedagógicos que permiten orientar el actual de las y los profesionales de la Estrategia, así como el de cualquier persona o profesional que desee consultar lo relacionado a lo desarrollado con cuidado y trabajo no remunerado. </t>
  </si>
  <si>
    <r>
      <rPr>
        <sz val="11"/>
        <color rgb="FF000000"/>
        <rFont val="Times New Roman"/>
        <family val="1"/>
      </rPr>
      <t xml:space="preserve">Programación y realización de 21 cursos de Formación Complementaria en junio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Adicionalmente en formación complementaria ofrecida por el Servicio Nacional de Aprendizaje con contenidos en Ofimática e Inglés, con duración de 40 horas e implementación por parte de tutores SENA con acompañamiento de las formadoras Mujer.
El número total de cuidadoras graduadas en el mes de junio fue de </t>
    </r>
    <r>
      <rPr>
        <b/>
        <sz val="11"/>
        <color rgb="FF000000"/>
        <rFont val="Times New Roman"/>
        <family val="1"/>
      </rPr>
      <t>300.</t>
    </r>
    <r>
      <rPr>
        <sz val="11"/>
        <color rgb="FF000000"/>
        <rFont val="Times New Roman"/>
        <family val="1"/>
      </rPr>
      <t xml:space="preserve"> La distribución por localidad de prestación del servicio expresa el siguiente comportamiento: Rafael Uribe Uribe: 31; Kennedy:28; Usme: 27; Bosa: 20; Ciudad Bolívar Manitas:20; Ciudad Bolívar Mochuelo:20; Puente Aranda:17; Suba:16; Chapinero:15; Usaquén:15; Antonio Nariño:15; Engativá:13; Fontibón:13; Los Mártires:12 y Barrios Unidos;2. Respecto de la dinámica de los buses, se logró en Bus del Cuidado Urbano:24 y en Bus del Cuidado Rural:12. En cuanto al proceso de Homologación de Saberes, se certificaron </t>
    </r>
    <r>
      <rPr>
        <b/>
        <sz val="11"/>
        <color rgb="FF000000"/>
        <rFont val="Times New Roman"/>
        <family val="1"/>
      </rPr>
      <t>71</t>
    </r>
    <r>
      <rPr>
        <sz val="11"/>
        <color rgb="FF000000"/>
        <rFont val="Times New Roman"/>
        <family val="1"/>
      </rPr>
      <t xml:space="preserve"> cuidadoras certificadas en el mes de junio. Lo anterior da como balance acumulado de 1.220 cuidadoras graduadas y en homologación de saberes, 264 certificadas (1.484 en total). </t>
    </r>
  </si>
  <si>
    <t>En relación con la oferta de atención psico jurídica en el mes de junio, se benefició un total de 1.027 personas cuidadoras, de las cuales 552 recibieron orientación y asesoría jurídica en las localidades de: Antonio Nariño 5, Barrios Unidos 4, Bosa 60, Chapinero 24, Ciudad Bolívar 45, Engativá 38, Fontibón 23, Fuera de Bogotá 5, Kennedy 25, Candelaria 2, Mártires 1, Puente Aranda 10, Rafael Uribe  55, San Cristóbal 107, Santa Fe 6, Suba 48, Teusaquillo 2, Tunjuelito 3, Usaquén 29, Usme 60.  Y 475 personas cuidadoras recibieron orientación psicosocial, distribuidas a lo largo de las localidades de la siguiente manera: Antonio Nariño 5, Barrios Unidos 2, Bosa 60, Chapinero 16, Ciudad Bolívar 32, Engativá 41, Fontibón 15, Fuera de Bogotá 3, Kennedy 21, Candelaria 1, Mártires 1, Puente Aranda 12, Rafael Uribe 49, San Cristóbal 105, Santa Fe 2, Suba 37, Teusaquillo 3,  Tunjuelito 1, Usaquén 19, Usme 50. Con relación al acumulado, durante lo corrido del 2023 los beneficiarios de atención psico jurídica asciende a 3.282</t>
  </si>
  <si>
    <t>Desde la Estrategia Territorial de las Manzanas del Cuidado se implementaron 137 actividades de difusión y socialización del Sistema Distrital del Cuidado y los servicios de las Manzanas del Cuidado en 17 localidades de Bogotá, a saber: Bosa, Centro (Santa Fe-Candelaria), Chapinero, Ciudad Bolívar, Engativá, Fontibón, Kennedy, Mártires, Puente Aranda, Rafael Uribe , San Cristóbal, Suba, Tunjuelito, Teusaquillo, Usaquén y Usme. La difusión a nivel territorial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actividades desarrolladas durante la vigencia 2023 es de 534 actividades.</t>
  </si>
  <si>
    <t>Se gestionó la inauguración de la manzana de cuidado número 20 que será en la localidad de ANTONIO NARIÑO. Para tal fin se propuso la versión 1 de la ficha técnica de esta manzana en la unidad técnica de apoyo y se avanzó en gestiones con entidades alidadas para definir el equipamiento ancla y los equipamientos complementarios, además de avanzar con la preparación para el evento inaugural con la Alcaldía Mayor de Bogotá, el 24 de julio del 2023. Por el momento, a la fecha se tiene en funcionamiento 19 manzanas del cuidado.</t>
  </si>
  <si>
    <t xml:space="preserve">La inauguración de la manzana del cuidado de ANTONIO NARIÑO  se programó para el 24 de julio, a causa de la conmemoración del día del autocuidado estipulado en el acuerdo 893 como reconocimiento a las personas cuidadoras y el trabajo de cuidado no remunerado que realizan, por parte de las entidades del Distrito Capital. En ese sentido, se proyecta el inicio de operación de la manzana número 20 para finales del mes de julio. . </t>
  </si>
  <si>
    <t>Avances en la implementación de la estrategia para la adecuación de infraestructura de manzanas de 
cuidado</t>
  </si>
  <si>
    <t>Durante el mes de junio de 2023 se realizaron 10 jornadas de socialización del Sistema Distrital de Cuidado y sus lineamientos técnicos:
1) 06-06-2023: Socialización con el equipo del medio de comuicación feminista "Manifiesta Media".
2) 09-06-2023: Intervención en el Consejo Local de Política Social (CLOPS) de Rafael Uribe Uribe.
3) 10-06-2023: Socialización con la Corporación La Cometa.
4) 21-06-2023: Intervención en el Consejo Local de Política Social (CLOPS) de Fontibón.
5) 21-06-2023: Socialización con la Colectiva Mujeres Skate en el Parque Nacional.
6) 21-06-2023: Socialización con la Colectiva Mujeres Skate en el Parque de los Hippies.
7) 23-06-2023: Capacitación al equipo de la Línea Púrpura de la Dirección de Eliminación de Violencias y Acceso a la Justicia (DEVAJ) de la Secretaría Distrital de la Mujer.
8) 28-06-2023: Socialización con el equipo de la Subdirección de Innovación en Salud Pública del Instituto Nacional de Salud (INS).
9) 28-06-2023: Intercambio con el equipo de UNICEF Colombia.
10) 29-06-23: Socialización con personas cuidadoras de personas con discapacidad que requieren altos niveles apoyo usuarias del grupo empresarial Keralty.
Sumado a las 10 sesiones realizadas, se tiene un balance de 34 sesiones realizadas a lo largo del primer semestre del 2023.</t>
  </si>
  <si>
    <t>Se realizó la octava sesión de la UTA de la presente vigencia, (la 36 desde la expedición del Decreto 237/20). La agenda desarrollada toco los siguientes puntos: Revisión de la primera versión de ficha técnica Manzana del Cuidado de Antonio Nariño. Visita técnica Manzana del Cuidado de Antonio Nariño en donde se definió la cartelera de servicios. Seguimiento a compromisos. 5. Conmemoraciones del Día Internacional del Autocuidado y del Día Internacional del Trabajo Doméstico. Pactos por las Manzanas del Cuidado. y se trato el informe semestral del SIDICU. Participaron de manera presencial 34 directivas y personas delegadas (24 mujeres y 10 hombres) de 11 Sectores de la Administración Distrital (11 Secretarías de Salud, Integración Social, Educación, Gobierno, Planeación, Desarrollo Económico, Cultura, Recreación y Deporte-BibloRed, Hábitat, Movilidad, Ambiente y Mujer; 5 entidades del Sector Descentralizado (Institutos de las Artes, Recreación y Deporte y para la Economía Social, JBB y UAESP) y Alcaldía Antonio Nariño. 
Se convalidó el acta de la UTA No. 35 (01.06.23). Se realizó trámite de suscripción (07.06.23) y de publicación (07.06.23). Se realizó la 5ta sesión (la No. 12 desde su creación) de la Mesa de Relevos y se desarrollo la siguiente agenda: Revisión de compromisos. Avances Sector Salud. Avances Sector Integración Social. Avances Sector Mujeres (Bloomberg). Participaron 12 mujeres de las Secretarías de Salud, Integración Social y la Mujer, y PNUD (Bloomberg). D. Se realizó la 2da sesión del año (la No. 7 desde su creación) de la Mesa de Infraestructura del Cuidado (27.06.23). Agenda desarrollada: Seguimiento a compromisos. Avances en la implementación de Manzanas del Cuidado y proyección 2023. Manzana del Cuidado de Antonio Nariño. 5. Nodos La Gloria y Altamira. 6. Manzanas POT 2024-2035 y obras de infraestructura. Participaron 7 mujeres y 12 hombres de las Secretarías de Planeación, Hábitat, Educación, Integración Social, SCJ, Movilidad y Salud y DADEP.</t>
  </si>
  <si>
    <t>Con la programación de la inauguración de la Manzana el Cuidado de la localidad de ANTONIO NARIÑO , Bogotá pasará de 19 a 20 Manzanas de cuidado. A le fecha se encuentran en operación 19</t>
  </si>
  <si>
    <r>
      <rPr>
        <sz val="11"/>
        <rFont val="Calibri"/>
        <family val="2"/>
      </rPr>
      <t>Durante el mes de junio se efectuaron 19</t>
    </r>
    <r>
      <rPr>
        <sz val="11"/>
        <color rgb="FF000000"/>
        <rFont val="Calibri"/>
        <family val="2"/>
      </rPr>
      <t xml:space="preserve"> sesiones de las Mesas Locales de las Manzanas del Cuidado de 1-Bosa - Porvenir, Bosa -2 Campo Verde, 3 Kennedy, 4Ciudad Bolívar - Manitas,5 Usme, 6 San Cristóbal - CEFE,7 Mártires,8 Usaquén,9 Centro,10 Engativá,11 Rafael Uribe Uribe,12 Ciudad Bolívar - Mochuelos,13 Tunjuelito,14 San Cristóbal - Juan Rey, 15 Chapinero, 16 Fontibón ,17 Suba, 18 Puente Aranda y 19 Teusaquillo. En dichas sesiones, se monitorearon las acciones intersectoriales de los sectores representados, el estado de la operación de los servicios implementados y el balance mensual de las atenciones prestadas. A la fecha se lleva un acumulado de 86 sesiones.</t>
    </r>
  </si>
  <si>
    <t>En el mes de junio en el marco del Trabajo de Transformación Cultural, se adelantó la tercera Mesa y en este sentido se dio cumplimiento frente a la organización, gestión y establecimiento de espacios de formación de manera conjunta entre los distintos programas participantes en la mesa; espacios de sensibilización para los integrantes de los programas Nidos y Bibliored; y un calendario conjunto con fechas e hitos importantes para los programas de la mesa y su posible participación conjunta.</t>
  </si>
  <si>
    <t>A la fecha no ha sido posible la firma del Anexo 2 de la Unidad Móvil Rural, por parte de componente técnico se envió la alerta vía correo electrónico desde finales del mes de mayo a la líder del equipo jurídico de la Dirección del Sistema de Cuidado</t>
  </si>
  <si>
    <t xml:space="preserve">En lo referente a diseñar un documento de lineamientos técnicos para la formulación de las bases del sistema distrital de cuidado, de enero a junio de 2023 no se han presentado dificultades que alteren la normal ejecución de esta meta.
Sin embargo, frente al seguimiento a la implementación del Convenio 913 de 2021, se evidencia la dificultad del seguimientos por parte de la Entidad en cumplimiento del instrumento, teniendo en cuenta que los adherentes y signatarios del convenio participan entre si en acuerdos operativos independientes que requieren gestiones de legalización y no se cuenta con la certeza de los delegados que permita un control y seguimiento efectivo por la magnitud del sistema. No osbtante, se generó la acción de la recopilación de información disponible de delegados por entidad y se avanzó con las acciones preparatorias para la quinta mesa de seguimiento solicitando en las citaciones la confirmación por entidad de sus delegados, así mismo se busca contar con un reporte actualizado por entidad de las actividades y anexos pendientes por entidad parte del convenio. </t>
  </si>
  <si>
    <t>En lo referente a la coordinación y articulación de las 13 secretarias, durante lo corrido del año, solo en el mes de junio se presento la situación que no se diera la articulación de las trece, a razón de que en este mes solo se dio una UTA de manera presencial.</t>
  </si>
  <si>
    <r>
      <t>En el mes de junio, en el marco del diseño de un documento que abarque la implementación de la Estrategia Pedagógica y de Cambio Cultural para la valoración, resignificación, reconocimiento y redistribución del trabajo de cuidado no remunerado que realizan las mujeres en Bogotá,</t>
    </r>
    <r>
      <rPr>
        <sz val="11"/>
        <rFont val="Times New Roman"/>
        <family val="1"/>
      </rPr>
      <t xml:space="preserve"> en el mes de junio</t>
    </r>
    <r>
      <rPr>
        <b/>
        <sz val="11"/>
        <color rgb="FFFF0000"/>
        <rFont val="Times New Roman"/>
        <family val="1"/>
      </rPr>
      <t xml:space="preserve"> </t>
    </r>
    <r>
      <rPr>
        <sz val="11"/>
        <color rgb="FF000000"/>
        <rFont val="Times New Roman"/>
        <family val="1"/>
      </rPr>
      <t>se realizaron las actividades requeridas dentro del diseño de la caja de herramientas de la Estrategia Pedagógica y de Cambio Cultural, logrando así la actualización del documento “Caja de herramientas EPCC” para su  revisión y posterior envío a diagramación con el equipo de comunicaciones en Julio.</t>
    </r>
  </si>
  <si>
    <t>Algo así que en el marco de la implementación de la estrategia pedagógica para la valoración, la resignificación, el reconocimiento y la redistribución del trabajo de cuidado no remunerado durante el primer semestre de 2023 se avanzó en el diseño y socialización de la caja de herramientas se continuó con la construcción de nueve documentos metodológicos, los cuales están dirigidos para un abordaje con enfoque diferencial atendiendo las necesidades poblacionales, así como, aportar al documento final de la Estrategia Pedagógica y de Cambio cultural  “Caja de herramientas EPCC”. Por otro parte, a través de la implementación de una estrategia de cambio cultural y pedagógica, frente a la corresponsabilidad en la realización del trabajo de cuidado en los hogares y comunidades, a fin de redistribuir este trabajo entre hombres y mujeres, se han adelantado durante lo corrido del 2023 talleres de cambio cultural bajo los cuales se ha beneficiado a 2.709 personas.</t>
  </si>
  <si>
    <r>
      <rPr>
        <sz val="11"/>
        <rFont val="Times New Roman"/>
        <family val="1"/>
      </rPr>
      <t>En el marco de la estrategia de manzanas del cuidado y unidades móviles de servicios del cuidado, se avanza con la</t>
    </r>
    <r>
      <rPr>
        <b/>
        <sz val="11"/>
        <color rgb="FFFF0000"/>
        <rFont val="Times New Roman"/>
        <family val="1"/>
      </rPr>
      <t xml:space="preserve"> </t>
    </r>
    <r>
      <rPr>
        <sz val="11"/>
        <color rgb="FF000000"/>
        <rFont val="Times New Roman"/>
        <family val="1"/>
      </rPr>
      <t xml:space="preserve">programación de la inauguración de la Manzana el Cuidado de la localidad de ANTONIO NARINO , con la cual Bogotá pasará de 19 a 20 Manzanas de cuidado. A le fecha se encuentran en </t>
    </r>
    <r>
      <rPr>
        <sz val="11"/>
        <rFont val="Times New Roman"/>
        <family val="1"/>
      </rPr>
      <t>operación</t>
    </r>
    <r>
      <rPr>
        <sz val="11"/>
        <color rgb="FF000000"/>
        <rFont val="Times New Roman"/>
        <family val="1"/>
      </rPr>
      <t xml:space="preserve"> 19.
En el marco de los procesos realizados por el SIDICU en la vigencia referida al reporte, se han beneficiado del servicio de orientación y asesoría psico jurídica a: 5.594 cuidadoras.  
Finalmente, frente a las atenciones registradas en el marco del desarrollo del Plan Integral de Acciones Afirmativas, se ha logrado atender a 410</t>
    </r>
    <r>
      <rPr>
        <b/>
        <sz val="11"/>
        <color rgb="FFFF0000"/>
        <rFont val="Times New Roman"/>
        <family val="1"/>
      </rPr>
      <t xml:space="preserve"> </t>
    </r>
    <r>
      <rPr>
        <sz val="11"/>
        <color rgb="FF000000"/>
        <rFont val="Times New Roman"/>
        <family val="1"/>
      </rPr>
      <t>cuidadoras negras y afrocolombianas, a través de 35 espacios respiro.</t>
    </r>
  </si>
  <si>
    <t>En el marco de avanzar  en la construcción del documento correspondiente a los lineamientos técnicos derivados de la formulación de las bases del Sistema Distrital de Cuidado y sumado a los resultados de articulación con las entidades distritales que hacen parte del sistema, durante los meses de enero a junio de 2023 se avanzó en: La retroalimentación del documento “Desarrollo técnico del Sistema Distrital de Cuidado”, entregado por el equipo consultor de la Fundación Barco – Open Society Fundación en diciembre de 2022, La actualización de las delegaciones a la Unidad Técnica de Apoyo de la Comisión intersectorial del Sistema Distrital de Cuidado para retomar el funcionamiento de la Mesa Intersectorial de Seguimiento al Convenio Marco Interadministrativo 913 de 2021, La publicación en SECOP II del Anexo Técnico II de la Manzana del Cuidado de Ciudad Bolívar - Manitas, correspondiente al Acuerdo de Coordinación con el Instituto Distrital para las Artes y la Secretaría General, La suscripción de los Anexos I y II del Convenio Marco Interadministrativo 913 de 2021 para las Manzanas del Cuidado de Fontibón y Teusaquillo, La terminación anticipada del Convenio 725 de 2020, con el objetivo de adoptar dentro del Convenio Marco Interadministrativo 913 de 2021 el funcionamiento de las Manzanas del Cuidado de Bosa - Porvenir, San Cristóbal - San Blas y Usme - Julio César Sánchez, Revisión y firma Anexos II de adhesión al Convenio Marco Interadministrativo 913 de 2021 para las Manzanas del Cuidado de San Cristobal, Usme y Bosa - Porvenir, en lo que respecta a la Secretaría Distrital de la Mujer (SDMujer), La realización de 35 jornadas de socialización del Sistema Distrital de Cuidado y sus lineamientos técnicos y la Elaboración de la estrategia "Pactos locales de cuidado", cuyo objetivo es la apropiación de las Manzanas del Cuidado por parte de la ciudadanía.</t>
  </si>
  <si>
    <r>
      <t>Con la programación de la inauguración de la Manzana el Cuidado de la localidad de ANTONIO NARINO , Bogotá pasará de 19 a 20 Manzanas de cuidado. A le fecha se encuentran en</t>
    </r>
    <r>
      <rPr>
        <b/>
        <sz val="11"/>
        <color rgb="FFFF0000"/>
        <rFont val="Times New Roman"/>
        <family val="1"/>
      </rPr>
      <t xml:space="preserve"> </t>
    </r>
    <r>
      <rPr>
        <sz val="11"/>
        <rFont val="Times New Roman"/>
        <family val="1"/>
      </rPr>
      <t>operación</t>
    </r>
    <r>
      <rPr>
        <b/>
        <sz val="11"/>
        <color rgb="FFFF0000"/>
        <rFont val="Times New Roman"/>
        <family val="1"/>
      </rPr>
      <t xml:space="preserve"> </t>
    </r>
    <r>
      <rPr>
        <sz val="11"/>
        <color theme="1"/>
        <rFont val="Times New Roman"/>
        <family val="1"/>
      </rPr>
      <t>19</t>
    </r>
  </si>
  <si>
    <t xml:space="preserve">En el marco de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 en el mes de juniose desarrollaron las siguientes actividades: *Revisión y aprobación de la hoja de vida del señor Miguel Ángel Ahumada, auxiliar logístico de las Unidades Móviles.  (Anexo 1) 
*Remisión de comunicaciones de solicitud de celeridad ante las entidades distritales para aprobación de permisos para uso de espacio público y Planes de Manejo de Tránsito para la ubicación de las Unidades Móviles (Urbana y rural, durante el ciclo V de formación (Anexo 2)   *Obtención y entrega de permisos obtenidos por parte del contratista Feeling Company SAS para uso de espacio público de las Unidades Móviles (Urbana y rural), durante el ciclo V de formación (Anexo 3) </t>
  </si>
  <si>
    <t xml:space="preserve">En el marco de convocar y gestionar las sesiones de las Mesa de Unidades Móviles de Servicios del Cuidado, en el mes de junio se convocó a la quinta Mesa Local de Buses de Cuidado y se abordó la siguiente agenda: 1.Socialización de informe trimestral Mesa Interlocal de Buses del Cuidado.  2.Presentación intersectorial de resultados Buses del Cuidado Ciclo IV.  3.Socialización de puntos de operación Ciclo V.   4.Hitos Junio 2023   5.Compromisos y varios. En el espacio además se puntualizo sobre la  modificación en el cronograma de las mesas locales, estableciéndose que de ahora en adelante la primera semana de cada mes se separará para el desarrollo de la mesa interlocal de Buses del cuidado y las tres semanas restantes del mes se harán las mesas locales de Manzanas del Cuidado.
</t>
  </si>
  <si>
    <t>En el marco de implementación del Sistema Distrital de Cuidado durante la vigencia actual se ha avanzado en la programación para la implementación del SIDICU dado por el funcionamiento de las dos unidades móviles y las 19 Manzana del Cuidado que se encuentran en operación. Por otra parte, frente al componente de coordinación intersectorial, se ha llevado a cabo las sesiones con la comisión intersectorial junto con la unidad de apoyo técnico y en el marco de la actividad asociada a las orientaciones psicosociales y psicourídicas, en lo corrdio del 2023 se se lleva un acumulado de 5.594 beneficiarias.</t>
  </si>
  <si>
    <r>
      <t xml:space="preserve">Con la implementación del proceso de formación de la Estrategia Cuidado a Cuidadoras, en lo corrido de la vigencia 2023 se han desarrollado </t>
    </r>
    <r>
      <rPr>
        <b/>
        <sz val="11"/>
        <color rgb="FF000000"/>
        <rFont val="Times New Roman"/>
        <family val="1"/>
      </rPr>
      <t xml:space="preserve">87 </t>
    </r>
    <r>
      <rPr>
        <sz val="11"/>
        <color rgb="FF000000"/>
        <rFont val="Times New Roman"/>
        <family val="1"/>
      </rPr>
      <t xml:space="preserve">cursos de formación complementaria graduando a </t>
    </r>
    <r>
      <rPr>
        <b/>
        <sz val="11"/>
        <color rgb="FF000000"/>
        <rFont val="Times New Roman"/>
        <family val="1"/>
      </rPr>
      <t xml:space="preserve">1.220 </t>
    </r>
    <r>
      <rPr>
        <sz val="11"/>
        <color rgb="FF000000"/>
        <rFont val="Times New Roman"/>
        <family val="1"/>
      </rPr>
      <t xml:space="preserve">mujeres en "Herramientas para Cuidadoras en el Reconocimiento de su Trabajo de Cuidado" a través del Aula Virtual de la Mujer y en Ofimática e Inglés a través de los procesos de Formación Complementaria implementados por los tutores/as SENA. En ambos casos, se cuenta con el apoyo de </t>
    </r>
    <r>
      <rPr>
        <b/>
        <sz val="11"/>
        <color rgb="FF000000"/>
        <rFont val="Times New Roman"/>
        <family val="1"/>
      </rPr>
      <t xml:space="preserve">20 </t>
    </r>
    <r>
      <rPr>
        <sz val="11"/>
        <color rgb="FF000000"/>
        <rFont val="Times New Roman"/>
        <family val="1"/>
      </rPr>
      <t xml:space="preserve">formadoras en todas las localidades del Distrito Capital, quienes prestan su servicio en las Manzanas del Cuidado y Buses del Cuidado. 
La distribución de las cuidadoras graduadas según localidad y nivel de desempeño, es la siguiente: Kennedy: 130; Suba:79; Bosa: 79; Puente Aranda: 76; Rafael Uribe Uribe:70; Antonio Nariño:60; Los Mártires: 56; Fontibón:55; Ciudad Bolívar Mochuelo:54; Usme:54; Engativá:50; Chapinero:49; Ciudad Bolívar Manitas: 46; Usaquén:45; Barrios Unidos: 43; San Cristóbal Juan Rey: 40; Tunjuelito: 31; San Cristóbal la Felicidad: 24; La Candelaria:19; Santa Fe:18; y Teusaquillo:13. En los buses del cuidado la dinámica presenta la siguiente distribución acumulada Bus del Cuidado Rural: 66 y Bus del Cuidado Urbano: 65.
Respecto de los procesos de Homologación de Saberes, el acumulado de la vigencia 2023 es de </t>
    </r>
    <r>
      <rPr>
        <b/>
        <sz val="11"/>
        <color rgb="FF000000"/>
        <rFont val="Times New Roman"/>
        <family val="1"/>
      </rPr>
      <t>264</t>
    </r>
    <r>
      <rPr>
        <sz val="11"/>
        <color rgb="FF000000"/>
        <rFont val="Times New Roman"/>
        <family val="1"/>
      </rPr>
      <t xml:space="preserve"> cuidadoras certificadas en el Distrito Capital a través de</t>
    </r>
    <r>
      <rPr>
        <b/>
        <sz val="11"/>
        <color rgb="FF000000"/>
        <rFont val="Times New Roman"/>
        <family val="1"/>
      </rPr>
      <t xml:space="preserve"> doce (12) grupos </t>
    </r>
    <r>
      <rPr>
        <sz val="11"/>
        <color rgb="FF000000"/>
        <rFont val="Times New Roman"/>
        <family val="1"/>
      </rPr>
      <t>conformados, uno (1) en marzo, uno (1) en abril, cinco (5) en mayo y cinco</t>
    </r>
    <r>
      <rPr>
        <b/>
        <sz val="11"/>
        <color rgb="FF000000"/>
        <rFont val="Times New Roman"/>
        <family val="1"/>
      </rPr>
      <t xml:space="preserve"> </t>
    </r>
    <r>
      <rPr>
        <sz val="11"/>
        <color rgb="FF000000"/>
        <rFont val="Times New Roman"/>
        <family val="1"/>
      </rPr>
      <t xml:space="preserve">(5) en junio de 2023. 
En el marco de los procesos realizados por el SIDICU en la vigencia referida al reporte, se han beneficiado del servicio de orientación y asesoría psico jurídica a 4.898 personas cuidadoras.
Respecto de los espacios respiro adelantados </t>
    </r>
    <r>
      <rPr>
        <b/>
        <sz val="11"/>
        <color rgb="FF000000"/>
        <rFont val="Times New Roman"/>
        <family val="1"/>
      </rPr>
      <t>entre febrero y junio de 2023</t>
    </r>
    <r>
      <rPr>
        <sz val="11"/>
        <color rgb="FF000000"/>
        <rFont val="Times New Roman"/>
        <family val="1"/>
      </rPr>
      <t>, se ha logrado la realización de</t>
    </r>
    <r>
      <rPr>
        <b/>
        <sz val="11"/>
        <color rgb="FF000000"/>
        <rFont val="Times New Roman"/>
        <family val="1"/>
      </rPr>
      <t xml:space="preserve"> treinta y ocho 38 espacios respiro</t>
    </r>
    <r>
      <rPr>
        <sz val="11"/>
        <color rgb="FF000000"/>
        <rFont val="Times New Roman"/>
        <family val="1"/>
      </rPr>
      <t xml:space="preserve">, con participación de </t>
    </r>
    <r>
      <rPr>
        <b/>
        <sz val="11"/>
        <color rgb="FF000000"/>
        <rFont val="Times New Roman"/>
        <family val="1"/>
      </rPr>
      <t xml:space="preserve">ciento veintiséis (126) </t>
    </r>
    <r>
      <rPr>
        <sz val="11"/>
        <color rgb="FF000000"/>
        <rFont val="Times New Roman"/>
        <family val="1"/>
      </rPr>
      <t xml:space="preserve">cuidadoras pertenecientes a la comunidad </t>
    </r>
    <r>
      <rPr>
        <b/>
        <sz val="11"/>
        <color rgb="FF000000"/>
        <rFont val="Times New Roman"/>
        <family val="1"/>
      </rPr>
      <t>étnica Afro y Negra</t>
    </r>
    <r>
      <rPr>
        <sz val="11"/>
        <color rgb="FF000000"/>
        <rFont val="Times New Roman"/>
        <family val="1"/>
      </rPr>
      <t xml:space="preserve">, </t>
    </r>
    <r>
      <rPr>
        <b/>
        <sz val="11"/>
        <color rgb="FF000000"/>
        <rFont val="Times New Roman"/>
        <family val="1"/>
      </rPr>
      <t>veinticinco (25)</t>
    </r>
    <r>
      <rPr>
        <sz val="11"/>
        <color rgb="FF000000"/>
        <rFont val="Times New Roman"/>
        <family val="1"/>
      </rPr>
      <t xml:space="preserve"> que hacen parte de los</t>
    </r>
    <r>
      <rPr>
        <b/>
        <sz val="11"/>
        <color rgb="FF000000"/>
        <rFont val="Times New Roman"/>
        <family val="1"/>
      </rPr>
      <t xml:space="preserve"> Pueblos Indígenas</t>
    </r>
    <r>
      <rPr>
        <sz val="11"/>
        <color rgb="FF000000"/>
        <rFont val="Times New Roman"/>
        <family val="1"/>
      </rPr>
      <t xml:space="preserve"> que integran el proceso 612 de 2015, </t>
    </r>
    <r>
      <rPr>
        <b/>
        <sz val="11"/>
        <color rgb="FF000000"/>
        <rFont val="Times New Roman"/>
        <family val="1"/>
      </rPr>
      <t>ciento ochenta y siete (187)</t>
    </r>
    <r>
      <rPr>
        <sz val="11"/>
        <color rgb="FF000000"/>
        <rFont val="Times New Roman"/>
        <family val="1"/>
      </rPr>
      <t xml:space="preserve"> pertenecientes a la </t>
    </r>
    <r>
      <rPr>
        <b/>
        <sz val="11"/>
        <color rgb="FF000000"/>
        <rFont val="Times New Roman"/>
        <family val="1"/>
      </rPr>
      <t>comunidad Raizal</t>
    </r>
    <r>
      <rPr>
        <sz val="11"/>
        <color rgb="FF000000"/>
        <rFont val="Times New Roman"/>
        <family val="1"/>
      </rPr>
      <t xml:space="preserve"> y </t>
    </r>
    <r>
      <rPr>
        <b/>
        <sz val="11"/>
        <color rgb="FF000000"/>
        <rFont val="Times New Roman"/>
        <family val="1"/>
      </rPr>
      <t>ciento quince (115) pertenecientes al pueblo Gitano</t>
    </r>
    <r>
      <rPr>
        <sz val="11"/>
        <color rgb="FF000000"/>
        <rFont val="Times New Roman"/>
        <family val="1"/>
      </rPr>
      <t xml:space="preserve">. Las atenciones registradas en el marco del desarrollo del </t>
    </r>
    <r>
      <rPr>
        <b/>
        <sz val="11"/>
        <color rgb="FF000000"/>
        <rFont val="Times New Roman"/>
        <family val="1"/>
      </rPr>
      <t xml:space="preserve">Plan Integral de Acciones Afirmativas ascienden en acumulado a cuatrocientos cincuenta y tres (453).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</si>
</sst>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 #,##0_-;\-* #,##0_-;_-* &quot;-&quot;_-;_-@"/>
    <numFmt numFmtId="180" formatCode="_-* #,##0.00\ _€_-;\-* #,##0.00\ _€_-;_-* &quot;-&quot;\ _€_-;_-@"/>
    <numFmt numFmtId="181" formatCode="_-* #,##0\ _€_-;\-* #,##0\ _€_-;_-* &quot;-&quot;\ _€_-;_-@"/>
    <numFmt numFmtId="182" formatCode="#,##0_ ;\-#,##0\ "/>
    <numFmt numFmtId="183" formatCode="#,##0.0"/>
    <numFmt numFmtId="184" formatCode="0.000"/>
    <numFmt numFmtId="185" formatCode="0.00000"/>
    <numFmt numFmtId="186" formatCode="0.0000"/>
    <numFmt numFmtId="187" formatCode="#,##0.000"/>
  </numFmts>
  <fonts count="6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i/>
      <sz val="11"/>
      <color rgb="FF000000"/>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b/>
      <sz val="11"/>
      <color rgb="FF000000"/>
      <name val="Tahoma"/>
      <family val="2"/>
    </font>
    <font>
      <sz val="11"/>
      <color rgb="FF000000"/>
      <name val="Tahoma"/>
      <family val="2"/>
    </font>
    <font>
      <sz val="11"/>
      <color theme="0"/>
      <name val="Times New Roman"/>
      <family val="1"/>
    </font>
    <font>
      <b/>
      <sz val="11"/>
      <color theme="0"/>
      <name val="Arial Narrow"/>
      <family val="2"/>
    </font>
    <font>
      <sz val="11"/>
      <color rgb="FF000000"/>
      <name val="Calibri"/>
      <family val="2"/>
    </font>
    <font>
      <sz val="11"/>
      <color rgb="FF000000"/>
      <name val="Times New Roman"/>
      <family val="1"/>
    </font>
    <font>
      <b/>
      <sz val="11"/>
      <color indexed="81"/>
      <name val="Tahoma"/>
      <family val="2"/>
    </font>
    <font>
      <sz val="11"/>
      <color indexed="81"/>
      <name val="Tahoma"/>
      <family val="2"/>
    </font>
    <font>
      <b/>
      <sz val="11"/>
      <color rgb="FFFF0000"/>
      <name val="Times New Roman"/>
      <family val="1"/>
    </font>
  </fonts>
  <fills count="3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theme="9"/>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FF"/>
        <bgColor rgb="FF000000"/>
      </patternFill>
    </fill>
    <fill>
      <patternFill patternType="solid">
        <fgColor rgb="FFCCC0DA"/>
        <bgColor rgb="FF000000"/>
      </patternFill>
    </fill>
    <fill>
      <patternFill patternType="solid">
        <fgColor rgb="FFFFFF00"/>
        <bgColor indexed="64"/>
      </patternFill>
    </fill>
    <fill>
      <patternFill patternType="solid">
        <fgColor rgb="FFD9D9D9"/>
        <bgColor rgb="FF000000"/>
      </patternFill>
    </fill>
    <fill>
      <patternFill patternType="solid">
        <fgColor rgb="FFDDEBF7"/>
        <bgColor indexed="64"/>
      </patternFill>
    </fill>
    <fill>
      <patternFill patternType="solid">
        <fgColor rgb="FFF2F2F2"/>
        <bgColor indexed="64"/>
      </patternFill>
    </fill>
    <fill>
      <patternFill patternType="solid">
        <fgColor theme="6"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top/>
      <bottom style="thin">
        <color rgb="FF000000"/>
      </bottom>
      <diagonal/>
    </border>
    <border>
      <left/>
      <right/>
      <top/>
      <bottom style="thin">
        <color rgb="FF000000"/>
      </bottom>
      <diagonal/>
    </border>
    <border>
      <left style="medium">
        <color indexed="64"/>
      </left>
      <right/>
      <top style="thin">
        <color rgb="FF000000"/>
      </top>
      <bottom/>
      <diagonal/>
    </border>
    <border>
      <left/>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s>
  <cellStyleXfs count="34">
    <xf numFmtId="0" fontId="0" fillId="0" borderId="0"/>
    <xf numFmtId="0" fontId="27" fillId="3" borderId="70" applyNumberFormat="0" applyAlignment="0" applyProtection="0"/>
    <xf numFmtId="49" fontId="29" fillId="0" borderId="0" applyFill="0" applyBorder="0" applyProtection="0">
      <alignment horizontal="left" vertical="center"/>
    </xf>
    <xf numFmtId="0" fontId="30" fillId="4" borderId="71" applyNumberFormat="0" applyFont="0" applyFill="0" applyAlignment="0"/>
    <xf numFmtId="0" fontId="30" fillId="4" borderId="72" applyNumberFormat="0" applyFont="0" applyFill="0" applyAlignment="0"/>
    <xf numFmtId="0" fontId="32" fillId="6" borderId="0" applyNumberFormat="0" applyProtection="0">
      <alignment horizontal="left" wrapText="1" indent="4"/>
    </xf>
    <xf numFmtId="0" fontId="33" fillId="6" borderId="0" applyNumberFormat="0" applyProtection="0">
      <alignment horizontal="left" wrapText="1" indent="4"/>
    </xf>
    <xf numFmtId="0" fontId="31" fillId="5"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8"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6" borderId="0" applyNumberFormat="0" applyBorder="0" applyProtection="0">
      <alignment horizontal="left" indent="1"/>
    </xf>
  </cellStyleXfs>
  <cellXfs count="101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75"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9"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39" fillId="0" borderId="1" xfId="0" applyFont="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 xfId="10" applyNumberFormat="1" applyFont="1" applyBorder="1" applyAlignment="1">
      <alignment vertical="center"/>
    </xf>
    <xf numFmtId="173" fontId="27" fillId="0" borderId="32" xfId="10" applyNumberFormat="1" applyFont="1" applyBorder="1" applyAlignment="1">
      <alignment vertical="center"/>
    </xf>
    <xf numFmtId="173"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7" fillId="0" borderId="2" xfId="28" applyFont="1" applyBorder="1" applyAlignment="1">
      <alignment vertical="center"/>
    </xf>
    <xf numFmtId="0" fontId="12" fillId="9" borderId="2" xfId="0" applyFont="1" applyFill="1" applyBorder="1" applyAlignment="1">
      <alignment horizontal="center" vertical="center" wrapText="1"/>
    </xf>
    <xf numFmtId="9" fontId="41" fillId="9" borderId="1" xfId="28" applyFont="1" applyFill="1" applyBorder="1" applyAlignment="1">
      <alignment horizontal="center" vertical="center" wrapText="1"/>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80" xfId="22" applyFont="1" applyFill="1" applyBorder="1" applyAlignment="1">
      <alignment vertical="center" wrapText="1"/>
    </xf>
    <xf numFmtId="0" fontId="12" fillId="19" borderId="81"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9" fontId="11" fillId="19" borderId="4" xfId="29" applyFont="1" applyFill="1" applyBorder="1" applyAlignment="1" applyProtection="1">
      <alignment horizontal="center" vertical="center" wrapText="1"/>
      <protection locked="0"/>
    </xf>
    <xf numFmtId="179" fontId="11" fillId="0" borderId="82" xfId="25" applyNumberFormat="1" applyFont="1" applyBorder="1" applyAlignment="1">
      <alignment vertical="top" wrapText="1"/>
    </xf>
    <xf numFmtId="0" fontId="11" fillId="0" borderId="82" xfId="25" applyFont="1" applyBorder="1" applyAlignment="1">
      <alignment vertical="top" wrapText="1"/>
    </xf>
    <xf numFmtId="0" fontId="11" fillId="0" borderId="83" xfId="25" applyFont="1" applyBorder="1" applyAlignment="1">
      <alignment vertical="top" wrapText="1"/>
    </xf>
    <xf numFmtId="180" fontId="11" fillId="0" borderId="82" xfId="25" applyNumberFormat="1" applyFont="1" applyBorder="1" applyAlignment="1">
      <alignment vertical="top" wrapText="1"/>
    </xf>
    <xf numFmtId="181" fontId="11" fillId="0" borderId="82" xfId="25" applyNumberFormat="1" applyFont="1" applyBorder="1" applyAlignment="1">
      <alignment vertical="top" wrapText="1"/>
    </xf>
    <xf numFmtId="181" fontId="11" fillId="0" borderId="84" xfId="25" applyNumberFormat="1" applyFont="1" applyBorder="1" applyAlignment="1">
      <alignment vertical="top" wrapText="1"/>
    </xf>
    <xf numFmtId="173" fontId="27" fillId="0" borderId="1" xfId="10" applyNumberFormat="1" applyFont="1" applyFill="1" applyBorder="1" applyAlignment="1">
      <alignment vertical="center"/>
    </xf>
    <xf numFmtId="180" fontId="11" fillId="0" borderId="84" xfId="25" applyNumberFormat="1" applyFont="1" applyBorder="1" applyAlignment="1">
      <alignment vertical="top" wrapText="1"/>
    </xf>
    <xf numFmtId="180" fontId="11" fillId="0" borderId="86" xfId="25" applyNumberFormat="1" applyFont="1" applyBorder="1" applyAlignment="1">
      <alignment vertical="top" wrapText="1"/>
    </xf>
    <xf numFmtId="181" fontId="11" fillId="0" borderId="83" xfId="25" applyNumberFormat="1" applyFont="1" applyBorder="1" applyAlignment="1">
      <alignment vertical="top" wrapText="1"/>
    </xf>
    <xf numFmtId="180" fontId="11" fillId="19" borderId="1" xfId="25" applyNumberFormat="1" applyFont="1" applyFill="1" applyBorder="1" applyAlignment="1">
      <alignment vertical="top" wrapText="1"/>
    </xf>
    <xf numFmtId="0" fontId="11" fillId="0" borderId="88" xfId="25" applyFont="1" applyBorder="1" applyAlignment="1">
      <alignment vertical="top" wrapText="1"/>
    </xf>
    <xf numFmtId="0" fontId="11" fillId="0" borderId="1" xfId="25" applyFont="1" applyBorder="1" applyAlignment="1">
      <alignment vertical="top" wrapText="1"/>
    </xf>
    <xf numFmtId="9" fontId="11" fillId="19" borderId="1" xfId="29" applyFont="1" applyFill="1" applyBorder="1" applyAlignment="1" applyProtection="1">
      <alignment horizontal="center" vertical="center" wrapText="1"/>
      <protection locked="0"/>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12" fillId="0" borderId="35" xfId="22" applyFont="1" applyBorder="1" applyAlignment="1">
      <alignment horizontal="center"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4" borderId="82" xfId="0" applyFont="1" applyFill="1" applyBorder="1" applyAlignment="1">
      <alignment horizontal="center" vertical="center" wrapText="1"/>
    </xf>
    <xf numFmtId="0" fontId="24" fillId="0" borderId="82" xfId="0" applyFont="1" applyBorder="1" applyAlignment="1">
      <alignment horizontal="center" vertical="center" wrapText="1"/>
    </xf>
    <xf numFmtId="9" fontId="25" fillId="0" borderId="0" xfId="0" applyNumberFormat="1" applyFont="1" applyAlignment="1">
      <alignment horizontal="center" vertical="center"/>
    </xf>
    <xf numFmtId="184" fontId="24" fillId="25" borderId="0" xfId="0" applyNumberFormat="1" applyFont="1" applyFill="1" applyAlignment="1">
      <alignment horizontal="center" vertical="center"/>
    </xf>
    <xf numFmtId="0" fontId="39" fillId="0" borderId="0" xfId="0" applyFont="1" applyAlignment="1">
      <alignment horizontal="justify" vertical="center" wrapText="1"/>
    </xf>
    <xf numFmtId="184" fontId="25" fillId="0" borderId="0" xfId="0" applyNumberFormat="1" applyFont="1" applyAlignment="1">
      <alignment horizontal="justify" vertical="center" wrapText="1"/>
    </xf>
    <xf numFmtId="0" fontId="24" fillId="26" borderId="82" xfId="0" applyFont="1" applyFill="1" applyBorder="1" applyAlignment="1">
      <alignment horizontal="center" vertical="center" wrapText="1"/>
    </xf>
    <xf numFmtId="184" fontId="25" fillId="26" borderId="0" xfId="0" applyNumberFormat="1" applyFont="1" applyFill="1" applyAlignment="1">
      <alignment horizontal="center" vertical="center"/>
    </xf>
    <xf numFmtId="184" fontId="24" fillId="26" borderId="0" xfId="0" applyNumberFormat="1" applyFont="1" applyFill="1" applyAlignment="1">
      <alignment horizontal="center" vertical="center"/>
    </xf>
    <xf numFmtId="184" fontId="39" fillId="0" borderId="0" xfId="0" applyNumberFormat="1" applyFont="1" applyAlignment="1">
      <alignment horizontal="justify" vertical="center" wrapText="1"/>
    </xf>
    <xf numFmtId="0" fontId="24" fillId="26" borderId="83" xfId="0" applyFont="1" applyFill="1" applyBorder="1" applyAlignment="1">
      <alignment horizontal="center" vertical="center" wrapText="1"/>
    </xf>
    <xf numFmtId="9" fontId="26" fillId="0" borderId="0" xfId="0" applyNumberFormat="1" applyFont="1" applyAlignment="1">
      <alignment horizontal="justify" vertical="center" wrapText="1"/>
    </xf>
    <xf numFmtId="174" fontId="25" fillId="0" borderId="0" xfId="0" applyNumberFormat="1" applyFont="1" applyAlignment="1">
      <alignment horizontal="center" vertical="center" wrapText="1"/>
    </xf>
    <xf numFmtId="0" fontId="24" fillId="0" borderId="0" xfId="0" applyFont="1" applyAlignment="1">
      <alignment horizontal="center" vertical="center" wrapText="1"/>
    </xf>
    <xf numFmtId="184" fontId="24" fillId="0" borderId="0" xfId="0" applyNumberFormat="1" applyFont="1" applyAlignment="1">
      <alignment horizontal="center" vertical="center"/>
    </xf>
    <xf numFmtId="0" fontId="26" fillId="0" borderId="0" xfId="0" applyFont="1" applyAlignment="1">
      <alignment horizontal="justify" vertical="center" wrapText="1"/>
    </xf>
    <xf numFmtId="174" fontId="11" fillId="0" borderId="0" xfId="0" applyNumberFormat="1" applyFont="1" applyAlignment="1">
      <alignment vertical="center"/>
    </xf>
    <xf numFmtId="184" fontId="25" fillId="0" borderId="0" xfId="0" applyNumberFormat="1" applyFont="1" applyAlignment="1">
      <alignment horizontal="center" vertical="center"/>
    </xf>
    <xf numFmtId="0" fontId="25" fillId="0" borderId="0" xfId="0" applyFont="1" applyAlignment="1">
      <alignment horizontal="center" vertical="center"/>
    </xf>
    <xf numFmtId="0" fontId="25" fillId="27" borderId="0" xfId="0" applyFont="1" applyFill="1" applyAlignment="1">
      <alignment horizontal="center" vertical="center"/>
    </xf>
    <xf numFmtId="185" fontId="24" fillId="27" borderId="0" xfId="0" applyNumberFormat="1" applyFont="1" applyFill="1" applyAlignment="1">
      <alignment horizontal="center" vertical="center"/>
    </xf>
    <xf numFmtId="0" fontId="25" fillId="0" borderId="0" xfId="0" applyFont="1" applyAlignment="1">
      <alignment vertical="center"/>
    </xf>
    <xf numFmtId="0" fontId="24" fillId="28" borderId="0" xfId="0" applyFont="1" applyFill="1" applyAlignment="1">
      <alignment vertical="center"/>
    </xf>
    <xf numFmtId="186" fontId="25" fillId="28" borderId="0" xfId="0" applyNumberFormat="1" applyFont="1" applyFill="1" applyAlignment="1">
      <alignment horizontal="center" vertical="center"/>
    </xf>
    <xf numFmtId="184" fontId="25" fillId="28"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9" borderId="31"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0" fontId="12" fillId="9" borderId="10" xfId="22" applyFont="1" applyFill="1" applyBorder="1" applyAlignment="1">
      <alignment horizontal="left"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0" borderId="14" xfId="28" applyNumberFormat="1" applyFont="1" applyFill="1" applyBorder="1" applyAlignment="1" applyProtection="1">
      <alignment horizontal="center" vertical="center" wrapText="1"/>
    </xf>
    <xf numFmtId="4" fontId="12" fillId="9" borderId="39" xfId="28" applyNumberFormat="1" applyFont="1" applyFill="1" applyBorder="1" applyAlignment="1" applyProtection="1">
      <alignment horizontal="center" vertical="center" wrapText="1"/>
    </xf>
    <xf numFmtId="4" fontId="12" fillId="9" borderId="40"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4" fontId="12" fillId="0" borderId="34" xfId="28" applyNumberFormat="1" applyFont="1" applyFill="1" applyBorder="1" applyAlignment="1" applyProtection="1">
      <alignment horizontal="center" vertical="center" wrapText="1"/>
    </xf>
    <xf numFmtId="0" fontId="12" fillId="20" borderId="40" xfId="22" applyFont="1" applyFill="1" applyBorder="1" applyAlignment="1">
      <alignment horizontal="center" vertical="center" wrapText="1"/>
    </xf>
    <xf numFmtId="9" fontId="11" fillId="19" borderId="19" xfId="28" applyFont="1" applyFill="1" applyBorder="1" applyAlignment="1" applyProtection="1">
      <alignment horizontal="center" vertical="center" wrapText="1"/>
      <protection locked="0"/>
    </xf>
    <xf numFmtId="0" fontId="12" fillId="0" borderId="9" xfId="22" applyFont="1" applyBorder="1" applyAlignment="1">
      <alignment horizontal="left" vertical="center" wrapText="1"/>
    </xf>
    <xf numFmtId="4" fontId="12" fillId="0" borderId="32" xfId="28" applyNumberFormat="1" applyFont="1" applyFill="1" applyBorder="1" applyAlignment="1" applyProtection="1">
      <alignment horizontal="center" vertical="center" wrapText="1"/>
    </xf>
    <xf numFmtId="4" fontId="12" fillId="0" borderId="24" xfId="28" applyNumberFormat="1" applyFont="1" applyFill="1" applyBorder="1" applyAlignment="1" applyProtection="1">
      <alignment horizontal="center" vertical="center" wrapText="1"/>
    </xf>
    <xf numFmtId="0" fontId="41" fillId="0" borderId="1" xfId="0" applyFont="1" applyBorder="1" applyAlignment="1">
      <alignment horizontal="center" vertical="center"/>
    </xf>
    <xf numFmtId="0" fontId="12" fillId="9" borderId="40" xfId="22" applyFont="1" applyFill="1" applyBorder="1" applyAlignment="1">
      <alignment horizontal="left" vertical="center" wrapText="1"/>
    </xf>
    <xf numFmtId="9" fontId="43" fillId="29" borderId="4" xfId="0" applyNumberFormat="1" applyFont="1" applyFill="1" applyBorder="1" applyAlignment="1">
      <alignment horizontal="center" vertical="center" wrapText="1"/>
    </xf>
    <xf numFmtId="9" fontId="11" fillId="29" borderId="4" xfId="0" applyNumberFormat="1" applyFont="1" applyFill="1" applyBorder="1" applyAlignment="1">
      <alignment horizontal="center" vertical="center" wrapText="1"/>
    </xf>
    <xf numFmtId="9" fontId="11" fillId="30" borderId="1" xfId="0" applyNumberFormat="1" applyFont="1" applyFill="1" applyBorder="1" applyAlignment="1">
      <alignment horizontal="center" vertical="center" wrapText="1"/>
    </xf>
    <xf numFmtId="9" fontId="11" fillId="30" borderId="19"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30" borderId="1" xfId="0" applyFont="1" applyFill="1" applyBorder="1" applyAlignment="1">
      <alignment horizontal="center" vertical="center" wrapText="1"/>
    </xf>
    <xf numFmtId="9" fontId="11" fillId="29" borderId="1" xfId="0" applyNumberFormat="1" applyFont="1" applyFill="1" applyBorder="1" applyAlignment="1">
      <alignment horizontal="center" vertical="center" wrapText="1"/>
    </xf>
    <xf numFmtId="9" fontId="11" fillId="29" borderId="25" xfId="0" applyNumberFormat="1" applyFont="1" applyFill="1" applyBorder="1" applyAlignment="1">
      <alignment horizontal="center" vertical="center" wrapText="1"/>
    </xf>
    <xf numFmtId="0" fontId="11" fillId="29" borderId="40" xfId="0" applyFont="1" applyFill="1" applyBorder="1" applyAlignment="1">
      <alignment horizontal="center" vertical="center" wrapText="1"/>
    </xf>
    <xf numFmtId="0" fontId="11" fillId="30" borderId="19" xfId="0" applyFont="1" applyFill="1" applyBorder="1" applyAlignment="1">
      <alignment horizontal="center" vertical="center" wrapText="1"/>
    </xf>
    <xf numFmtId="0" fontId="17" fillId="0" borderId="1" xfId="0" applyFont="1" applyBorder="1" applyAlignment="1">
      <alignment horizontal="center" vertical="center" wrapText="1"/>
    </xf>
    <xf numFmtId="4" fontId="12" fillId="0" borderId="0" xfId="28" applyNumberFormat="1" applyFont="1" applyFill="1" applyBorder="1" applyAlignment="1" applyProtection="1">
      <alignment horizontal="center" vertical="center" wrapText="1"/>
    </xf>
    <xf numFmtId="4" fontId="12" fillId="9" borderId="50" xfId="28" applyNumberFormat="1" applyFont="1" applyFill="1" applyBorder="1" applyAlignment="1" applyProtection="1">
      <alignment horizontal="center" vertical="center" wrapText="1"/>
    </xf>
    <xf numFmtId="0" fontId="12" fillId="19" borderId="10" xfId="22" applyFont="1" applyFill="1" applyBorder="1" applyAlignment="1">
      <alignment horizontal="center" vertical="center" wrapText="1"/>
    </xf>
    <xf numFmtId="9" fontId="39" fillId="9" borderId="1" xfId="28" applyFont="1" applyFill="1" applyBorder="1" applyAlignment="1" applyProtection="1">
      <alignment horizontal="center" vertical="center" wrapText="1"/>
      <protection locked="0"/>
    </xf>
    <xf numFmtId="166" fontId="0" fillId="0" borderId="0" xfId="15" applyFont="1" applyAlignment="1">
      <alignment vertical="center"/>
    </xf>
    <xf numFmtId="9" fontId="41" fillId="0" borderId="0" xfId="22" applyNumberFormat="1" applyFont="1" applyAlignment="1">
      <alignment vertical="center" wrapText="1"/>
    </xf>
    <xf numFmtId="9" fontId="39" fillId="19" borderId="1" xfId="29" applyFont="1" applyFill="1" applyBorder="1" applyAlignment="1" applyProtection="1">
      <alignment horizontal="center" vertical="center" wrapText="1"/>
      <protection locked="0"/>
    </xf>
    <xf numFmtId="0" fontId="12" fillId="0" borderId="99" xfId="22" applyFont="1" applyBorder="1" applyAlignment="1">
      <alignment horizontal="center" vertical="center" wrapText="1"/>
    </xf>
    <xf numFmtId="1" fontId="39" fillId="9" borderId="10" xfId="30" applyNumberFormat="1" applyFont="1" applyFill="1" applyBorder="1" applyAlignment="1" applyProtection="1">
      <alignment horizontal="center" vertical="center" wrapText="1"/>
    </xf>
    <xf numFmtId="4" fontId="11" fillId="0" borderId="1" xfId="25" applyNumberFormat="1" applyFont="1" applyBorder="1" applyAlignment="1">
      <alignment horizontal="center" vertical="center" wrapText="1"/>
    </xf>
    <xf numFmtId="9" fontId="39" fillId="0" borderId="2" xfId="28" applyFont="1" applyBorder="1" applyAlignment="1">
      <alignment horizontal="center" vertical="center"/>
    </xf>
    <xf numFmtId="183" fontId="11" fillId="0" borderId="1" xfId="25" applyNumberFormat="1" applyFont="1" applyBorder="1" applyAlignment="1">
      <alignment horizontal="center" vertical="center" wrapText="1"/>
    </xf>
    <xf numFmtId="4" fontId="11" fillId="0" borderId="4" xfId="25" applyNumberFormat="1" applyFont="1" applyBorder="1" applyAlignment="1">
      <alignment horizontal="center" vertical="center" wrapText="1"/>
    </xf>
    <xf numFmtId="174" fontId="12" fillId="0" borderId="34" xfId="22" applyNumberFormat="1" applyFont="1" applyBorder="1" applyAlignment="1">
      <alignment horizontal="center" vertical="center" wrapText="1"/>
    </xf>
    <xf numFmtId="174" fontId="12" fillId="0" borderId="9" xfId="22" applyNumberFormat="1" applyFont="1" applyBorder="1" applyAlignment="1">
      <alignment horizontal="center" vertical="center" wrapText="1"/>
    </xf>
    <xf numFmtId="174" fontId="12" fillId="0" borderId="33" xfId="22" applyNumberFormat="1" applyFont="1" applyBorder="1" applyAlignment="1">
      <alignment horizontal="center" vertical="center" wrapText="1"/>
    </xf>
    <xf numFmtId="174" fontId="11" fillId="29" borderId="4" xfId="0" applyNumberFormat="1" applyFont="1" applyFill="1" applyBorder="1" applyAlignment="1">
      <alignment horizontal="center" vertical="center" wrapText="1"/>
    </xf>
    <xf numFmtId="174" fontId="11" fillId="19" borderId="4" xfId="29" applyNumberFormat="1" applyFont="1" applyFill="1" applyBorder="1" applyAlignment="1" applyProtection="1">
      <alignment horizontal="center" vertical="center" wrapText="1"/>
      <protection locked="0"/>
    </xf>
    <xf numFmtId="187" fontId="11" fillId="0" borderId="4" xfId="25" applyNumberFormat="1" applyFont="1" applyBorder="1" applyAlignment="1">
      <alignment horizontal="center" vertical="center" wrapText="1"/>
    </xf>
    <xf numFmtId="174" fontId="12" fillId="30" borderId="40" xfId="0" applyNumberFormat="1" applyFont="1" applyFill="1" applyBorder="1" applyAlignment="1">
      <alignment horizontal="center" vertical="center" wrapText="1"/>
    </xf>
    <xf numFmtId="174" fontId="12" fillId="0" borderId="25" xfId="28" applyNumberFormat="1" applyFont="1" applyFill="1" applyBorder="1" applyAlignment="1" applyProtection="1">
      <alignment horizontal="center" vertical="center" wrapText="1"/>
    </xf>
    <xf numFmtId="174" fontId="12" fillId="0" borderId="4" xfId="28" applyNumberFormat="1" applyFont="1" applyFill="1" applyBorder="1" applyAlignment="1" applyProtection="1">
      <alignment horizontal="center" vertical="center" wrapText="1"/>
    </xf>
    <xf numFmtId="174" fontId="12" fillId="0" borderId="34" xfId="28" applyNumberFormat="1" applyFont="1" applyFill="1" applyBorder="1" applyAlignment="1" applyProtection="1">
      <alignment horizontal="center" vertical="center" wrapText="1"/>
    </xf>
    <xf numFmtId="174" fontId="12" fillId="0" borderId="14" xfId="28" applyNumberFormat="1" applyFont="1" applyFill="1" applyBorder="1" applyAlignment="1" applyProtection="1">
      <alignment horizontal="center" vertical="center" wrapText="1"/>
    </xf>
    <xf numFmtId="174" fontId="12" fillId="9" borderId="40" xfId="28"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4" fontId="12" fillId="9" borderId="33" xfId="28" applyNumberFormat="1" applyFont="1" applyFill="1" applyBorder="1" applyAlignment="1" applyProtection="1">
      <alignment horizontal="center" vertical="center" wrapText="1"/>
    </xf>
    <xf numFmtId="174" fontId="12" fillId="9" borderId="39" xfId="28" applyNumberFormat="1" applyFont="1" applyFill="1" applyBorder="1" applyAlignment="1" applyProtection="1">
      <alignment horizontal="center" vertical="center" wrapText="1"/>
    </xf>
    <xf numFmtId="2" fontId="12" fillId="9" borderId="19" xfId="22" applyNumberFormat="1" applyFont="1" applyFill="1" applyBorder="1" applyAlignment="1">
      <alignment horizontal="left" vertical="center" wrapText="1"/>
    </xf>
    <xf numFmtId="2" fontId="12" fillId="20" borderId="19" xfId="22" applyNumberFormat="1" applyFont="1" applyFill="1" applyBorder="1" applyAlignment="1">
      <alignment horizontal="center" vertical="center" wrapText="1"/>
    </xf>
    <xf numFmtId="0" fontId="11" fillId="0" borderId="0" xfId="0" applyFont="1" applyAlignment="1">
      <alignment vertical="center"/>
    </xf>
    <xf numFmtId="0" fontId="34" fillId="0" borderId="0" xfId="0" applyFont="1" applyAlignment="1">
      <alignment vertical="center"/>
    </xf>
    <xf numFmtId="0" fontId="55" fillId="0" borderId="0" xfId="0" applyFont="1" applyAlignment="1">
      <alignment vertical="center"/>
    </xf>
    <xf numFmtId="168" fontId="55" fillId="0" borderId="0" xfId="11" applyFont="1" applyFill="1" applyAlignment="1">
      <alignment vertical="center"/>
    </xf>
    <xf numFmtId="0" fontId="28" fillId="0" borderId="0" xfId="0" applyFont="1" applyAlignment="1">
      <alignment vertical="center"/>
    </xf>
    <xf numFmtId="0" fontId="56" fillId="0" borderId="0" xfId="22" applyFont="1" applyAlignment="1">
      <alignment vertical="center" wrapText="1"/>
    </xf>
    <xf numFmtId="0" fontId="43" fillId="19" borderId="1" xfId="0" applyFont="1" applyFill="1" applyBorder="1" applyAlignment="1">
      <alignment horizontal="left" vertical="center" wrapText="1"/>
    </xf>
    <xf numFmtId="3" fontId="11" fillId="0" borderId="82" xfId="25" applyNumberFormat="1" applyFont="1" applyBorder="1" applyAlignment="1">
      <alignment vertical="top" wrapText="1"/>
    </xf>
    <xf numFmtId="179" fontId="11" fillId="0" borderId="85" xfId="25" applyNumberFormat="1" applyFont="1" applyBorder="1" applyAlignment="1">
      <alignment vertical="top" wrapText="1"/>
    </xf>
    <xf numFmtId="0" fontId="11" fillId="0" borderId="84" xfId="25" applyFont="1" applyBorder="1" applyAlignment="1">
      <alignment vertical="top" wrapText="1"/>
    </xf>
    <xf numFmtId="0" fontId="11" fillId="0" borderId="1" xfId="0" applyFont="1" applyBorder="1" applyAlignment="1">
      <alignment horizontal="center" vertical="center"/>
    </xf>
    <xf numFmtId="0" fontId="11" fillId="0" borderId="0" xfId="25" applyFont="1" applyAlignment="1">
      <alignment vertical="top" wrapText="1"/>
    </xf>
    <xf numFmtId="9" fontId="11" fillId="0" borderId="2" xfId="28" applyFont="1" applyFill="1" applyBorder="1" applyAlignment="1">
      <alignment horizontal="center" vertical="center"/>
    </xf>
    <xf numFmtId="0" fontId="11" fillId="0" borderId="89" xfId="25" applyFont="1" applyBorder="1" applyAlignment="1">
      <alignment vertical="top" wrapText="1"/>
    </xf>
    <xf numFmtId="182" fontId="11" fillId="0" borderId="83" xfId="25" applyNumberFormat="1" applyFont="1" applyBorder="1" applyAlignment="1">
      <alignment vertical="top" wrapText="1"/>
    </xf>
    <xf numFmtId="0" fontId="11" fillId="0" borderId="87" xfId="25" applyFont="1" applyBorder="1" applyAlignment="1">
      <alignment vertical="top" wrapText="1"/>
    </xf>
    <xf numFmtId="0" fontId="39" fillId="0" borderId="10" xfId="0" applyFont="1" applyBorder="1" applyAlignment="1">
      <alignment horizontal="center" vertical="center"/>
    </xf>
    <xf numFmtId="0" fontId="11" fillId="0" borderId="10" xfId="0" applyFont="1" applyBorder="1" applyAlignment="1">
      <alignment horizontal="center" vertical="center"/>
    </xf>
    <xf numFmtId="9" fontId="11" fillId="0" borderId="51" xfId="28" applyFont="1" applyFill="1" applyBorder="1" applyAlignment="1">
      <alignment horizontal="center" vertical="center"/>
    </xf>
    <xf numFmtId="0" fontId="11" fillId="0" borderId="1" xfId="25" quotePrefix="1" applyFont="1" applyBorder="1" applyAlignment="1">
      <alignment vertical="top" wrapText="1"/>
    </xf>
    <xf numFmtId="9" fontId="11" fillId="0" borderId="1" xfId="25" applyNumberFormat="1" applyFont="1" applyBorder="1" applyAlignment="1">
      <alignment vertical="top" wrapText="1"/>
    </xf>
    <xf numFmtId="9" fontId="39" fillId="0" borderId="1" xfId="0" applyNumberFormat="1" applyFont="1" applyBorder="1" applyAlignment="1">
      <alignment horizontal="center" vertical="center"/>
    </xf>
    <xf numFmtId="0" fontId="43" fillId="0" borderId="1" xfId="0" applyFont="1" applyBorder="1"/>
    <xf numFmtId="0" fontId="43" fillId="0" borderId="4" xfId="0" applyFont="1" applyBorder="1"/>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173" fontId="27" fillId="0" borderId="56" xfId="10" applyNumberFormat="1" applyFont="1" applyBorder="1" applyAlignment="1">
      <alignment vertical="center"/>
    </xf>
    <xf numFmtId="173" fontId="27" fillId="0" borderId="44" xfId="10" applyNumberFormat="1" applyFont="1" applyBorder="1" applyAlignment="1">
      <alignment vertical="center"/>
    </xf>
    <xf numFmtId="9" fontId="27" fillId="0" borderId="45" xfId="28" applyFont="1" applyBorder="1" applyAlignment="1">
      <alignment vertical="center"/>
    </xf>
    <xf numFmtId="173" fontId="27" fillId="0" borderId="31" xfId="10" applyNumberFormat="1" applyFont="1" applyBorder="1" applyAlignment="1">
      <alignment vertical="center"/>
    </xf>
    <xf numFmtId="173" fontId="27" fillId="0" borderId="5" xfId="10" applyNumberFormat="1" applyFont="1" applyBorder="1" applyAlignment="1">
      <alignment vertical="center"/>
    </xf>
    <xf numFmtId="173" fontId="27" fillId="0" borderId="9" xfId="10" applyNumberFormat="1" applyFont="1" applyBorder="1" applyAlignment="1">
      <alignment vertical="center"/>
    </xf>
    <xf numFmtId="173" fontId="27" fillId="0" borderId="57" xfId="10" applyNumberFormat="1" applyFont="1" applyBorder="1" applyAlignment="1">
      <alignment vertical="center"/>
    </xf>
    <xf numFmtId="173" fontId="27" fillId="0" borderId="40" xfId="10" applyNumberFormat="1" applyFont="1" applyBorder="1" applyAlignment="1">
      <alignment vertical="center"/>
    </xf>
    <xf numFmtId="0" fontId="12" fillId="20" borderId="100" xfId="22" applyFont="1" applyFill="1" applyBorder="1" applyAlignment="1">
      <alignment horizontal="center" vertical="center" wrapText="1"/>
    </xf>
    <xf numFmtId="0" fontId="12" fillId="0" borderId="44" xfId="22" applyFont="1" applyBorder="1" applyAlignment="1">
      <alignment horizontal="left" vertical="center" wrapText="1"/>
    </xf>
    <xf numFmtId="9" fontId="11" fillId="29" borderId="44" xfId="0" applyNumberFormat="1" applyFont="1" applyFill="1" applyBorder="1" applyAlignment="1">
      <alignment horizontal="center" vertical="center" wrapText="1"/>
    </xf>
    <xf numFmtId="9" fontId="39" fillId="19" borderId="44" xfId="29" applyFont="1" applyFill="1" applyBorder="1" applyAlignment="1" applyProtection="1">
      <alignment horizontal="center" vertical="center" wrapText="1"/>
      <protection locked="0"/>
    </xf>
    <xf numFmtId="9" fontId="11" fillId="19" borderId="44" xfId="29" applyFont="1" applyFill="1" applyBorder="1" applyAlignment="1" applyProtection="1">
      <alignment horizontal="center" vertical="center" wrapText="1"/>
      <protection locked="0"/>
    </xf>
    <xf numFmtId="9" fontId="12" fillId="0" borderId="45" xfId="22" applyNumberFormat="1" applyFont="1" applyBorder="1" applyAlignment="1">
      <alignment horizontal="center" vertical="center" wrapText="1"/>
    </xf>
    <xf numFmtId="173" fontId="12" fillId="0" borderId="68" xfId="10" applyNumberFormat="1" applyFont="1" applyFill="1" applyBorder="1" applyAlignment="1" applyProtection="1">
      <alignment horizontal="center" vertical="center" wrapText="1"/>
    </xf>
    <xf numFmtId="9" fontId="12" fillId="0" borderId="66" xfId="22" applyNumberFormat="1" applyFont="1" applyBorder="1" applyAlignment="1">
      <alignment horizontal="center" vertical="center" wrapText="1"/>
    </xf>
    <xf numFmtId="0" fontId="12" fillId="0" borderId="57" xfId="22" applyFont="1" applyBorder="1" applyAlignment="1">
      <alignment horizontal="left" vertical="center" wrapText="1"/>
    </xf>
    <xf numFmtId="2" fontId="12" fillId="0" borderId="44" xfId="22" applyNumberFormat="1" applyFont="1" applyBorder="1" applyAlignment="1">
      <alignment horizontal="left" vertical="center" wrapText="1"/>
    </xf>
    <xf numFmtId="2" fontId="12" fillId="9" borderId="10" xfId="22" applyNumberFormat="1" applyFont="1" applyFill="1" applyBorder="1" applyAlignment="1">
      <alignment horizontal="left" vertical="center" wrapText="1"/>
    </xf>
    <xf numFmtId="1" fontId="12" fillId="9" borderId="23" xfId="28" applyNumberFormat="1" applyFont="1" applyFill="1" applyBorder="1" applyAlignment="1" applyProtection="1">
      <alignment horizontal="center" vertical="center" wrapText="1"/>
    </xf>
    <xf numFmtId="9" fontId="11" fillId="0" borderId="57" xfId="28" applyFont="1" applyBorder="1" applyAlignment="1">
      <alignment horizontal="center" vertical="center" wrapText="1"/>
    </xf>
    <xf numFmtId="9" fontId="11" fillId="0" borderId="44" xfId="28" applyFont="1" applyFill="1" applyBorder="1" applyAlignment="1" applyProtection="1">
      <alignment horizontal="center" vertical="center" wrapText="1"/>
      <protection locked="0"/>
    </xf>
    <xf numFmtId="9" fontId="12" fillId="0" borderId="45" xfId="28" applyFont="1" applyBorder="1" applyAlignment="1">
      <alignment horizontal="center" vertical="center" wrapText="1"/>
    </xf>
    <xf numFmtId="9" fontId="12" fillId="9" borderId="40" xfId="28" applyFont="1" applyFill="1" applyBorder="1" applyAlignment="1" applyProtection="1">
      <alignment horizontal="center" vertical="center" wrapText="1"/>
    </xf>
    <xf numFmtId="9" fontId="11" fillId="9" borderId="40" xfId="28" applyFont="1" applyFill="1" applyBorder="1" applyAlignment="1" applyProtection="1">
      <alignment horizontal="center" vertical="center" wrapText="1"/>
    </xf>
    <xf numFmtId="1" fontId="12" fillId="0" borderId="57" xfId="28" applyNumberFormat="1" applyFont="1" applyFill="1" applyBorder="1" applyAlignment="1" applyProtection="1">
      <alignment horizontal="center" vertical="center" wrapText="1"/>
    </xf>
    <xf numFmtId="1" fontId="12" fillId="0" borderId="44" xfId="28" applyNumberFormat="1" applyFont="1" applyFill="1" applyBorder="1" applyAlignment="1" applyProtection="1">
      <alignment horizontal="center" vertical="center" wrapText="1"/>
    </xf>
    <xf numFmtId="1" fontId="12" fillId="0" borderId="45" xfId="28" applyNumberFormat="1" applyFont="1" applyFill="1" applyBorder="1" applyAlignment="1" applyProtection="1">
      <alignment horizontal="center" vertical="center" wrapText="1"/>
    </xf>
    <xf numFmtId="1" fontId="12" fillId="0" borderId="14" xfId="28" applyNumberFormat="1" applyFont="1" applyFill="1" applyBorder="1" applyAlignment="1" applyProtection="1">
      <alignment horizontal="center" vertical="center" wrapText="1"/>
    </xf>
    <xf numFmtId="1" fontId="12" fillId="9" borderId="10" xfId="28" applyNumberFormat="1" applyFont="1" applyFill="1" applyBorder="1" applyAlignment="1" applyProtection="1">
      <alignment horizontal="center" vertical="center" wrapText="1"/>
    </xf>
    <xf numFmtId="1" fontId="12" fillId="9" borderId="100" xfId="28" applyNumberFormat="1" applyFont="1" applyFill="1" applyBorder="1" applyAlignment="1" applyProtection="1">
      <alignment horizontal="center" vertical="center" wrapText="1"/>
    </xf>
    <xf numFmtId="1" fontId="12" fillId="9" borderId="52" xfId="28" applyNumberFormat="1" applyFont="1" applyFill="1" applyBorder="1" applyAlignment="1" applyProtection="1">
      <alignment horizontal="center" vertical="center" wrapText="1"/>
    </xf>
    <xf numFmtId="0" fontId="16" fillId="2" borderId="0" xfId="22" applyFont="1" applyFill="1" applyAlignment="1">
      <alignment horizontal="left" vertical="center"/>
    </xf>
    <xf numFmtId="0" fontId="0" fillId="0" borderId="0" xfId="0" applyAlignment="1">
      <alignment horizontal="left" vertical="center" wrapText="1"/>
    </xf>
    <xf numFmtId="1" fontId="39" fillId="34" borderId="1" xfId="0" applyNumberFormat="1" applyFont="1" applyFill="1" applyBorder="1" applyAlignment="1">
      <alignment horizontal="center" vertical="center"/>
    </xf>
    <xf numFmtId="1" fontId="11" fillId="34" borderId="1" xfId="25" applyNumberFormat="1" applyFont="1" applyFill="1" applyBorder="1" applyAlignment="1">
      <alignment horizontal="center" vertical="center" wrapText="1"/>
    </xf>
    <xf numFmtId="4" fontId="11" fillId="34" borderId="1" xfId="25" applyNumberFormat="1" applyFont="1" applyFill="1" applyBorder="1" applyAlignment="1">
      <alignment horizontal="center" vertical="center" wrapText="1"/>
    </xf>
    <xf numFmtId="0" fontId="39" fillId="34" borderId="1" xfId="0" applyFont="1" applyFill="1" applyBorder="1" applyAlignment="1">
      <alignment horizontal="center" vertical="center"/>
    </xf>
    <xf numFmtId="187" fontId="39" fillId="34" borderId="1" xfId="0" applyNumberFormat="1" applyFont="1" applyFill="1" applyBorder="1" applyAlignment="1">
      <alignment horizontal="center" vertical="center"/>
    </xf>
    <xf numFmtId="0" fontId="43" fillId="34" borderId="1" xfId="0" applyFont="1" applyFill="1" applyBorder="1" applyAlignment="1">
      <alignment horizontal="center" vertical="center"/>
    </xf>
    <xf numFmtId="0" fontId="43" fillId="34" borderId="10" xfId="0" applyFont="1" applyFill="1" applyBorder="1" applyAlignment="1">
      <alignment horizontal="center" vertical="center"/>
    </xf>
    <xf numFmtId="0" fontId="39" fillId="34" borderId="10" xfId="0" applyFont="1" applyFill="1" applyBorder="1" applyAlignment="1">
      <alignment horizontal="center" vertical="center"/>
    </xf>
    <xf numFmtId="9" fontId="43" fillId="34" borderId="1" xfId="0" applyNumberFormat="1" applyFont="1" applyFill="1" applyBorder="1" applyAlignment="1">
      <alignment horizontal="center" vertical="center"/>
    </xf>
    <xf numFmtId="9" fontId="39" fillId="34" borderId="1" xfId="0" applyNumberFormat="1" applyFont="1" applyFill="1" applyBorder="1" applyAlignment="1">
      <alignment horizontal="center" vertical="center"/>
    </xf>
    <xf numFmtId="0" fontId="17" fillId="33" borderId="1" xfId="0" applyFont="1" applyFill="1" applyBorder="1" applyAlignment="1">
      <alignment vertical="center"/>
    </xf>
    <xf numFmtId="0" fontId="39" fillId="35" borderId="1" xfId="0" applyFont="1" applyFill="1" applyBorder="1" applyAlignment="1">
      <alignment horizontal="center" vertical="center"/>
    </xf>
    <xf numFmtId="9" fontId="39" fillId="35" borderId="82" xfId="28" applyFont="1" applyFill="1" applyBorder="1" applyAlignment="1">
      <alignment horizontal="left" vertical="center" wrapText="1"/>
    </xf>
    <xf numFmtId="0" fontId="39" fillId="35" borderId="82" xfId="28" applyNumberFormat="1" applyFont="1" applyFill="1" applyBorder="1" applyAlignment="1">
      <alignment horizontal="left" vertical="center" wrapText="1"/>
    </xf>
    <xf numFmtId="168" fontId="40" fillId="0" borderId="0" xfId="11" applyFont="1" applyFill="1" applyAlignment="1">
      <alignment vertical="center"/>
    </xf>
    <xf numFmtId="0" fontId="40" fillId="0" borderId="0" xfId="0" applyFont="1" applyAlignment="1">
      <alignment vertical="center"/>
    </xf>
    <xf numFmtId="174" fontId="39" fillId="0" borderId="0" xfId="0" applyNumberFormat="1" applyFont="1" applyAlignment="1">
      <alignment vertical="center"/>
    </xf>
    <xf numFmtId="0" fontId="39" fillId="35" borderId="82" xfId="28" applyNumberFormat="1" applyFont="1" applyFill="1" applyBorder="1" applyAlignment="1">
      <alignment vertical="center" wrapText="1"/>
    </xf>
    <xf numFmtId="0" fontId="43" fillId="35" borderId="82" xfId="0" applyFont="1" applyFill="1" applyBorder="1" applyAlignment="1">
      <alignment horizontal="left" vertical="center" wrapText="1"/>
    </xf>
    <xf numFmtId="0" fontId="13" fillId="35" borderId="1" xfId="0" applyFont="1" applyFill="1" applyBorder="1" applyAlignment="1">
      <alignment horizontal="center" vertical="center"/>
    </xf>
    <xf numFmtId="4" fontId="12" fillId="35" borderId="38" xfId="28" applyNumberFormat="1" applyFont="1" applyFill="1" applyBorder="1" applyAlignment="1" applyProtection="1">
      <alignment horizontal="center" vertical="center" wrapText="1"/>
    </xf>
    <xf numFmtId="4" fontId="12" fillId="35" borderId="33" xfId="28" applyNumberFormat="1" applyFont="1" applyFill="1" applyBorder="1" applyAlignment="1" applyProtection="1">
      <alignment horizontal="center" vertical="center" wrapText="1"/>
    </xf>
    <xf numFmtId="9" fontId="11" fillId="35" borderId="1" xfId="28" applyFont="1" applyFill="1" applyBorder="1" applyAlignment="1" applyProtection="1">
      <alignment horizontal="center" vertical="center" wrapText="1"/>
      <protection locked="0"/>
    </xf>
    <xf numFmtId="4" fontId="11" fillId="35" borderId="1" xfId="25" applyNumberFormat="1" applyFont="1" applyFill="1" applyBorder="1" applyAlignment="1">
      <alignment horizontal="center" vertical="center" wrapText="1"/>
    </xf>
    <xf numFmtId="9" fontId="43" fillId="35" borderId="85" xfId="0" applyNumberFormat="1" applyFont="1" applyFill="1" applyBorder="1" applyAlignment="1">
      <alignment vertical="center" wrapText="1"/>
    </xf>
    <xf numFmtId="9" fontId="43" fillId="35" borderId="82" xfId="28" applyFont="1" applyFill="1" applyBorder="1" applyAlignment="1">
      <alignment horizontal="left" vertical="center" wrapText="1"/>
    </xf>
    <xf numFmtId="9" fontId="39" fillId="35" borderId="1" xfId="0" applyNumberFormat="1" applyFont="1" applyFill="1" applyBorder="1" applyAlignment="1">
      <alignment horizontal="center" vertical="center"/>
    </xf>
    <xf numFmtId="174" fontId="12" fillId="0" borderId="45" xfId="22" applyNumberFormat="1" applyFont="1" applyBorder="1" applyAlignment="1">
      <alignment horizontal="center" vertical="center" wrapText="1"/>
    </xf>
    <xf numFmtId="174" fontId="11" fillId="0" borderId="44" xfId="28" applyNumberFormat="1" applyFont="1" applyBorder="1" applyAlignment="1">
      <alignment horizontal="center" vertical="center" wrapText="1"/>
    </xf>
    <xf numFmtId="174" fontId="11" fillId="0" borderId="44" xfId="28" applyNumberFormat="1" applyFont="1" applyFill="1" applyBorder="1" applyAlignment="1" applyProtection="1">
      <alignment horizontal="center" vertical="center" wrapText="1"/>
      <protection locked="0"/>
    </xf>
    <xf numFmtId="174" fontId="11" fillId="9" borderId="40" xfId="28" applyNumberFormat="1" applyFont="1" applyFill="1" applyBorder="1" applyAlignment="1" applyProtection="1">
      <alignment horizontal="center" vertical="center" wrapText="1"/>
    </xf>
    <xf numFmtId="174" fontId="11" fillId="29" borderId="1" xfId="0" applyNumberFormat="1" applyFont="1" applyFill="1" applyBorder="1" applyAlignment="1">
      <alignment horizontal="center" vertical="center" wrapText="1"/>
    </xf>
    <xf numFmtId="174" fontId="11" fillId="19" borderId="1" xfId="29" applyNumberFormat="1" applyFont="1" applyFill="1" applyBorder="1" applyAlignment="1" applyProtection="1">
      <alignment horizontal="center" vertical="center" wrapText="1"/>
      <protection locked="0"/>
    </xf>
    <xf numFmtId="174" fontId="11" fillId="29" borderId="44" xfId="0" applyNumberFormat="1" applyFont="1" applyFill="1" applyBorder="1" applyAlignment="1">
      <alignment horizontal="center" vertical="center" wrapText="1"/>
    </xf>
    <xf numFmtId="174" fontId="11" fillId="19" borderId="44" xfId="29" applyNumberFormat="1" applyFont="1" applyFill="1" applyBorder="1" applyAlignment="1" applyProtection="1">
      <alignment horizontal="center" vertical="center" wrapText="1"/>
      <protection locked="0"/>
    </xf>
    <xf numFmtId="174" fontId="11" fillId="30" borderId="19" xfId="0" applyNumberFormat="1" applyFont="1" applyFill="1" applyBorder="1" applyAlignment="1">
      <alignment horizontal="center" vertical="center" wrapText="1"/>
    </xf>
    <xf numFmtId="174" fontId="11" fillId="9" borderId="19" xfId="28" applyNumberFormat="1" applyFont="1" applyFill="1" applyBorder="1" applyAlignment="1" applyProtection="1">
      <alignment horizontal="center" vertical="center" wrapText="1"/>
      <protection locked="0"/>
    </xf>
    <xf numFmtId="9" fontId="0" fillId="0" borderId="0" xfId="28" applyFont="1" applyAlignment="1">
      <alignment vertical="center"/>
    </xf>
    <xf numFmtId="10" fontId="0" fillId="0" borderId="0" xfId="28" applyNumberFormat="1" applyFont="1" applyAlignment="1">
      <alignment vertical="center"/>
    </xf>
    <xf numFmtId="9" fontId="11" fillId="23" borderId="19" xfId="28" applyFont="1" applyFill="1" applyBorder="1" applyAlignment="1" applyProtection="1">
      <alignment horizontal="center" vertical="center" wrapText="1"/>
      <protection locked="0"/>
    </xf>
    <xf numFmtId="173" fontId="27" fillId="0" borderId="44" xfId="10" applyNumberFormat="1" applyFont="1" applyFill="1" applyBorder="1" applyAlignment="1">
      <alignment vertical="center"/>
    </xf>
    <xf numFmtId="173" fontId="27" fillId="0" borderId="10" xfId="10" applyNumberFormat="1" applyFont="1" applyFill="1" applyBorder="1" applyAlignment="1">
      <alignment vertical="center"/>
    </xf>
    <xf numFmtId="173" fontId="27" fillId="0" borderId="45" xfId="10" applyNumberFormat="1" applyFont="1" applyFill="1" applyBorder="1" applyAlignment="1">
      <alignment vertical="center"/>
    </xf>
    <xf numFmtId="9" fontId="27" fillId="0" borderId="9" xfId="28" applyFont="1" applyFill="1" applyBorder="1" applyAlignment="1">
      <alignment vertical="center"/>
    </xf>
    <xf numFmtId="173" fontId="27" fillId="0" borderId="66" xfId="10" applyNumberFormat="1" applyFont="1" applyFill="1" applyBorder="1" applyAlignment="1">
      <alignment vertical="center"/>
    </xf>
    <xf numFmtId="9" fontId="27" fillId="0" borderId="2" xfId="28" applyFont="1" applyFill="1" applyBorder="1" applyAlignment="1">
      <alignment vertical="center"/>
    </xf>
    <xf numFmtId="1" fontId="39" fillId="35" borderId="51" xfId="30" applyNumberFormat="1" applyFont="1" applyFill="1" applyBorder="1" applyAlignment="1" applyProtection="1">
      <alignment horizontal="center" vertical="center" wrapText="1"/>
    </xf>
    <xf numFmtId="174" fontId="11" fillId="30" borderId="1" xfId="0" applyNumberFormat="1" applyFont="1" applyFill="1" applyBorder="1" applyAlignment="1">
      <alignment horizontal="center" vertical="center" wrapText="1"/>
    </xf>
    <xf numFmtId="0" fontId="43" fillId="35" borderId="82" xfId="0" applyFont="1" applyFill="1" applyBorder="1" applyAlignment="1">
      <alignment vertical="center" wrapText="1"/>
    </xf>
    <xf numFmtId="0" fontId="43" fillId="35" borderId="82" xfId="28" applyNumberFormat="1" applyFont="1" applyFill="1" applyBorder="1" applyAlignment="1">
      <alignment horizontal="left" vertical="center" wrapText="1"/>
    </xf>
    <xf numFmtId="9" fontId="39" fillId="35" borderId="82" xfId="28" applyFont="1" applyFill="1" applyBorder="1" applyAlignment="1">
      <alignment vertical="center" wrapText="1"/>
    </xf>
    <xf numFmtId="10" fontId="11" fillId="0" borderId="2" xfId="28" applyNumberFormat="1" applyFont="1" applyFill="1" applyBorder="1" applyAlignment="1">
      <alignment horizontal="center" vertical="center"/>
    </xf>
    <xf numFmtId="9" fontId="39" fillId="0" borderId="0" xfId="0" applyNumberFormat="1" applyFont="1" applyAlignment="1">
      <alignment vertical="center"/>
    </xf>
    <xf numFmtId="176" fontId="0" fillId="0" borderId="0" xfId="14" applyNumberFormat="1" applyFont="1" applyAlignment="1">
      <alignment horizontal="left" vertical="center" wrapText="1"/>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7" xfId="0" applyFont="1" applyBorder="1" applyAlignment="1">
      <alignment horizontal="lef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38" fillId="0" borderId="49" xfId="0" applyFont="1" applyBorder="1" applyAlignment="1">
      <alignment horizontal="center" vertical="center" wrapText="1"/>
    </xf>
    <xf numFmtId="0" fontId="38" fillId="0" borderId="39" xfId="0" applyFont="1" applyBorder="1" applyAlignment="1">
      <alignment horizontal="center" vertical="center" wrapText="1"/>
    </xf>
    <xf numFmtId="0" fontId="0" fillId="0" borderId="49" xfId="0" applyBorder="1" applyAlignment="1">
      <alignment horizontal="center" vertical="center"/>
    </xf>
    <xf numFmtId="0" fontId="0" fillId="0" borderId="39" xfId="0" applyBorder="1" applyAlignment="1">
      <alignment horizontal="center" vertical="center"/>
    </xf>
    <xf numFmtId="0" fontId="38" fillId="0" borderId="46" xfId="0" applyFont="1" applyBorder="1" applyAlignment="1">
      <alignment horizontal="center" vertical="center" wrapText="1"/>
    </xf>
    <xf numFmtId="0" fontId="38" fillId="0" borderId="48" xfId="0" applyFont="1" applyBorder="1" applyAlignment="1">
      <alignment horizontal="center"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38" fillId="0" borderId="62" xfId="0" applyFont="1" applyBorder="1" applyAlignment="1">
      <alignment horizontal="center" vertical="center" wrapText="1"/>
    </xf>
    <xf numFmtId="0" fontId="38" fillId="0" borderId="26" xfId="0" applyFont="1" applyBorder="1" applyAlignment="1">
      <alignment horizontal="center" vertical="center" wrapText="1"/>
    </xf>
    <xf numFmtId="0" fontId="0" fillId="31" borderId="62" xfId="0" applyFill="1" applyBorder="1" applyAlignment="1">
      <alignment horizontal="center" vertical="center"/>
    </xf>
    <xf numFmtId="0" fontId="0" fillId="31" borderId="26" xfId="0" applyFill="1" applyBorder="1" applyAlignment="1">
      <alignment horizontal="center" vertical="center"/>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56"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5" fillId="0" borderId="40" xfId="0" applyFont="1" applyBorder="1" applyAlignment="1">
      <alignment horizontal="left" vertical="center" wrapText="1"/>
    </xf>
    <xf numFmtId="0" fontId="45" fillId="0" borderId="19" xfId="0" applyFont="1" applyBorder="1" applyAlignment="1">
      <alignment horizontal="left" vertical="center" wrapText="1"/>
    </xf>
    <xf numFmtId="0" fontId="45" fillId="0" borderId="33" xfId="0" applyFont="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6" fillId="0" borderId="63" xfId="0" applyFont="1" applyBorder="1" applyAlignment="1">
      <alignment horizontal="center" vertical="center"/>
    </xf>
    <xf numFmtId="0" fontId="46" fillId="0" borderId="64" xfId="0" applyFont="1" applyBorder="1" applyAlignment="1">
      <alignment horizontal="center" vertical="center"/>
    </xf>
    <xf numFmtId="0" fontId="46" fillId="0" borderId="65" xfId="0" applyFont="1" applyBorder="1" applyAlignment="1">
      <alignment horizontal="center" vertical="center"/>
    </xf>
    <xf numFmtId="0" fontId="12" fillId="20" borderId="59"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60"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66" xfId="22" applyFont="1" applyFill="1" applyBorder="1" applyAlignment="1">
      <alignment horizontal="center" vertical="center" wrapText="1"/>
    </xf>
    <xf numFmtId="9" fontId="12" fillId="0" borderId="59" xfId="22" applyNumberFormat="1" applyFont="1" applyBorder="1" applyAlignment="1">
      <alignment horizontal="center" vertical="center" wrapText="1"/>
    </xf>
    <xf numFmtId="9" fontId="12" fillId="0" borderId="60" xfId="22" applyNumberFormat="1" applyFont="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9"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60"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9" xfId="22" applyFont="1" applyFill="1" applyBorder="1" applyAlignment="1">
      <alignment horizontal="left" vertical="center" wrapText="1"/>
    </xf>
    <xf numFmtId="0" fontId="12" fillId="20" borderId="60" xfId="22" applyFont="1" applyFill="1" applyBorder="1" applyAlignment="1">
      <alignment horizontal="left" vertical="center" wrapText="1"/>
    </xf>
    <xf numFmtId="0" fontId="11" fillId="0" borderId="59" xfId="22" applyFont="1" applyBorder="1" applyAlignment="1">
      <alignment horizontal="center" vertical="center" wrapText="1"/>
    </xf>
    <xf numFmtId="0" fontId="11" fillId="0" borderId="61" xfId="22" applyFont="1" applyBorder="1" applyAlignment="1">
      <alignment horizontal="center" vertical="center" wrapText="1"/>
    </xf>
    <xf numFmtId="0" fontId="11" fillId="0" borderId="60"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1" fontId="12" fillId="0" borderId="59" xfId="28" applyNumberFormat="1" applyFont="1" applyFill="1" applyBorder="1" applyAlignment="1" applyProtection="1">
      <alignment horizontal="center" vertical="center" wrapText="1"/>
    </xf>
    <xf numFmtId="1" fontId="12" fillId="0" borderId="60" xfId="28" applyNumberFormat="1" applyFont="1" applyFill="1" applyBorder="1" applyAlignment="1" applyProtection="1">
      <alignment horizontal="center" vertical="center" wrapText="1"/>
    </xf>
    <xf numFmtId="0" fontId="15" fillId="0" borderId="59" xfId="22" applyFont="1" applyBorder="1" applyAlignment="1">
      <alignment horizontal="center" vertical="center" wrapText="1"/>
    </xf>
    <xf numFmtId="0" fontId="15" fillId="0" borderId="61" xfId="22" applyFont="1" applyBorder="1" applyAlignment="1">
      <alignment horizontal="center" vertical="center" wrapText="1"/>
    </xf>
    <xf numFmtId="0" fontId="15" fillId="0" borderId="60" xfId="22" applyFont="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3" fontId="12" fillId="0" borderId="51"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1" fillId="20" borderId="9"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0" borderId="8" xfId="22" applyFont="1" applyBorder="1" applyAlignment="1">
      <alignment horizontal="center" vertical="center" wrapText="1"/>
    </xf>
    <xf numFmtId="9" fontId="12" fillId="0" borderId="1" xfId="22" applyNumberFormat="1" applyFont="1" applyBorder="1" applyAlignment="1">
      <alignment horizontal="center" vertical="center" wrapText="1"/>
    </xf>
    <xf numFmtId="9" fontId="11" fillId="35" borderId="68" xfId="30" applyFont="1" applyFill="1" applyBorder="1" applyAlignment="1" applyProtection="1">
      <alignment horizontal="left" vertical="center" wrapText="1"/>
    </xf>
    <xf numFmtId="9" fontId="11" fillId="35" borderId="0" xfId="30" applyFont="1" applyFill="1" applyBorder="1" applyAlignment="1" applyProtection="1">
      <alignment horizontal="left" vertical="center" wrapText="1"/>
    </xf>
    <xf numFmtId="9" fontId="11" fillId="35" borderId="24" xfId="30" applyFont="1" applyFill="1" applyBorder="1" applyAlignment="1" applyProtection="1">
      <alignment horizontal="left" vertical="center" wrapText="1"/>
    </xf>
    <xf numFmtId="9" fontId="39" fillId="35" borderId="51" xfId="30" applyFont="1" applyFill="1" applyBorder="1" applyAlignment="1" applyProtection="1">
      <alignment horizontal="left" vertical="center" wrapText="1"/>
    </xf>
    <xf numFmtId="9" fontId="39" fillId="35" borderId="22" xfId="30" applyFont="1" applyFill="1" applyBorder="1" applyAlignment="1" applyProtection="1">
      <alignment horizontal="left" vertical="center" wrapText="1"/>
    </xf>
    <xf numFmtId="9" fontId="39" fillId="35" borderId="52" xfId="30" applyFont="1" applyFill="1" applyBorder="1" applyAlignment="1" applyProtection="1">
      <alignment horizontal="left" vertical="center" wrapText="1"/>
    </xf>
    <xf numFmtId="9" fontId="39" fillId="35" borderId="42" xfId="30" applyFont="1" applyFill="1" applyBorder="1" applyAlignment="1" applyProtection="1">
      <alignment horizontal="left" vertical="center" wrapText="1"/>
    </xf>
    <xf numFmtId="9" fontId="39" fillId="35" borderId="15" xfId="30" applyFont="1" applyFill="1" applyBorder="1" applyAlignment="1" applyProtection="1">
      <alignment horizontal="left" vertical="center" wrapText="1"/>
    </xf>
    <xf numFmtId="9" fontId="39" fillId="35" borderId="16" xfId="30" applyFont="1" applyFill="1" applyBorder="1" applyAlignment="1" applyProtection="1">
      <alignment horizontal="left" vertical="center" wrapText="1"/>
    </xf>
    <xf numFmtId="9" fontId="39" fillId="35" borderId="23" xfId="30" applyFont="1" applyFill="1" applyBorder="1" applyAlignment="1" applyProtection="1">
      <alignment horizontal="left" vertical="center" wrapText="1"/>
    </xf>
    <xf numFmtId="9" fontId="39" fillId="35" borderId="43" xfId="30" applyFont="1" applyFill="1" applyBorder="1" applyAlignment="1" applyProtection="1">
      <alignment horizontal="left" vertical="center" wrapText="1"/>
    </xf>
    <xf numFmtId="9" fontId="58" fillId="35" borderId="22" xfId="30" applyFont="1" applyFill="1" applyBorder="1" applyAlignment="1">
      <alignment horizontal="left" vertical="center" wrapText="1"/>
    </xf>
    <xf numFmtId="9" fontId="43" fillId="35" borderId="22" xfId="30" applyFont="1" applyFill="1" applyBorder="1" applyAlignment="1">
      <alignment horizontal="left" vertical="center" wrapText="1"/>
    </xf>
    <xf numFmtId="9" fontId="43" fillId="35" borderId="23" xfId="30" applyFont="1" applyFill="1" applyBorder="1" applyAlignment="1">
      <alignment horizontal="left" vertical="center" wrapText="1"/>
    </xf>
    <xf numFmtId="9" fontId="43" fillId="35" borderId="15" xfId="30" applyFont="1" applyFill="1" applyBorder="1" applyAlignment="1">
      <alignment horizontal="left" vertical="center" wrapText="1"/>
    </xf>
    <xf numFmtId="9" fontId="43" fillId="35" borderId="43" xfId="30" applyFont="1" applyFill="1" applyBorder="1" applyAlignment="1">
      <alignment horizontal="left" vertical="center" wrapText="1"/>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0" fontId="11" fillId="0" borderId="19" xfId="22" applyFont="1" applyBorder="1" applyAlignment="1">
      <alignment horizontal="center" vertical="center" wrapText="1"/>
    </xf>
    <xf numFmtId="9" fontId="58" fillId="35" borderId="32" xfId="22" applyNumberFormat="1" applyFont="1" applyFill="1" applyBorder="1" applyAlignment="1">
      <alignment horizontal="left" vertical="center" wrapText="1"/>
    </xf>
    <xf numFmtId="9" fontId="43" fillId="35" borderId="4" xfId="22" applyNumberFormat="1" applyFont="1" applyFill="1" applyBorder="1" applyAlignment="1">
      <alignment horizontal="left" vertical="center" wrapText="1"/>
    </xf>
    <xf numFmtId="9" fontId="43" fillId="35" borderId="34" xfId="22" applyNumberFormat="1" applyFont="1" applyFill="1" applyBorder="1" applyAlignment="1">
      <alignment horizontal="left" vertical="center" wrapText="1"/>
    </xf>
    <xf numFmtId="9" fontId="43" fillId="35" borderId="31" xfId="22" applyNumberFormat="1" applyFont="1" applyFill="1" applyBorder="1" applyAlignment="1">
      <alignment horizontal="left" vertical="center" wrapText="1"/>
    </xf>
    <xf numFmtId="9" fontId="43" fillId="35" borderId="19" xfId="22" applyNumberFormat="1" applyFont="1" applyFill="1" applyBorder="1" applyAlignment="1">
      <alignment horizontal="left" vertical="center" wrapText="1"/>
    </xf>
    <xf numFmtId="9" fontId="43" fillId="35" borderId="33" xfId="22" applyNumberFormat="1" applyFont="1" applyFill="1" applyBorder="1" applyAlignment="1">
      <alignment horizontal="left" vertical="center" wrapText="1"/>
    </xf>
    <xf numFmtId="0" fontId="12" fillId="20" borderId="32"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2" fontId="11" fillId="0" borderId="32" xfId="22" applyNumberFormat="1" applyFont="1" applyBorder="1" applyAlignment="1">
      <alignment horizontal="justify" vertical="center" wrapText="1"/>
    </xf>
    <xf numFmtId="9" fontId="11" fillId="0" borderId="4" xfId="22" applyNumberFormat="1" applyFont="1" applyBorder="1" applyAlignment="1">
      <alignment horizontal="center" vertical="center" wrapText="1"/>
    </xf>
    <xf numFmtId="0" fontId="11" fillId="0" borderId="1" xfId="22" applyFont="1" applyBorder="1" applyAlignment="1">
      <alignment horizontal="center" vertical="center" wrapText="1"/>
    </xf>
    <xf numFmtId="9" fontId="43" fillId="35" borderId="32" xfId="22" applyNumberFormat="1" applyFont="1" applyFill="1" applyBorder="1" applyAlignment="1">
      <alignment horizontal="left" vertical="center" wrapText="1"/>
    </xf>
    <xf numFmtId="9" fontId="11" fillId="35" borderId="4" xfId="22" applyNumberFormat="1" applyFont="1" applyFill="1" applyBorder="1" applyAlignment="1">
      <alignment horizontal="left" vertical="center" wrapText="1"/>
    </xf>
    <xf numFmtId="9" fontId="11" fillId="35" borderId="34" xfId="22" applyNumberFormat="1" applyFont="1" applyFill="1" applyBorder="1" applyAlignment="1">
      <alignment horizontal="left" vertical="center" wrapText="1"/>
    </xf>
    <xf numFmtId="9" fontId="11" fillId="35" borderId="8" xfId="22" applyNumberFormat="1" applyFont="1" applyFill="1" applyBorder="1" applyAlignment="1">
      <alignment horizontal="left" vertical="center" wrapText="1"/>
    </xf>
    <xf numFmtId="9" fontId="11" fillId="35" borderId="1" xfId="22" applyNumberFormat="1" applyFont="1" applyFill="1" applyBorder="1" applyAlignment="1">
      <alignment horizontal="left" vertical="center" wrapText="1"/>
    </xf>
    <xf numFmtId="9" fontId="11" fillId="35" borderId="9" xfId="22" applyNumberFormat="1" applyFont="1" applyFill="1" applyBorder="1" applyAlignment="1">
      <alignment horizontal="left" vertical="center" wrapText="1"/>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4" fontId="25" fillId="0" borderId="0" xfId="0" applyNumberFormat="1" applyFont="1" applyAlignment="1">
      <alignment horizontal="center" vertical="center" wrapText="1"/>
    </xf>
    <xf numFmtId="174" fontId="11" fillId="0" borderId="0" xfId="0" applyNumberFormat="1" applyFont="1" applyAlignment="1">
      <alignment vertical="center"/>
    </xf>
    <xf numFmtId="0" fontId="24" fillId="24" borderId="83" xfId="0" applyFont="1" applyFill="1" applyBorder="1" applyAlignment="1">
      <alignment horizontal="justify" vertical="center" wrapText="1"/>
    </xf>
    <xf numFmtId="0" fontId="11" fillId="0" borderId="85" xfId="0" applyFont="1" applyBorder="1" applyAlignment="1">
      <alignment horizontal="justify" vertical="center" wrapText="1"/>
    </xf>
    <xf numFmtId="0" fontId="24" fillId="24" borderId="83" xfId="0" applyFont="1" applyFill="1" applyBorder="1" applyAlignment="1">
      <alignment horizontal="center" vertical="center" wrapText="1"/>
    </xf>
    <xf numFmtId="0" fontId="11" fillId="0" borderId="85" xfId="0" applyFont="1" applyBorder="1" applyAlignment="1">
      <alignment vertical="center"/>
    </xf>
    <xf numFmtId="0" fontId="24" fillId="24" borderId="84" xfId="0" applyFont="1" applyFill="1" applyBorder="1" applyAlignment="1">
      <alignment horizontal="center" vertical="center" wrapText="1"/>
    </xf>
    <xf numFmtId="0" fontId="11" fillId="0" borderId="90" xfId="0" applyFont="1" applyBorder="1" applyAlignment="1">
      <alignment vertical="center"/>
    </xf>
    <xf numFmtId="0" fontId="11" fillId="0" borderId="86" xfId="0" applyFont="1" applyBorder="1" applyAlignment="1">
      <alignment vertical="center"/>
    </xf>
    <xf numFmtId="9" fontId="26" fillId="0" borderId="83" xfId="0" applyNumberFormat="1" applyFont="1" applyBorder="1" applyAlignment="1">
      <alignment horizontal="justify" vertical="center" wrapText="1"/>
    </xf>
    <xf numFmtId="9" fontId="26" fillId="0" borderId="85" xfId="0" applyNumberFormat="1" applyFont="1" applyBorder="1" applyAlignment="1">
      <alignment horizontal="justify" vertical="center" wrapText="1"/>
    </xf>
    <xf numFmtId="9" fontId="25" fillId="0" borderId="83" xfId="0" applyNumberFormat="1" applyFont="1" applyBorder="1" applyAlignment="1">
      <alignment horizontal="center" vertical="center" wrapText="1"/>
    </xf>
    <xf numFmtId="9" fontId="11" fillId="0" borderId="85" xfId="0" applyNumberFormat="1" applyFont="1" applyBorder="1" applyAlignment="1">
      <alignment vertical="center"/>
    </xf>
    <xf numFmtId="0" fontId="26" fillId="0" borderId="85" xfId="0" applyFont="1" applyBorder="1" applyAlignment="1">
      <alignment horizontal="justify" vertical="center" wrapText="1"/>
    </xf>
    <xf numFmtId="174" fontId="25" fillId="0" borderId="83" xfId="0" applyNumberFormat="1" applyFont="1" applyBorder="1" applyAlignment="1">
      <alignment horizontal="center" vertical="center" wrapText="1"/>
    </xf>
    <xf numFmtId="174" fontId="11" fillId="0" borderId="85" xfId="0" applyNumberFormat="1" applyFont="1" applyBorder="1" applyAlignment="1">
      <alignment vertical="center"/>
    </xf>
    <xf numFmtId="2" fontId="11" fillId="0" borderId="32" xfId="0" applyNumberFormat="1" applyFont="1" applyBorder="1" applyAlignment="1">
      <alignment horizontal="left" vertical="center" wrapText="1"/>
    </xf>
    <xf numFmtId="0" fontId="20" fillId="0" borderId="31" xfId="0" applyFont="1" applyBorder="1"/>
    <xf numFmtId="9" fontId="39" fillId="35" borderId="30" xfId="22" applyNumberFormat="1" applyFont="1" applyFill="1" applyBorder="1" applyAlignment="1">
      <alignment horizontal="left" vertical="center" wrapText="1"/>
    </xf>
    <xf numFmtId="9" fontId="39" fillId="35" borderId="22" xfId="22" applyNumberFormat="1" applyFont="1" applyFill="1" applyBorder="1" applyAlignment="1">
      <alignment horizontal="left" vertical="center" wrapText="1"/>
    </xf>
    <xf numFmtId="9" fontId="39" fillId="35" borderId="52" xfId="22" applyNumberFormat="1" applyFont="1" applyFill="1" applyBorder="1" applyAlignment="1">
      <alignment horizontal="left" vertical="center" wrapText="1"/>
    </xf>
    <xf numFmtId="9" fontId="39" fillId="35" borderId="37" xfId="22" applyNumberFormat="1" applyFont="1" applyFill="1" applyBorder="1" applyAlignment="1">
      <alignment horizontal="left" vertical="center" wrapText="1"/>
    </xf>
    <xf numFmtId="9" fontId="39" fillId="35" borderId="15" xfId="22" applyNumberFormat="1" applyFont="1" applyFill="1" applyBorder="1" applyAlignment="1">
      <alignment horizontal="left" vertical="center" wrapText="1"/>
    </xf>
    <xf numFmtId="9" fontId="39" fillId="35" borderId="16" xfId="22" applyNumberFormat="1" applyFont="1" applyFill="1" applyBorder="1" applyAlignment="1">
      <alignment horizontal="left" vertical="center" wrapText="1"/>
    </xf>
    <xf numFmtId="2" fontId="11" fillId="0" borderId="8" xfId="0" applyNumberFormat="1" applyFont="1" applyBorder="1" applyAlignment="1">
      <alignment horizontal="left" vertical="center" wrapText="1"/>
    </xf>
    <xf numFmtId="0" fontId="20" fillId="0" borderId="8" xfId="0" applyFont="1" applyBorder="1"/>
    <xf numFmtId="9" fontId="11" fillId="35" borderId="30" xfId="22" applyNumberFormat="1" applyFont="1" applyFill="1" applyBorder="1" applyAlignment="1">
      <alignment horizontal="left" vertical="center" wrapText="1"/>
    </xf>
    <xf numFmtId="9" fontId="11" fillId="35" borderId="22" xfId="22" applyNumberFormat="1" applyFont="1" applyFill="1" applyBorder="1" applyAlignment="1">
      <alignment horizontal="left" vertical="center" wrapText="1"/>
    </xf>
    <xf numFmtId="9" fontId="11" fillId="35" borderId="52" xfId="22" applyNumberFormat="1" applyFont="1" applyFill="1" applyBorder="1" applyAlignment="1">
      <alignment horizontal="left" vertical="center" wrapText="1"/>
    </xf>
    <xf numFmtId="9" fontId="11" fillId="35" borderId="13" xfId="22" applyNumberFormat="1" applyFont="1" applyFill="1" applyBorder="1" applyAlignment="1">
      <alignment horizontal="left" vertical="center" wrapText="1"/>
    </xf>
    <xf numFmtId="9" fontId="11" fillId="35" borderId="0" xfId="22" applyNumberFormat="1" applyFont="1" applyFill="1" applyAlignment="1">
      <alignment horizontal="left" vertical="center" wrapText="1"/>
    </xf>
    <xf numFmtId="9" fontId="11" fillId="35" borderId="14" xfId="22" applyNumberFormat="1" applyFont="1" applyFill="1" applyBorder="1" applyAlignment="1">
      <alignment horizontal="left" vertical="center" wrapText="1"/>
    </xf>
    <xf numFmtId="9" fontId="11" fillId="35" borderId="14" xfId="30" applyFont="1" applyFill="1" applyBorder="1" applyAlignment="1" applyProtection="1">
      <alignment horizontal="left" vertical="center" wrapText="1"/>
    </xf>
    <xf numFmtId="0" fontId="41" fillId="20" borderId="46" xfId="22" applyFont="1" applyFill="1" applyBorder="1" applyAlignment="1">
      <alignment horizontal="left" vertical="center" wrapText="1"/>
    </xf>
    <xf numFmtId="0" fontId="41" fillId="20" borderId="47" xfId="22" applyFont="1" applyFill="1" applyBorder="1" applyAlignment="1">
      <alignment horizontal="left" vertical="center" wrapText="1"/>
    </xf>
    <xf numFmtId="0" fontId="41" fillId="20" borderId="48" xfId="22" applyFont="1" applyFill="1" applyBorder="1" applyAlignment="1">
      <alignment horizontal="left" vertical="center" wrapText="1"/>
    </xf>
    <xf numFmtId="0" fontId="41" fillId="20" borderId="62" xfId="22" applyFont="1" applyFill="1" applyBorder="1" applyAlignment="1">
      <alignment horizontal="center" vertical="center" wrapText="1"/>
    </xf>
    <xf numFmtId="0" fontId="41" fillId="20" borderId="58" xfId="22" applyFont="1" applyFill="1" applyBorder="1" applyAlignment="1">
      <alignment horizontal="center" vertical="center" wrapText="1"/>
    </xf>
    <xf numFmtId="0" fontId="41" fillId="20" borderId="26" xfId="22" applyFont="1" applyFill="1" applyBorder="1" applyAlignment="1">
      <alignment horizontal="center" vertical="center" wrapText="1"/>
    </xf>
    <xf numFmtId="0" fontId="12" fillId="0" borderId="67" xfId="22" applyFont="1" applyBorder="1" applyAlignment="1">
      <alignment horizontal="center" vertical="center" wrapText="1"/>
    </xf>
    <xf numFmtId="9" fontId="12" fillId="0" borderId="35"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9" fillId="35" borderId="13" xfId="30" applyFont="1" applyFill="1" applyBorder="1" applyAlignment="1" applyProtection="1">
      <alignment horizontal="left" vertical="center" wrapText="1"/>
    </xf>
    <xf numFmtId="9" fontId="39" fillId="35" borderId="0" xfId="30" applyFont="1" applyFill="1" applyBorder="1" applyAlignment="1" applyProtection="1">
      <alignment horizontal="left" vertical="center" wrapText="1"/>
    </xf>
    <xf numFmtId="9" fontId="39" fillId="35" borderId="24" xfId="30" applyFont="1" applyFill="1" applyBorder="1" applyAlignment="1" applyProtection="1">
      <alignment horizontal="left" vertical="center" wrapText="1"/>
    </xf>
    <xf numFmtId="0" fontId="11" fillId="20" borderId="19" xfId="22" applyFont="1" applyFill="1" applyBorder="1" applyAlignment="1">
      <alignment horizontal="center" vertical="center" wrapText="1"/>
    </xf>
    <xf numFmtId="0" fontId="12" fillId="20" borderId="42"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2" fontId="11" fillId="0" borderId="8" xfId="0" applyNumberFormat="1" applyFont="1" applyBorder="1" applyAlignment="1">
      <alignment horizontal="justify" vertical="center" wrapText="1"/>
    </xf>
    <xf numFmtId="0" fontId="20" fillId="0" borderId="31" xfId="0" applyFont="1" applyBorder="1" applyAlignment="1">
      <alignment horizontal="justify" vertical="center" wrapText="1"/>
    </xf>
    <xf numFmtId="0" fontId="57" fillId="35" borderId="93" xfId="0" applyFont="1" applyFill="1" applyBorder="1" applyAlignment="1">
      <alignment horizontal="left" vertical="center" wrapText="1"/>
    </xf>
    <xf numFmtId="0" fontId="57" fillId="35" borderId="94" xfId="0" applyFont="1" applyFill="1" applyBorder="1" applyAlignment="1">
      <alignment horizontal="left" vertical="center" wrapText="1"/>
    </xf>
    <xf numFmtId="0" fontId="57" fillId="35" borderId="104" xfId="0" applyFont="1" applyFill="1" applyBorder="1" applyAlignment="1">
      <alignment horizontal="left" vertical="center" wrapText="1"/>
    </xf>
    <xf numFmtId="0" fontId="57" fillId="35" borderId="37" xfId="0" applyFont="1" applyFill="1" applyBorder="1" applyAlignment="1">
      <alignment horizontal="left" vertical="center" wrapText="1"/>
    </xf>
    <xf numFmtId="0" fontId="57" fillId="35" borderId="15" xfId="0" applyFont="1" applyFill="1" applyBorder="1" applyAlignment="1">
      <alignment horizontal="left" vertical="center" wrapText="1"/>
    </xf>
    <xf numFmtId="0" fontId="57" fillId="35" borderId="16" xfId="0" applyFont="1" applyFill="1" applyBorder="1" applyAlignment="1">
      <alignment horizontal="left" vertical="center" wrapText="1"/>
    </xf>
    <xf numFmtId="2" fontId="11" fillId="0" borderId="56" xfId="0" applyNumberFormat="1" applyFont="1" applyBorder="1" applyAlignment="1">
      <alignment horizontal="justify" vertical="center" wrapText="1"/>
    </xf>
    <xf numFmtId="0" fontId="20" fillId="0" borderId="8" xfId="0" applyFont="1" applyBorder="1" applyAlignment="1">
      <alignment horizontal="justify" vertical="center" wrapText="1"/>
    </xf>
    <xf numFmtId="9" fontId="11" fillId="0" borderId="44" xfId="22" applyNumberFormat="1" applyFont="1" applyBorder="1" applyAlignment="1">
      <alignment horizontal="center" vertical="center" wrapText="1"/>
    </xf>
    <xf numFmtId="0" fontId="57" fillId="0" borderId="36" xfId="0" applyFont="1" applyBorder="1" applyAlignment="1">
      <alignment horizontal="left" vertical="center" wrapText="1"/>
    </xf>
    <xf numFmtId="0" fontId="57" fillId="0" borderId="11" xfId="0" applyFont="1" applyBorder="1" applyAlignment="1">
      <alignment horizontal="left" vertical="center" wrapText="1"/>
    </xf>
    <xf numFmtId="0" fontId="57" fillId="0" borderId="12" xfId="0" applyFont="1" applyBorder="1" applyAlignment="1">
      <alignment horizontal="left" vertical="center" wrapText="1"/>
    </xf>
    <xf numFmtId="0" fontId="57" fillId="0" borderId="91" xfId="0" applyFont="1" applyBorder="1" applyAlignment="1">
      <alignment horizontal="left" vertical="center" wrapText="1"/>
    </xf>
    <xf numFmtId="0" fontId="57" fillId="0" borderId="92" xfId="0" applyFont="1" applyBorder="1" applyAlignment="1">
      <alignment horizontal="left" vertical="center" wrapText="1"/>
    </xf>
    <xf numFmtId="0" fontId="57" fillId="0" borderId="103" xfId="0" applyFont="1" applyBorder="1" applyAlignment="1">
      <alignment horizontal="left" vertical="center" wrapText="1"/>
    </xf>
    <xf numFmtId="0" fontId="57" fillId="0" borderId="93" xfId="0" applyFont="1" applyBorder="1" applyAlignment="1">
      <alignment horizontal="left" vertical="center" wrapText="1"/>
    </xf>
    <xf numFmtId="0" fontId="57" fillId="0" borderId="94" xfId="0" applyFont="1" applyBorder="1" applyAlignment="1">
      <alignment horizontal="left" vertical="center" wrapText="1"/>
    </xf>
    <xf numFmtId="0" fontId="57" fillId="0" borderId="104" xfId="0" applyFont="1" applyBorder="1" applyAlignment="1">
      <alignment horizontal="left" vertical="center" wrapText="1"/>
    </xf>
    <xf numFmtId="0" fontId="57" fillId="35" borderId="82" xfId="0" applyFont="1" applyFill="1" applyBorder="1" applyAlignment="1">
      <alignment horizontal="left" vertical="center" wrapText="1"/>
    </xf>
    <xf numFmtId="0" fontId="57" fillId="35" borderId="102" xfId="0" applyFont="1" applyFill="1" applyBorder="1" applyAlignment="1">
      <alignment horizontal="left" vertical="center" wrapText="1"/>
    </xf>
    <xf numFmtId="0" fontId="12" fillId="20" borderId="18"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100"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0" fontId="57" fillId="35" borderId="101" xfId="0" applyFont="1" applyFill="1" applyBorder="1" applyAlignment="1">
      <alignment horizontal="left" vertical="center" wrapText="1"/>
    </xf>
    <xf numFmtId="0" fontId="20" fillId="35" borderId="82" xfId="0" applyFont="1" applyFill="1" applyBorder="1" applyAlignment="1">
      <alignment horizontal="left" vertical="center" wrapText="1"/>
    </xf>
    <xf numFmtId="0" fontId="12" fillId="20" borderId="10" xfId="22" applyFont="1" applyFill="1" applyBorder="1" applyAlignment="1">
      <alignment horizontal="center" vertical="center" wrapText="1"/>
    </xf>
    <xf numFmtId="0" fontId="12" fillId="20" borderId="68"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2" fontId="12" fillId="0" borderId="59" xfId="28" applyNumberFormat="1" applyFont="1" applyFill="1" applyBorder="1" applyAlignment="1" applyProtection="1">
      <alignment horizontal="center" vertical="center" wrapText="1"/>
    </xf>
    <xf numFmtId="2" fontId="12" fillId="0" borderId="60" xfId="28" applyNumberFormat="1" applyFont="1" applyFill="1" applyBorder="1" applyAlignment="1" applyProtection="1">
      <alignment horizontal="center"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9" fontId="43" fillId="35" borderId="30" xfId="22" applyNumberFormat="1" applyFont="1" applyFill="1" applyBorder="1" applyAlignment="1">
      <alignment horizontal="left" vertical="top" wrapText="1"/>
    </xf>
    <xf numFmtId="9" fontId="39" fillId="35" borderId="22" xfId="22" applyNumberFormat="1" applyFont="1" applyFill="1" applyBorder="1" applyAlignment="1">
      <alignment horizontal="left" vertical="top" wrapText="1"/>
    </xf>
    <xf numFmtId="9" fontId="39" fillId="35" borderId="52" xfId="22" applyNumberFormat="1" applyFont="1" applyFill="1" applyBorder="1" applyAlignment="1">
      <alignment horizontal="left" vertical="top" wrapText="1"/>
    </xf>
    <xf numFmtId="9" fontId="39" fillId="35" borderId="37" xfId="22" applyNumberFormat="1" applyFont="1" applyFill="1" applyBorder="1" applyAlignment="1">
      <alignment horizontal="left" vertical="top" wrapText="1"/>
    </xf>
    <xf numFmtId="9" fontId="39" fillId="35" borderId="15" xfId="22" applyNumberFormat="1" applyFont="1" applyFill="1" applyBorder="1" applyAlignment="1">
      <alignment horizontal="left" vertical="top" wrapText="1"/>
    </xf>
    <xf numFmtId="9" fontId="39" fillId="35" borderId="16" xfId="22" applyNumberFormat="1" applyFont="1" applyFill="1" applyBorder="1" applyAlignment="1">
      <alignment horizontal="left" vertical="top" wrapText="1"/>
    </xf>
    <xf numFmtId="9" fontId="43" fillId="35" borderId="36" xfId="22" applyNumberFormat="1" applyFont="1" applyFill="1" applyBorder="1" applyAlignment="1">
      <alignment horizontal="left" vertical="center" wrapText="1"/>
    </xf>
    <xf numFmtId="9" fontId="11" fillId="35" borderId="11" xfId="22" applyNumberFormat="1" applyFont="1" applyFill="1" applyBorder="1" applyAlignment="1">
      <alignment horizontal="left" vertical="center" wrapText="1"/>
    </xf>
    <xf numFmtId="9" fontId="11" fillId="35" borderId="12" xfId="22" applyNumberFormat="1" applyFont="1" applyFill="1" applyBorder="1" applyAlignment="1">
      <alignment horizontal="left" vertical="center" wrapText="1"/>
    </xf>
    <xf numFmtId="9" fontId="11" fillId="35" borderId="6" xfId="22" applyNumberFormat="1" applyFont="1" applyFill="1" applyBorder="1" applyAlignment="1">
      <alignment horizontal="left" vertical="center" wrapText="1"/>
    </xf>
    <xf numFmtId="9" fontId="11" fillId="35" borderId="3" xfId="22" applyNumberFormat="1" applyFont="1" applyFill="1" applyBorder="1" applyAlignment="1">
      <alignment horizontal="left" vertical="center" wrapText="1"/>
    </xf>
    <xf numFmtId="9" fontId="11" fillId="35" borderId="7" xfId="22" applyNumberFormat="1" applyFont="1" applyFill="1" applyBorder="1" applyAlignment="1">
      <alignment horizontal="left" vertical="center" wrapText="1"/>
    </xf>
    <xf numFmtId="9" fontId="39" fillId="35" borderId="98" xfId="30" applyFont="1" applyFill="1" applyBorder="1" applyAlignment="1" applyProtection="1">
      <alignment horizontal="left" vertical="center" wrapText="1"/>
    </xf>
    <xf numFmtId="9" fontId="39" fillId="35" borderId="11" xfId="30" applyFont="1" applyFill="1" applyBorder="1" applyAlignment="1" applyProtection="1">
      <alignment horizontal="left" vertical="center" wrapText="1"/>
    </xf>
    <xf numFmtId="9" fontId="39" fillId="35" borderId="12" xfId="30" applyFont="1" applyFill="1" applyBorder="1" applyAlignment="1" applyProtection="1">
      <alignment horizontal="left" vertical="center" wrapText="1"/>
    </xf>
    <xf numFmtId="0" fontId="12" fillId="35" borderId="46" xfId="22" applyFont="1" applyFill="1" applyBorder="1" applyAlignment="1">
      <alignment horizontal="center" vertical="center" wrapText="1"/>
    </xf>
    <xf numFmtId="0" fontId="12" fillId="35" borderId="47" xfId="22" applyFont="1" applyFill="1" applyBorder="1" applyAlignment="1">
      <alignment horizontal="center" vertical="center" wrapText="1"/>
    </xf>
    <xf numFmtId="0" fontId="12" fillId="35" borderId="48" xfId="22" applyFont="1" applyFill="1" applyBorder="1" applyAlignment="1">
      <alignment horizontal="center" vertical="center" wrapText="1"/>
    </xf>
    <xf numFmtId="9" fontId="43" fillId="35" borderId="36" xfId="30" applyFont="1" applyFill="1" applyBorder="1" applyAlignment="1" applyProtection="1">
      <alignment horizontal="left" vertical="center" wrapText="1"/>
    </xf>
    <xf numFmtId="9" fontId="39" fillId="35" borderId="97" xfId="30" applyFont="1" applyFill="1" applyBorder="1" applyAlignment="1" applyProtection="1">
      <alignment horizontal="left" vertical="center" wrapText="1"/>
    </xf>
    <xf numFmtId="9" fontId="39" fillId="35" borderId="37" xfId="30" applyFont="1" applyFill="1" applyBorder="1" applyAlignment="1" applyProtection="1">
      <alignment horizontal="left" vertical="center" wrapText="1"/>
    </xf>
    <xf numFmtId="9" fontId="43" fillId="35" borderId="98" xfId="30" applyFont="1" applyFill="1" applyBorder="1" applyAlignment="1" applyProtection="1">
      <alignment horizontal="left" vertical="center" wrapText="1"/>
    </xf>
    <xf numFmtId="0" fontId="11" fillId="35" borderId="95" xfId="0" applyFont="1" applyFill="1" applyBorder="1" applyAlignment="1">
      <alignment horizontal="left" vertical="center" wrapText="1"/>
    </xf>
    <xf numFmtId="0" fontId="11" fillId="35" borderId="96" xfId="0" applyFont="1" applyFill="1" applyBorder="1" applyAlignment="1">
      <alignment horizontal="left" vertical="center" wrapText="1"/>
    </xf>
    <xf numFmtId="0" fontId="11" fillId="20" borderId="1" xfId="22" applyFont="1" applyFill="1" applyBorder="1" applyAlignment="1">
      <alignment horizontal="center"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11" fillId="0" borderId="0" xfId="22" applyNumberFormat="1" applyFont="1" applyAlignment="1">
      <alignment horizontal="justify" vertical="center" wrapText="1"/>
    </xf>
    <xf numFmtId="9" fontId="11" fillId="0" borderId="14" xfId="22" applyNumberFormat="1" applyFont="1" applyBorder="1" applyAlignment="1">
      <alignment horizontal="justify" vertical="center" wrapText="1"/>
    </xf>
    <xf numFmtId="9" fontId="11" fillId="0" borderId="15" xfId="22" applyNumberFormat="1" applyFont="1" applyBorder="1" applyAlignment="1">
      <alignment horizontal="justify" vertical="center" wrapText="1"/>
    </xf>
    <xf numFmtId="9" fontId="11" fillId="0" borderId="16" xfId="22" applyNumberFormat="1" applyFont="1" applyBorder="1" applyAlignment="1">
      <alignment horizontal="justify" vertical="center" wrapText="1"/>
    </xf>
    <xf numFmtId="9" fontId="39" fillId="19" borderId="68" xfId="30" applyFont="1" applyFill="1" applyBorder="1" applyAlignment="1" applyProtection="1">
      <alignment horizontal="justify" vertical="center" wrapText="1"/>
    </xf>
    <xf numFmtId="9" fontId="39" fillId="19" borderId="0" xfId="30" applyFont="1" applyFill="1" applyBorder="1" applyAlignment="1" applyProtection="1">
      <alignment horizontal="justify" vertical="center" wrapText="1"/>
    </xf>
    <xf numFmtId="9" fontId="39" fillId="19" borderId="14" xfId="30" applyFont="1" applyFill="1" applyBorder="1" applyAlignment="1" applyProtection="1">
      <alignment horizontal="justify" vertical="center" wrapText="1"/>
    </xf>
    <xf numFmtId="9" fontId="39" fillId="19" borderId="42" xfId="30" applyFont="1" applyFill="1" applyBorder="1" applyAlignment="1" applyProtection="1">
      <alignment horizontal="justify" vertical="center" wrapText="1"/>
    </xf>
    <xf numFmtId="9" fontId="39" fillId="19" borderId="15" xfId="30" applyFont="1" applyFill="1" applyBorder="1" applyAlignment="1" applyProtection="1">
      <alignment horizontal="justify" vertical="center" wrapText="1"/>
    </xf>
    <xf numFmtId="9" fontId="39" fillId="19" borderId="16" xfId="30" applyFont="1" applyFill="1" applyBorder="1" applyAlignment="1" applyProtection="1">
      <alignment horizontal="justify" vertical="center" wrapText="1"/>
    </xf>
    <xf numFmtId="9" fontId="39" fillId="19" borderId="24" xfId="30" applyFont="1" applyFill="1" applyBorder="1" applyAlignment="1" applyProtection="1">
      <alignment horizontal="justify" vertical="center" wrapText="1"/>
    </xf>
    <xf numFmtId="9" fontId="39" fillId="19" borderId="43" xfId="30" applyFont="1" applyFill="1" applyBorder="1" applyAlignment="1" applyProtection="1">
      <alignment horizontal="justify" vertical="center" wrapText="1"/>
    </xf>
    <xf numFmtId="0" fontId="11" fillId="19" borderId="95" xfId="0" applyFont="1" applyFill="1" applyBorder="1" applyAlignment="1">
      <alignment horizontal="left" vertical="center" wrapText="1"/>
    </xf>
    <xf numFmtId="0" fontId="11" fillId="19" borderId="96" xfId="0" applyFont="1" applyFill="1" applyBorder="1" applyAlignment="1">
      <alignment horizontal="left" vertical="center" wrapText="1"/>
    </xf>
    <xf numFmtId="0" fontId="0" fillId="0" borderId="62" xfId="0" applyBorder="1" applyAlignment="1">
      <alignment horizontal="center" vertical="center"/>
    </xf>
    <xf numFmtId="0" fontId="0" fillId="0" borderId="26" xfId="0" applyBorder="1" applyAlignment="1">
      <alignment horizontal="center" vertical="center"/>
    </xf>
    <xf numFmtId="2" fontId="11" fillId="0" borderId="32" xfId="0" applyNumberFormat="1" applyFont="1" applyBorder="1" applyAlignment="1">
      <alignment horizontal="justify" vertical="center" wrapText="1"/>
    </xf>
    <xf numFmtId="9" fontId="39" fillId="0" borderId="22" xfId="22" applyNumberFormat="1" applyFont="1" applyBorder="1" applyAlignment="1">
      <alignment horizontal="justify" vertical="center" wrapText="1"/>
    </xf>
    <xf numFmtId="9" fontId="39" fillId="0" borderId="52" xfId="22" applyNumberFormat="1" applyFont="1" applyBorder="1" applyAlignment="1">
      <alignment horizontal="justify" vertical="center" wrapText="1"/>
    </xf>
    <xf numFmtId="9" fontId="39" fillId="0" borderId="15" xfId="22" applyNumberFormat="1" applyFont="1" applyBorder="1" applyAlignment="1">
      <alignment horizontal="justify" vertical="center" wrapText="1"/>
    </xf>
    <xf numFmtId="9" fontId="39" fillId="0" borderId="16" xfId="22" applyNumberFormat="1" applyFont="1" applyBorder="1" applyAlignment="1">
      <alignment horizontal="justify" vertical="center" wrapText="1"/>
    </xf>
    <xf numFmtId="9" fontId="11" fillId="0" borderId="22" xfId="22" applyNumberFormat="1" applyFont="1" applyBorder="1" applyAlignment="1">
      <alignment horizontal="justify" vertical="center" wrapText="1"/>
    </xf>
    <xf numFmtId="9" fontId="11" fillId="0" borderId="52" xfId="22" applyNumberFormat="1" applyFont="1" applyBorder="1" applyAlignment="1">
      <alignment horizontal="justify" vertical="center" wrapText="1"/>
    </xf>
    <xf numFmtId="9" fontId="11" fillId="19" borderId="68" xfId="30" applyFont="1" applyFill="1" applyBorder="1" applyAlignment="1" applyProtection="1">
      <alignment horizontal="left" vertical="center" wrapText="1"/>
    </xf>
    <xf numFmtId="9" fontId="11" fillId="19" borderId="0" xfId="30" applyFont="1" applyFill="1" applyBorder="1" applyAlignment="1" applyProtection="1">
      <alignment horizontal="left" vertical="center" wrapText="1"/>
    </xf>
    <xf numFmtId="9" fontId="11" fillId="19" borderId="24" xfId="30" applyFont="1" applyFill="1" applyBorder="1" applyAlignment="1" applyProtection="1">
      <alignment horizontal="left" vertical="center" wrapText="1"/>
    </xf>
    <xf numFmtId="9" fontId="11" fillId="19" borderId="42" xfId="30" applyFont="1" applyFill="1" applyBorder="1" applyAlignment="1" applyProtection="1">
      <alignment horizontal="left" vertical="center" wrapText="1"/>
    </xf>
    <xf numFmtId="9" fontId="11" fillId="19" borderId="15" xfId="30" applyFont="1" applyFill="1" applyBorder="1" applyAlignment="1" applyProtection="1">
      <alignment horizontal="left" vertical="center" wrapText="1"/>
    </xf>
    <xf numFmtId="9" fontId="11" fillId="19" borderId="43" xfId="30" applyFont="1" applyFill="1" applyBorder="1" applyAlignment="1" applyProtection="1">
      <alignment horizontal="left" vertical="center" wrapText="1"/>
    </xf>
    <xf numFmtId="0" fontId="11" fillId="20" borderId="10" xfId="22" applyFont="1" applyFill="1" applyBorder="1" applyAlignment="1">
      <alignment horizontal="center" vertical="center" wrapText="1"/>
    </xf>
    <xf numFmtId="9" fontId="11" fillId="0" borderId="66" xfId="22" applyNumberFormat="1" applyFont="1" applyBorder="1" applyAlignment="1">
      <alignment horizontal="center" vertical="center" wrapText="1"/>
    </xf>
    <xf numFmtId="9" fontId="57" fillId="35" borderId="11" xfId="22" applyNumberFormat="1" applyFont="1" applyFill="1" applyBorder="1" applyAlignment="1">
      <alignment vertical="center" wrapText="1" readingOrder="1"/>
    </xf>
    <xf numFmtId="9" fontId="39" fillId="35" borderId="11" xfId="22" applyNumberFormat="1" applyFont="1" applyFill="1" applyBorder="1" applyAlignment="1">
      <alignment horizontal="left" vertical="center" wrapText="1"/>
    </xf>
    <xf numFmtId="9" fontId="39" fillId="35" borderId="12" xfId="22" applyNumberFormat="1" applyFont="1" applyFill="1" applyBorder="1" applyAlignment="1">
      <alignment horizontal="left" vertical="center" wrapText="1"/>
    </xf>
    <xf numFmtId="0" fontId="12" fillId="0" borderId="56" xfId="22" applyFont="1" applyBorder="1" applyAlignment="1">
      <alignment horizontal="justify" vertical="center" wrapText="1"/>
    </xf>
    <xf numFmtId="0" fontId="12" fillId="0" borderId="18" xfId="22" applyFont="1" applyBorder="1" applyAlignment="1">
      <alignment horizontal="justify" vertical="center" wrapText="1"/>
    </xf>
    <xf numFmtId="9" fontId="12" fillId="0" borderId="44" xfId="22" applyNumberFormat="1" applyFont="1" applyBorder="1" applyAlignment="1">
      <alignment horizontal="center" vertical="center" wrapText="1"/>
    </xf>
    <xf numFmtId="0" fontId="12" fillId="0" borderId="10" xfId="22" applyFont="1" applyBorder="1" applyAlignment="1">
      <alignment horizontal="center" vertical="center" wrapText="1"/>
    </xf>
    <xf numFmtId="9" fontId="43" fillId="35" borderId="0" xfId="30" applyFont="1" applyFill="1" applyBorder="1" applyAlignment="1" applyProtection="1">
      <alignment vertical="center" wrapText="1" readingOrder="1"/>
    </xf>
    <xf numFmtId="9" fontId="39" fillId="35" borderId="0" xfId="30" applyFont="1" applyFill="1" applyBorder="1" applyAlignment="1" applyProtection="1">
      <alignment horizontal="justify" vertical="center" wrapText="1"/>
    </xf>
    <xf numFmtId="9" fontId="39" fillId="35" borderId="24" xfId="30" applyFont="1" applyFill="1" applyBorder="1" applyAlignment="1" applyProtection="1">
      <alignment horizontal="justify" vertical="center" wrapText="1"/>
    </xf>
    <xf numFmtId="0" fontId="11" fillId="35" borderId="95" xfId="0" applyFont="1" applyFill="1" applyBorder="1" applyAlignment="1">
      <alignment vertical="center" wrapText="1"/>
    </xf>
    <xf numFmtId="0" fontId="11" fillId="35" borderId="83" xfId="0" applyFont="1" applyFill="1" applyBorder="1" applyAlignment="1">
      <alignment vertical="center" wrapText="1"/>
    </xf>
    <xf numFmtId="9" fontId="39" fillId="35" borderId="68" xfId="30" applyFont="1" applyFill="1" applyBorder="1" applyAlignment="1" applyProtection="1">
      <alignment horizontal="justify" vertical="center" wrapText="1"/>
    </xf>
    <xf numFmtId="9" fontId="39" fillId="35" borderId="14" xfId="30" applyFont="1" applyFill="1" applyBorder="1" applyAlignment="1" applyProtection="1">
      <alignment horizontal="justify" vertical="center" wrapText="1"/>
    </xf>
    <xf numFmtId="2" fontId="12" fillId="20" borderId="44" xfId="22" applyNumberFormat="1" applyFont="1" applyFill="1" applyBorder="1" applyAlignment="1">
      <alignment horizontal="center" vertical="center" wrapText="1"/>
    </xf>
    <xf numFmtId="0" fontId="12" fillId="20" borderId="33" xfId="22" applyFont="1" applyFill="1" applyBorder="1" applyAlignment="1">
      <alignment horizontal="center" vertical="center" wrapText="1"/>
    </xf>
    <xf numFmtId="9" fontId="39" fillId="35" borderId="98" xfId="30" applyFont="1" applyFill="1" applyBorder="1" applyAlignment="1" applyProtection="1">
      <alignment horizontal="justify" vertical="center" wrapText="1"/>
    </xf>
    <xf numFmtId="9" fontId="39" fillId="35" borderId="11" xfId="30" applyFont="1" applyFill="1" applyBorder="1" applyAlignment="1" applyProtection="1">
      <alignment horizontal="justify" vertical="center" wrapText="1"/>
    </xf>
    <xf numFmtId="9" fontId="39" fillId="35" borderId="12" xfId="30" applyFont="1" applyFill="1" applyBorder="1" applyAlignment="1" applyProtection="1">
      <alignment horizontal="justify" vertical="center" wrapText="1"/>
    </xf>
    <xf numFmtId="9" fontId="39" fillId="35" borderId="42" xfId="30" applyFont="1" applyFill="1" applyBorder="1" applyAlignment="1" applyProtection="1">
      <alignment horizontal="justify" vertical="center" wrapText="1"/>
    </xf>
    <xf numFmtId="9" fontId="39" fillId="35" borderId="15" xfId="30" applyFont="1" applyFill="1" applyBorder="1" applyAlignment="1" applyProtection="1">
      <alignment horizontal="justify" vertical="center" wrapText="1"/>
    </xf>
    <xf numFmtId="9" fontId="39" fillId="35" borderId="16" xfId="30" applyFont="1" applyFill="1" applyBorder="1" applyAlignment="1" applyProtection="1">
      <alignment horizontal="justify" vertical="center" wrapText="1"/>
    </xf>
    <xf numFmtId="9" fontId="43" fillId="35" borderId="93" xfId="22" applyNumberFormat="1" applyFont="1" applyFill="1" applyBorder="1" applyAlignment="1">
      <alignment vertical="center" wrapText="1" readingOrder="1"/>
    </xf>
    <xf numFmtId="9" fontId="39" fillId="35" borderId="94" xfId="22" applyNumberFormat="1" applyFont="1" applyFill="1" applyBorder="1" applyAlignment="1">
      <alignment horizontal="justify" vertical="center" wrapText="1"/>
    </xf>
    <xf numFmtId="9" fontId="39" fillId="35" borderId="104" xfId="22" applyNumberFormat="1" applyFont="1" applyFill="1" applyBorder="1" applyAlignment="1">
      <alignment horizontal="justify" vertical="center" wrapText="1"/>
    </xf>
    <xf numFmtId="9" fontId="39" fillId="35" borderId="37" xfId="22" applyNumberFormat="1" applyFont="1" applyFill="1" applyBorder="1" applyAlignment="1">
      <alignment horizontal="justify" vertical="center" wrapText="1"/>
    </xf>
    <xf numFmtId="9" fontId="39" fillId="35" borderId="15" xfId="22" applyNumberFormat="1" applyFont="1" applyFill="1" applyBorder="1" applyAlignment="1">
      <alignment horizontal="justify" vertical="center" wrapText="1"/>
    </xf>
    <xf numFmtId="9" fontId="39" fillId="35" borderId="16" xfId="22" applyNumberFormat="1" applyFont="1" applyFill="1" applyBorder="1" applyAlignment="1">
      <alignment horizontal="justify" vertical="center" wrapText="1"/>
    </xf>
    <xf numFmtId="2" fontId="11" fillId="0" borderId="46" xfId="0" applyNumberFormat="1" applyFont="1" applyBorder="1" applyAlignment="1">
      <alignment horizontal="justify" vertical="center" wrapText="1"/>
    </xf>
    <xf numFmtId="0" fontId="20" fillId="0" borderId="62" xfId="0" applyFont="1" applyBorder="1" applyAlignment="1">
      <alignment horizontal="justify" vertical="center" wrapText="1"/>
    </xf>
    <xf numFmtId="9" fontId="11" fillId="0" borderId="56" xfId="22" applyNumberFormat="1" applyFont="1" applyBorder="1" applyAlignment="1">
      <alignment horizontal="center" vertical="center" wrapText="1"/>
    </xf>
    <xf numFmtId="0" fontId="11" fillId="0" borderId="8" xfId="22" applyFont="1" applyBorder="1" applyAlignment="1">
      <alignment horizontal="center" vertical="center" wrapText="1"/>
    </xf>
    <xf numFmtId="9" fontId="39" fillId="35" borderId="6" xfId="22" applyNumberFormat="1" applyFont="1" applyFill="1" applyBorder="1" applyAlignment="1">
      <alignment horizontal="left" vertical="center" wrapText="1"/>
    </xf>
    <xf numFmtId="9" fontId="39" fillId="35" borderId="3" xfId="22" applyNumberFormat="1" applyFont="1" applyFill="1" applyBorder="1" applyAlignment="1">
      <alignment horizontal="left" vertical="center" wrapText="1"/>
    </xf>
    <xf numFmtId="9" fontId="39" fillId="35" borderId="7" xfId="22" applyNumberFormat="1" applyFont="1" applyFill="1" applyBorder="1" applyAlignment="1">
      <alignment horizontal="left" vertical="center" wrapText="1"/>
    </xf>
    <xf numFmtId="2" fontId="11" fillId="0" borderId="62" xfId="0" applyNumberFormat="1" applyFont="1" applyBorder="1" applyAlignment="1">
      <alignment horizontal="justify" vertical="center" wrapText="1"/>
    </xf>
    <xf numFmtId="9" fontId="11" fillId="0" borderId="8" xfId="22" applyNumberFormat="1" applyFont="1" applyBorder="1" applyAlignment="1">
      <alignment horizontal="center" vertical="center" wrapText="1"/>
    </xf>
    <xf numFmtId="9" fontId="43" fillId="35" borderId="30" xfId="22" applyNumberFormat="1" applyFont="1" applyFill="1" applyBorder="1" applyAlignment="1">
      <alignment horizontal="justify" vertical="center" wrapText="1"/>
    </xf>
    <xf numFmtId="9" fontId="39" fillId="35" borderId="22" xfId="22" applyNumberFormat="1" applyFont="1" applyFill="1" applyBorder="1" applyAlignment="1">
      <alignment horizontal="justify" vertical="center" wrapText="1"/>
    </xf>
    <xf numFmtId="9" fontId="39" fillId="35" borderId="52" xfId="22" applyNumberFormat="1" applyFont="1" applyFill="1" applyBorder="1" applyAlignment="1">
      <alignment horizontal="justify" vertical="center" wrapText="1"/>
    </xf>
    <xf numFmtId="9" fontId="39" fillId="35" borderId="91" xfId="22" applyNumberFormat="1" applyFont="1" applyFill="1" applyBorder="1" applyAlignment="1">
      <alignment horizontal="justify" vertical="center" wrapText="1"/>
    </xf>
    <xf numFmtId="9" fontId="39" fillId="35" borderId="92" xfId="22" applyNumberFormat="1" applyFont="1" applyFill="1" applyBorder="1" applyAlignment="1">
      <alignment horizontal="justify" vertical="center" wrapText="1"/>
    </xf>
    <xf numFmtId="9" fontId="39" fillId="35" borderId="103" xfId="22" applyNumberFormat="1" applyFont="1" applyFill="1" applyBorder="1" applyAlignment="1">
      <alignment horizontal="justify" vertical="center" wrapText="1"/>
    </xf>
    <xf numFmtId="9" fontId="11" fillId="0" borderId="32" xfId="22" applyNumberFormat="1" applyFont="1" applyBorder="1" applyAlignment="1">
      <alignment horizontal="center" vertical="center" wrapText="1"/>
    </xf>
    <xf numFmtId="0" fontId="11" fillId="0" borderId="31" xfId="22" applyFont="1" applyBorder="1" applyAlignment="1">
      <alignment horizontal="center" vertical="center" wrapText="1"/>
    </xf>
    <xf numFmtId="9" fontId="43" fillId="35" borderId="36" xfId="30" applyFont="1" applyFill="1" applyBorder="1" applyAlignment="1" applyProtection="1">
      <alignment vertical="center" wrapText="1" readingOrder="1"/>
    </xf>
    <xf numFmtId="9" fontId="43" fillId="35" borderId="98" xfId="30" applyFont="1" applyFill="1" applyBorder="1" applyAlignment="1" applyProtection="1">
      <alignment vertical="center" wrapText="1" readingOrder="1"/>
    </xf>
    <xf numFmtId="9" fontId="39" fillId="35" borderId="5" xfId="30" applyFont="1" applyFill="1" applyBorder="1" applyAlignment="1" applyProtection="1">
      <alignment horizontal="left" vertical="center" wrapText="1"/>
    </xf>
    <xf numFmtId="9" fontId="39" fillId="35" borderId="1" xfId="30" applyFont="1" applyFill="1" applyBorder="1" applyAlignment="1" applyProtection="1">
      <alignment horizontal="left" vertical="center" wrapText="1"/>
    </xf>
    <xf numFmtId="9" fontId="39" fillId="35" borderId="40" xfId="30" applyFont="1" applyFill="1" applyBorder="1" applyAlignment="1" applyProtection="1">
      <alignment horizontal="left" vertical="center" wrapText="1"/>
    </xf>
    <xf numFmtId="9" fontId="39" fillId="35" borderId="19" xfId="30" applyFont="1" applyFill="1" applyBorder="1" applyAlignment="1" applyProtection="1">
      <alignment horizontal="left" vertical="center" wrapText="1"/>
    </xf>
    <xf numFmtId="9" fontId="11" fillId="35" borderId="37" xfId="22" applyNumberFormat="1" applyFont="1" applyFill="1" applyBorder="1" applyAlignment="1">
      <alignment horizontal="left" vertical="center" wrapText="1"/>
    </xf>
    <xf numFmtId="9" fontId="11" fillId="35" borderId="15" xfId="22" applyNumberFormat="1" applyFont="1" applyFill="1" applyBorder="1" applyAlignment="1">
      <alignment horizontal="left" vertical="center" wrapText="1"/>
    </xf>
    <xf numFmtId="9" fontId="11" fillId="35" borderId="16" xfId="22" applyNumberFormat="1" applyFont="1" applyFill="1" applyBorder="1" applyAlignment="1">
      <alignment horizontal="left" vertical="center" wrapText="1"/>
    </xf>
    <xf numFmtId="0" fontId="12" fillId="20" borderId="22"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2" fontId="11" fillId="0" borderId="56" xfId="0" applyNumberFormat="1" applyFont="1" applyBorder="1" applyAlignment="1">
      <alignment horizontal="left" vertical="center" wrapText="1"/>
    </xf>
    <xf numFmtId="0" fontId="20" fillId="0" borderId="8" xfId="0" applyFont="1" applyBorder="1" applyAlignment="1">
      <alignment vertical="center"/>
    </xf>
    <xf numFmtId="9" fontId="11" fillId="35" borderId="36" xfId="22" applyNumberFormat="1" applyFont="1" applyFill="1" applyBorder="1" applyAlignment="1">
      <alignment horizontal="left" vertical="center" wrapText="1"/>
    </xf>
    <xf numFmtId="9" fontId="39" fillId="35" borderId="1" xfId="30" applyFont="1" applyFill="1" applyBorder="1" applyAlignment="1" applyProtection="1">
      <alignment horizontal="justify" vertical="center" wrapText="1"/>
    </xf>
    <xf numFmtId="9" fontId="39" fillId="35" borderId="9" xfId="30" applyFont="1" applyFill="1" applyBorder="1" applyAlignment="1" applyProtection="1">
      <alignment horizontal="justify" vertical="center" wrapText="1"/>
    </xf>
    <xf numFmtId="9" fontId="39" fillId="35" borderId="19" xfId="30" applyFont="1" applyFill="1" applyBorder="1" applyAlignment="1" applyProtection="1">
      <alignment horizontal="justify" vertical="center" wrapText="1"/>
    </xf>
    <xf numFmtId="9" fontId="39" fillId="35" borderId="33" xfId="30" applyFont="1" applyFill="1" applyBorder="1" applyAlignment="1" applyProtection="1">
      <alignment horizontal="justify" vertical="center" wrapText="1"/>
    </xf>
    <xf numFmtId="0" fontId="0" fillId="35" borderId="62" xfId="0" applyFill="1" applyBorder="1" applyAlignment="1">
      <alignment horizontal="center" vertical="center"/>
    </xf>
    <xf numFmtId="0" fontId="0" fillId="35" borderId="26" xfId="0" applyFill="1" applyBorder="1" applyAlignment="1">
      <alignment horizontal="center" vertical="center"/>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69" xfId="22" applyFont="1" applyBorder="1" applyAlignment="1">
      <alignment horizontal="center" vertical="center" wrapText="1"/>
    </xf>
    <xf numFmtId="9" fontId="40" fillId="0" borderId="51"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3" xfId="30" applyFont="1" applyFill="1" applyBorder="1" applyAlignment="1" applyProtection="1">
      <alignment horizontal="center" vertical="center" wrapText="1"/>
    </xf>
    <xf numFmtId="0" fontId="12" fillId="0" borderId="41"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58"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1" xfId="22" applyNumberFormat="1" applyFont="1" applyBorder="1" applyAlignment="1">
      <alignment horizontal="center" vertical="center" wrapText="1"/>
    </xf>
    <xf numFmtId="9" fontId="40" fillId="0" borderId="51"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2" xfId="22" applyNumberFormat="1" applyFont="1" applyBorder="1" applyAlignment="1">
      <alignment horizontal="center" vertical="center" wrapText="1"/>
    </xf>
    <xf numFmtId="9" fontId="40" fillId="0" borderId="42"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9" fontId="40" fillId="0" borderId="68"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0" xfId="17" applyNumberFormat="1" applyFont="1" applyFill="1" applyBorder="1" applyAlignment="1" applyProtection="1">
      <alignment horizontal="center" vertical="center" wrapText="1"/>
    </xf>
    <xf numFmtId="172" fontId="12" fillId="19" borderId="40"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69"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51"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2" xfId="22" applyNumberFormat="1" applyFont="1" applyBorder="1" applyAlignment="1">
      <alignment horizontal="left" vertical="center" wrapText="1"/>
    </xf>
    <xf numFmtId="9" fontId="40" fillId="0" borderId="68"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63" xfId="0" applyFont="1" applyBorder="1" applyAlignment="1">
      <alignment horizontal="center" vertical="center"/>
    </xf>
    <xf numFmtId="0" fontId="44" fillId="0" borderId="65" xfId="0" applyFont="1" applyBorder="1" applyAlignment="1">
      <alignment horizontal="center" vertical="center"/>
    </xf>
    <xf numFmtId="0" fontId="11" fillId="0" borderId="63"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65" xfId="22" applyFont="1" applyBorder="1" applyAlignment="1">
      <alignment horizontal="center" vertical="center" wrapText="1"/>
    </xf>
    <xf numFmtId="0" fontId="12" fillId="31" borderId="5" xfId="0" applyFont="1" applyFill="1" applyBorder="1" applyAlignment="1">
      <alignment horizontal="left" vertical="center" wrapText="1"/>
    </xf>
    <xf numFmtId="0" fontId="12" fillId="31" borderId="1" xfId="0" applyFont="1" applyFill="1" applyBorder="1" applyAlignment="1">
      <alignment horizontal="left" vertical="center" wrapText="1"/>
    </xf>
    <xf numFmtId="0" fontId="12" fillId="31" borderId="9" xfId="0" applyFont="1" applyFill="1" applyBorder="1" applyAlignment="1">
      <alignment horizontal="left" vertical="center" wrapText="1"/>
    </xf>
    <xf numFmtId="0" fontId="41" fillId="0" borderId="40"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3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7"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44" fillId="0" borderId="36" xfId="0" applyFont="1" applyBorder="1" applyAlignment="1">
      <alignment horizontal="center" vertical="center"/>
    </xf>
    <xf numFmtId="9" fontId="40" fillId="0" borderId="52"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62" xfId="22" applyFont="1" applyFill="1" applyBorder="1" applyAlignment="1">
      <alignment horizontal="center" vertical="center" wrapText="1"/>
    </xf>
    <xf numFmtId="0" fontId="12" fillId="19" borderId="58"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1" fillId="29" borderId="2" xfId="0" applyFont="1" applyFill="1" applyBorder="1" applyAlignment="1">
      <alignment horizontal="left" vertical="center" wrapText="1"/>
    </xf>
    <xf numFmtId="0" fontId="11" fillId="29" borderId="58" xfId="0" applyFont="1" applyFill="1" applyBorder="1" applyAlignment="1">
      <alignment horizontal="left" vertical="center" wrapText="1"/>
    </xf>
    <xf numFmtId="0" fontId="11" fillId="29" borderId="5" xfId="0" applyFont="1" applyFill="1" applyBorder="1" applyAlignment="1">
      <alignment horizontal="left" vertical="center" wrapText="1"/>
    </xf>
    <xf numFmtId="0" fontId="12" fillId="29" borderId="2" xfId="0" applyFont="1" applyFill="1" applyBorder="1" applyAlignment="1">
      <alignment horizontal="left" vertical="center" wrapText="1"/>
    </xf>
    <xf numFmtId="0" fontId="12" fillId="29" borderId="58" xfId="0" applyFont="1" applyFill="1" applyBorder="1" applyAlignment="1">
      <alignment horizontal="left" vertical="center" wrapText="1"/>
    </xf>
    <xf numFmtId="0" fontId="12" fillId="29" borderId="5" xfId="0" applyFont="1" applyFill="1" applyBorder="1" applyAlignment="1">
      <alignment horizontal="left" vertical="center" wrapText="1"/>
    </xf>
    <xf numFmtId="0" fontId="12" fillId="32" borderId="51" xfId="0" applyFont="1" applyFill="1" applyBorder="1" applyAlignment="1">
      <alignment horizontal="center" vertical="center" wrapText="1"/>
    </xf>
    <xf numFmtId="0" fontId="12" fillId="32" borderId="22" xfId="0" applyFont="1" applyFill="1" applyBorder="1" applyAlignment="1">
      <alignment horizontal="center" vertical="center" wrapText="1"/>
    </xf>
    <xf numFmtId="0" fontId="12" fillId="32" borderId="23" xfId="0" applyFont="1" applyFill="1" applyBorder="1" applyAlignment="1">
      <alignment horizontal="center" vertical="center" wrapText="1"/>
    </xf>
    <xf numFmtId="0" fontId="12" fillId="32" borderId="68" xfId="0" applyFont="1" applyFill="1" applyBorder="1" applyAlignment="1">
      <alignment horizontal="center" vertical="center" wrapText="1"/>
    </xf>
    <xf numFmtId="0" fontId="12" fillId="32" borderId="0" xfId="0" applyFont="1" applyFill="1" applyAlignment="1">
      <alignment horizontal="center" vertical="center" wrapText="1"/>
    </xf>
    <xf numFmtId="0" fontId="12" fillId="32" borderId="24" xfId="0" applyFont="1" applyFill="1" applyBorder="1" applyAlignment="1">
      <alignment horizontal="center" vertical="center" wrapText="1"/>
    </xf>
    <xf numFmtId="0" fontId="12" fillId="32" borderId="20" xfId="0" applyFont="1" applyFill="1" applyBorder="1" applyAlignment="1">
      <alignment horizontal="center" vertical="center" wrapText="1"/>
    </xf>
    <xf numFmtId="0" fontId="12" fillId="32" borderId="3" xfId="0" applyFont="1" applyFill="1" applyBorder="1" applyAlignment="1">
      <alignment horizontal="center" vertical="center" wrapText="1"/>
    </xf>
    <xf numFmtId="0" fontId="12" fillId="32" borderId="25" xfId="0" applyFont="1" applyFill="1" applyBorder="1" applyAlignment="1">
      <alignment horizontal="center" vertical="center" wrapText="1"/>
    </xf>
    <xf numFmtId="0" fontId="42" fillId="32" borderId="51" xfId="0" applyFont="1" applyFill="1" applyBorder="1" applyAlignment="1">
      <alignment horizontal="center" vertical="center" wrapText="1"/>
    </xf>
    <xf numFmtId="0" fontId="42" fillId="32" borderId="22" xfId="0" applyFont="1" applyFill="1" applyBorder="1" applyAlignment="1">
      <alignment horizontal="center" vertical="center" wrapText="1"/>
    </xf>
    <xf numFmtId="0" fontId="42" fillId="32" borderId="23" xfId="0" applyFont="1" applyFill="1" applyBorder="1" applyAlignment="1">
      <alignment horizontal="center" vertical="center" wrapText="1"/>
    </xf>
    <xf numFmtId="0" fontId="42" fillId="32" borderId="68"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24" xfId="0" applyFont="1" applyFill="1" applyBorder="1" applyAlignment="1">
      <alignment horizontal="center" vertical="center" wrapText="1"/>
    </xf>
    <xf numFmtId="0" fontId="42" fillId="32" borderId="20" xfId="0" applyFont="1" applyFill="1" applyBorder="1" applyAlignment="1">
      <alignment horizontal="center" vertical="center" wrapText="1"/>
    </xf>
    <xf numFmtId="0" fontId="42" fillId="32" borderId="3" xfId="0" applyFont="1" applyFill="1" applyBorder="1" applyAlignment="1">
      <alignment horizontal="center" vertical="center" wrapText="1"/>
    </xf>
    <xf numFmtId="0" fontId="42" fillId="32" borderId="25" xfId="0" applyFont="1" applyFill="1" applyBorder="1" applyAlignment="1">
      <alignment horizontal="center" vertical="center" wrapText="1"/>
    </xf>
    <xf numFmtId="0" fontId="39" fillId="0" borderId="2" xfId="0" applyFont="1" applyBorder="1" applyAlignment="1">
      <alignment horizontal="left" vertical="center"/>
    </xf>
    <xf numFmtId="0" fontId="39" fillId="0" borderId="58" xfId="0" applyFont="1" applyBorder="1" applyAlignment="1">
      <alignment horizontal="left" vertical="center"/>
    </xf>
    <xf numFmtId="0" fontId="39" fillId="0" borderId="3" xfId="0" applyFont="1" applyBorder="1" applyAlignment="1">
      <alignment horizontal="left" vertical="center"/>
    </xf>
    <xf numFmtId="0" fontId="39" fillId="0" borderId="25" xfId="0" applyFont="1" applyBorder="1" applyAlignment="1">
      <alignment horizontal="left" vertical="center"/>
    </xf>
    <xf numFmtId="0" fontId="41" fillId="9" borderId="2" xfId="0" applyFont="1" applyFill="1" applyBorder="1" applyAlignment="1">
      <alignment horizontal="center" vertical="center"/>
    </xf>
    <xf numFmtId="0" fontId="41" fillId="9" borderId="58" xfId="0" applyFont="1" applyFill="1" applyBorder="1" applyAlignment="1">
      <alignment horizontal="center" vertical="center"/>
    </xf>
    <xf numFmtId="0" fontId="41" fillId="9" borderId="5" xfId="0" applyFont="1" applyFill="1" applyBorder="1" applyAlignment="1">
      <alignment horizontal="center" vertical="center"/>
    </xf>
    <xf numFmtId="0" fontId="43" fillId="0" borderId="2" xfId="0" applyFont="1" applyBorder="1" applyAlignment="1">
      <alignment horizontal="left" vertical="center"/>
    </xf>
    <xf numFmtId="0" fontId="43" fillId="0" borderId="58" xfId="0" applyFont="1" applyBorder="1" applyAlignment="1">
      <alignment horizontal="left" vertical="center"/>
    </xf>
    <xf numFmtId="0" fontId="43" fillId="0" borderId="5" xfId="0" applyFont="1" applyBorder="1" applyAlignment="1">
      <alignment horizontal="left" vertical="center"/>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2" xfId="0" applyFont="1" applyFill="1" applyBorder="1" applyAlignment="1">
      <alignment horizontal="center" vertical="center" wrapText="1"/>
    </xf>
    <xf numFmtId="0" fontId="41" fillId="9" borderId="58"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51"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8"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0" xfId="0" applyFont="1" applyFill="1" applyAlignment="1">
      <alignment horizontal="center" vertical="center"/>
    </xf>
    <xf numFmtId="0" fontId="41" fillId="9" borderId="3" xfId="0" applyFont="1" applyFill="1" applyBorder="1" applyAlignment="1">
      <alignment horizontal="center" vertical="center"/>
    </xf>
    <xf numFmtId="0" fontId="41" fillId="9" borderId="1" xfId="0" applyFont="1" applyFill="1" applyBorder="1" applyAlignment="1">
      <alignment horizontal="center" vertical="center"/>
    </xf>
    <xf numFmtId="15"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9" borderId="2" xfId="0" applyFont="1" applyFill="1" applyBorder="1" applyAlignment="1">
      <alignment horizontal="left" vertical="center"/>
    </xf>
    <xf numFmtId="0" fontId="41" fillId="9" borderId="58" xfId="0" applyFont="1" applyFill="1" applyBorder="1" applyAlignment="1">
      <alignment horizontal="left" vertical="center"/>
    </xf>
    <xf numFmtId="0" fontId="41" fillId="9" borderId="5" xfId="0" applyFont="1" applyFill="1" applyBorder="1" applyAlignment="1">
      <alignment horizontal="left"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8" xfId="0" applyFont="1" applyBorder="1" applyAlignment="1">
      <alignment horizontal="center" vertical="center"/>
    </xf>
    <xf numFmtId="0" fontId="41" fillId="0" borderId="5" xfId="0" applyFont="1" applyBorder="1" applyAlignment="1">
      <alignment horizontal="center" vertical="center"/>
    </xf>
    <xf numFmtId="0" fontId="41" fillId="0" borderId="51"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1" xfId="0" applyFont="1" applyFill="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41" fillId="0" borderId="51"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41" fontId="39" fillId="0" borderId="51" xfId="12" applyFont="1" applyFill="1" applyBorder="1" applyAlignment="1">
      <alignment horizontal="left" vertical="center"/>
    </xf>
    <xf numFmtId="41" fontId="39" fillId="0" borderId="68" xfId="12" applyFont="1" applyFill="1" applyBorder="1" applyAlignment="1">
      <alignment horizontal="left" vertical="center"/>
    </xf>
    <xf numFmtId="41" fontId="39" fillId="0" borderId="20" xfId="12"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410" name="Picture 47">
          <a:extLst>
            <a:ext uri="{FF2B5EF4-FFF2-40B4-BE49-F238E27FC236}">
              <a16:creationId xmlns:a16="http://schemas.microsoft.com/office/drawing/2014/main" id="{FCCDA58B-C1B8-4D80-A8D0-04EDE8EBE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34" name="Picture 47">
          <a:extLst>
            <a:ext uri="{FF2B5EF4-FFF2-40B4-BE49-F238E27FC236}">
              <a16:creationId xmlns:a16="http://schemas.microsoft.com/office/drawing/2014/main" id="{1DFD8575-CE19-4951-A412-87B4878D8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28" name="Picture 47">
          <a:extLst>
            <a:ext uri="{FF2B5EF4-FFF2-40B4-BE49-F238E27FC236}">
              <a16:creationId xmlns:a16="http://schemas.microsoft.com/office/drawing/2014/main" id="{75987330-120B-4F08-BE20-E419B1B6C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56" name="Picture 47">
          <a:extLst>
            <a:ext uri="{FF2B5EF4-FFF2-40B4-BE49-F238E27FC236}">
              <a16:creationId xmlns:a16="http://schemas.microsoft.com/office/drawing/2014/main" id="{234CD396-FA22-4AC6-B657-8A112C7B0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58" name="Picture 47">
          <a:extLst>
            <a:ext uri="{FF2B5EF4-FFF2-40B4-BE49-F238E27FC236}">
              <a16:creationId xmlns:a16="http://schemas.microsoft.com/office/drawing/2014/main" id="{8D62B700-8FB1-43CF-8EE1-0B1CABEB7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276" name="Picture 47">
          <a:extLst>
            <a:ext uri="{FF2B5EF4-FFF2-40B4-BE49-F238E27FC236}">
              <a16:creationId xmlns:a16="http://schemas.microsoft.com/office/drawing/2014/main" id="{FA018FDF-2964-4DF7-8F09-F9346EC65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27" name="Picture 47">
          <a:extLst>
            <a:ext uri="{FF2B5EF4-FFF2-40B4-BE49-F238E27FC236}">
              <a16:creationId xmlns:a16="http://schemas.microsoft.com/office/drawing/2014/main" id="{F1599452-F641-469C-91C2-90F8E0E3D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21F85F54-ADD0-5049-A36A-B4C8C7F77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48F0D7-EB6F-5C4E-97CE-50459CE336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303" name="Picture 47">
          <a:extLst>
            <a:ext uri="{FF2B5EF4-FFF2-40B4-BE49-F238E27FC236}">
              <a16:creationId xmlns:a16="http://schemas.microsoft.com/office/drawing/2014/main" id="{EC90699E-9ECF-49D8-808B-9E5EA9E67A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customProperty" Target="../customProperty8.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ustomProperty" Target="../customProperty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customProperty" Target="../customProperty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customProperty" Target="../customProperty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customProperty" Target="../customProperty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4.bin"/><Relationship Id="rId5" Type="http://schemas.openxmlformats.org/officeDocument/2006/relationships/comments" Target="../comments9.xm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BA85"/>
  <sheetViews>
    <sheetView showGridLines="0" topLeftCell="R34" zoomScale="60" zoomScaleNormal="60" workbookViewId="0">
      <selection activeCell="AA34" sqref="AA34:AD35"/>
    </sheetView>
  </sheetViews>
  <sheetFormatPr baseColWidth="10" defaultColWidth="9.140625" defaultRowHeight="15" x14ac:dyDescent="0.25"/>
  <cols>
    <col min="1" max="1" width="37" style="50" customWidth="1"/>
    <col min="2" max="2" width="9.140625" style="50"/>
    <col min="3" max="3" width="20.28515625" style="50" bestFit="1" customWidth="1"/>
    <col min="4" max="4" width="13.28515625" style="50" bestFit="1" customWidth="1"/>
    <col min="5" max="5" width="22.140625" style="50" bestFit="1" customWidth="1"/>
    <col min="6" max="6" width="12" style="50" bestFit="1" customWidth="1"/>
    <col min="7" max="7" width="9.7109375" style="50" bestFit="1" customWidth="1"/>
    <col min="8" max="8" width="13" style="50" bestFit="1" customWidth="1"/>
    <col min="9" max="14" width="9.7109375" style="50" bestFit="1" customWidth="1"/>
    <col min="15" max="15" width="14.140625" style="50" bestFit="1" customWidth="1"/>
    <col min="16" max="16" width="19.28515625" style="50" customWidth="1"/>
    <col min="17" max="19" width="27.140625" style="50" customWidth="1"/>
    <col min="20" max="22" width="24.85546875" style="50" customWidth="1"/>
    <col min="23" max="26" width="17.28515625" style="50" customWidth="1"/>
    <col min="27" max="30" width="20.140625" style="50" customWidth="1"/>
    <col min="31" max="31" width="9.140625" style="50"/>
    <col min="32" max="32" width="12.7109375" style="50" bestFit="1" customWidth="1"/>
    <col min="33" max="16384" width="9.140625" style="50"/>
  </cols>
  <sheetData>
    <row r="1" spans="1:53" ht="32.25" customHeight="1" thickBot="1" x14ac:dyDescent="0.3">
      <c r="A1" s="443"/>
      <c r="B1" s="446"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8"/>
      <c r="AB1" s="449" t="s">
        <v>1</v>
      </c>
      <c r="AC1" s="450"/>
      <c r="AD1" s="451"/>
    </row>
    <row r="2" spans="1:53" ht="30.75" customHeight="1" thickBot="1" x14ac:dyDescent="0.3">
      <c r="A2" s="444"/>
      <c r="B2" s="446" t="s">
        <v>2</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470" t="s">
        <v>3</v>
      </c>
      <c r="AC2" s="471"/>
      <c r="AD2" s="472"/>
    </row>
    <row r="3" spans="1:53" ht="24" customHeight="1" x14ac:dyDescent="0.25">
      <c r="A3" s="444"/>
      <c r="B3" s="473" t="s">
        <v>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470" t="s">
        <v>5</v>
      </c>
      <c r="AC3" s="471"/>
      <c r="AD3" s="472"/>
    </row>
    <row r="4" spans="1:53" ht="21.95" customHeight="1" thickBot="1" x14ac:dyDescent="0.3">
      <c r="A4" s="445"/>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64" t="s">
        <v>7</v>
      </c>
      <c r="B7" s="465"/>
      <c r="C7" s="500" t="s">
        <v>8</v>
      </c>
      <c r="D7" s="464" t="s">
        <v>9</v>
      </c>
      <c r="E7" s="482"/>
      <c r="F7" s="482"/>
      <c r="G7" s="482"/>
      <c r="H7" s="465"/>
      <c r="I7" s="485">
        <v>45113</v>
      </c>
      <c r="J7" s="486"/>
      <c r="K7" s="464" t="s">
        <v>10</v>
      </c>
      <c r="L7" s="465"/>
      <c r="M7" s="456" t="s">
        <v>11</v>
      </c>
      <c r="N7" s="457"/>
      <c r="O7" s="458"/>
      <c r="P7" s="459"/>
      <c r="Q7" s="54"/>
      <c r="R7" s="54"/>
      <c r="S7" s="54"/>
      <c r="T7" s="54"/>
      <c r="U7" s="54"/>
      <c r="V7" s="54"/>
      <c r="W7" s="54"/>
      <c r="X7" s="54"/>
      <c r="Y7" s="54"/>
      <c r="Z7" s="55"/>
      <c r="AA7" s="54"/>
      <c r="AB7" s="54"/>
      <c r="AC7" s="60"/>
      <c r="AD7" s="61"/>
    </row>
    <row r="8" spans="1:53" ht="15" customHeight="1" x14ac:dyDescent="0.25">
      <c r="A8" s="466"/>
      <c r="B8" s="467"/>
      <c r="C8" s="501"/>
      <c r="D8" s="466"/>
      <c r="E8" s="483"/>
      <c r="F8" s="483"/>
      <c r="G8" s="483"/>
      <c r="H8" s="467"/>
      <c r="I8" s="487"/>
      <c r="J8" s="488"/>
      <c r="K8" s="466"/>
      <c r="L8" s="467"/>
      <c r="M8" s="460" t="s">
        <v>12</v>
      </c>
      <c r="N8" s="461"/>
      <c r="O8" s="462" t="s">
        <v>14</v>
      </c>
      <c r="P8" s="463"/>
      <c r="Q8" s="54"/>
      <c r="R8" s="54"/>
      <c r="S8" s="54"/>
      <c r="T8" s="54"/>
      <c r="U8" s="54"/>
      <c r="V8" s="54"/>
      <c r="W8" s="54"/>
      <c r="X8" s="54"/>
      <c r="Y8" s="54"/>
      <c r="Z8" s="55"/>
      <c r="AA8" s="54"/>
      <c r="AB8" s="54"/>
      <c r="AC8" s="60"/>
      <c r="AD8" s="61"/>
    </row>
    <row r="9" spans="1:53" ht="15.75" customHeight="1" thickBot="1" x14ac:dyDescent="0.3">
      <c r="A9" s="468"/>
      <c r="B9" s="469"/>
      <c r="C9" s="502"/>
      <c r="D9" s="468"/>
      <c r="E9" s="484"/>
      <c r="F9" s="484"/>
      <c r="G9" s="484"/>
      <c r="H9" s="469"/>
      <c r="I9" s="489"/>
      <c r="J9" s="490"/>
      <c r="K9" s="468"/>
      <c r="L9" s="469"/>
      <c r="M9" s="452" t="s">
        <v>13</v>
      </c>
      <c r="N9" s="453"/>
      <c r="O9" s="454" t="s">
        <v>14</v>
      </c>
      <c r="P9" s="455"/>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64" t="s">
        <v>15</v>
      </c>
      <c r="B11" s="465"/>
      <c r="C11" s="491" t="s">
        <v>16</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3"/>
      <c r="BA11" s="327"/>
    </row>
    <row r="12" spans="1:53" ht="15" customHeight="1" x14ac:dyDescent="0.25">
      <c r="A12" s="466"/>
      <c r="B12" s="467"/>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6"/>
      <c r="BA12" s="327"/>
    </row>
    <row r="13" spans="1:53" ht="15" customHeight="1" thickBot="1" x14ac:dyDescent="0.3">
      <c r="A13" s="468"/>
      <c r="B13" s="469"/>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9"/>
      <c r="BA13" s="327"/>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7"/>
    </row>
    <row r="15" spans="1:53" ht="39" customHeight="1" thickBot="1" x14ac:dyDescent="0.3">
      <c r="A15" s="528" t="s">
        <v>17</v>
      </c>
      <c r="B15" s="529"/>
      <c r="C15" s="538" t="s">
        <v>18</v>
      </c>
      <c r="D15" s="539"/>
      <c r="E15" s="539"/>
      <c r="F15" s="539"/>
      <c r="G15" s="539"/>
      <c r="H15" s="539"/>
      <c r="I15" s="539"/>
      <c r="J15" s="539"/>
      <c r="K15" s="540"/>
      <c r="L15" s="503" t="s">
        <v>19</v>
      </c>
      <c r="M15" s="504"/>
      <c r="N15" s="504"/>
      <c r="O15" s="504"/>
      <c r="P15" s="504"/>
      <c r="Q15" s="505"/>
      <c r="R15" s="533" t="s">
        <v>20</v>
      </c>
      <c r="S15" s="534"/>
      <c r="T15" s="534"/>
      <c r="U15" s="534"/>
      <c r="V15" s="534"/>
      <c r="W15" s="534"/>
      <c r="X15" s="535"/>
      <c r="Y15" s="503" t="s">
        <v>21</v>
      </c>
      <c r="Z15" s="505"/>
      <c r="AA15" s="524" t="s">
        <v>22</v>
      </c>
      <c r="AB15" s="525"/>
      <c r="AC15" s="525"/>
      <c r="AD15" s="526"/>
      <c r="BA15" s="327"/>
    </row>
    <row r="16" spans="1:53" ht="105" customHeight="1" thickBot="1" x14ac:dyDescent="0.3">
      <c r="A16" s="59"/>
      <c r="B16" s="54"/>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73"/>
      <c r="AD16" s="74"/>
      <c r="AX16" s="388" t="s">
        <v>23</v>
      </c>
      <c r="BA16" s="327"/>
    </row>
    <row r="17" spans="1:53" s="76" customFormat="1" ht="37.5" customHeight="1" thickBot="1" x14ac:dyDescent="0.3">
      <c r="A17" s="528" t="s">
        <v>24</v>
      </c>
      <c r="B17" s="529"/>
      <c r="C17" s="530" t="s">
        <v>25</v>
      </c>
      <c r="D17" s="531"/>
      <c r="E17" s="531"/>
      <c r="F17" s="531"/>
      <c r="G17" s="531"/>
      <c r="H17" s="531"/>
      <c r="I17" s="531"/>
      <c r="J17" s="531"/>
      <c r="K17" s="531"/>
      <c r="L17" s="531"/>
      <c r="M17" s="531"/>
      <c r="N17" s="531"/>
      <c r="O17" s="531"/>
      <c r="P17" s="531"/>
      <c r="Q17" s="532"/>
      <c r="R17" s="503" t="s">
        <v>26</v>
      </c>
      <c r="S17" s="504"/>
      <c r="T17" s="504"/>
      <c r="U17" s="504"/>
      <c r="V17" s="505"/>
      <c r="W17" s="536">
        <v>1</v>
      </c>
      <c r="X17" s="537"/>
      <c r="Y17" s="504" t="s">
        <v>27</v>
      </c>
      <c r="Z17" s="504"/>
      <c r="AA17" s="504"/>
      <c r="AB17" s="505"/>
      <c r="AC17" s="514">
        <v>0.1</v>
      </c>
      <c r="AD17" s="515"/>
      <c r="AX17" s="387"/>
      <c r="BA17" s="328"/>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AF18" s="83">
        <f>+AC22+'Meta 2'!AC22+'Meta 3'!AC22+'Meta 4'!AC22+'Meta 5.'!AC22+'Meta 6.'!AC22+'Meta 7'!AC22</f>
        <v>9602924000</v>
      </c>
      <c r="BA18" s="327"/>
    </row>
    <row r="19" spans="1:53" ht="32.1" customHeight="1" thickBot="1" x14ac:dyDescent="0.3">
      <c r="A19" s="503" t="s">
        <v>28</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f>+AC23+'Meta 2'!AC23+'Meta 3'!AC23+'Meta 4'!AC23+'Meta 5.'!AC23+'Meta 6.'!AC23+'Meta 7'!AC23</f>
        <v>8844440739</v>
      </c>
      <c r="BA19" s="327"/>
    </row>
    <row r="20" spans="1:53" ht="32.1" customHeight="1" thickBot="1" x14ac:dyDescent="0.3">
      <c r="A20" s="82"/>
      <c r="B20" s="60"/>
      <c r="C20" s="509" t="s">
        <v>29</v>
      </c>
      <c r="D20" s="510"/>
      <c r="E20" s="510"/>
      <c r="F20" s="510"/>
      <c r="G20" s="510"/>
      <c r="H20" s="510"/>
      <c r="I20" s="510"/>
      <c r="J20" s="510"/>
      <c r="K20" s="510"/>
      <c r="L20" s="510"/>
      <c r="M20" s="510"/>
      <c r="N20" s="510"/>
      <c r="O20" s="510"/>
      <c r="P20" s="511"/>
      <c r="Q20" s="506" t="s">
        <v>30</v>
      </c>
      <c r="R20" s="507"/>
      <c r="S20" s="507"/>
      <c r="T20" s="507"/>
      <c r="U20" s="507"/>
      <c r="V20" s="507"/>
      <c r="W20" s="507"/>
      <c r="X20" s="507"/>
      <c r="Y20" s="507"/>
      <c r="Z20" s="507"/>
      <c r="AA20" s="507"/>
      <c r="AB20" s="507"/>
      <c r="AC20" s="507"/>
      <c r="AD20" s="508"/>
      <c r="AE20" s="83"/>
      <c r="AF20" s="83">
        <f>+AC25+'Meta 2'!AC25+'Meta 3'!AC25+'Meta 4'!AC25+'Meta 5.'!AC25+'Meta 6.'!AC25+'Meta 7'!AC25</f>
        <v>3062139002</v>
      </c>
      <c r="BA20" s="327"/>
    </row>
    <row r="21" spans="1:53" ht="32.1" customHeight="1" thickBot="1" x14ac:dyDescent="0.3">
      <c r="A21" s="59"/>
      <c r="B21" s="54"/>
      <c r="C21" s="353" t="s">
        <v>31</v>
      </c>
      <c r="D21" s="352" t="s">
        <v>32</v>
      </c>
      <c r="E21" s="352" t="s">
        <v>33</v>
      </c>
      <c r="F21" s="352" t="s">
        <v>34</v>
      </c>
      <c r="G21" s="352" t="s">
        <v>35</v>
      </c>
      <c r="H21" s="352" t="s">
        <v>8</v>
      </c>
      <c r="I21" s="352" t="s">
        <v>36</v>
      </c>
      <c r="J21" s="352" t="s">
        <v>37</v>
      </c>
      <c r="K21" s="352" t="s">
        <v>38</v>
      </c>
      <c r="L21" s="352" t="s">
        <v>39</v>
      </c>
      <c r="M21" s="352" t="s">
        <v>40</v>
      </c>
      <c r="N21" s="352" t="s">
        <v>41</v>
      </c>
      <c r="O21" s="352" t="s">
        <v>42</v>
      </c>
      <c r="P21" s="354" t="s">
        <v>43</v>
      </c>
      <c r="Q21" s="353" t="s">
        <v>31</v>
      </c>
      <c r="R21" s="352" t="s">
        <v>32</v>
      </c>
      <c r="S21" s="352" t="s">
        <v>33</v>
      </c>
      <c r="T21" s="352" t="s">
        <v>34</v>
      </c>
      <c r="U21" s="352" t="s">
        <v>35</v>
      </c>
      <c r="V21" s="352" t="s">
        <v>8</v>
      </c>
      <c r="W21" s="352" t="s">
        <v>36</v>
      </c>
      <c r="X21" s="352" t="s">
        <v>37</v>
      </c>
      <c r="Y21" s="352" t="s">
        <v>38</v>
      </c>
      <c r="Z21" s="352" t="s">
        <v>39</v>
      </c>
      <c r="AA21" s="352" t="s">
        <v>40</v>
      </c>
      <c r="AB21" s="352" t="s">
        <v>41</v>
      </c>
      <c r="AC21" s="352" t="s">
        <v>42</v>
      </c>
      <c r="AD21" s="354" t="s">
        <v>43</v>
      </c>
      <c r="AE21" s="3"/>
      <c r="BA21" s="327"/>
    </row>
    <row r="22" spans="1:53" ht="32.1" customHeight="1" x14ac:dyDescent="0.25">
      <c r="A22" s="512" t="s">
        <v>44</v>
      </c>
      <c r="B22" s="513"/>
      <c r="C22" s="355"/>
      <c r="D22" s="356"/>
      <c r="E22" s="356"/>
      <c r="F22" s="356"/>
      <c r="G22" s="356"/>
      <c r="H22" s="356"/>
      <c r="I22" s="356"/>
      <c r="J22" s="356"/>
      <c r="K22" s="356"/>
      <c r="L22" s="356"/>
      <c r="M22" s="356"/>
      <c r="N22" s="356"/>
      <c r="O22" s="356">
        <f>SUM(C22:N22)</f>
        <v>0</v>
      </c>
      <c r="P22" s="431"/>
      <c r="Q22" s="361">
        <v>270886100</v>
      </c>
      <c r="R22" s="356"/>
      <c r="S22" s="356"/>
      <c r="T22" s="356">
        <v>21559511</v>
      </c>
      <c r="U22" s="356"/>
      <c r="V22" s="356">
        <f>2139478+34249272-13570647</f>
        <v>22818103</v>
      </c>
      <c r="W22" s="356"/>
      <c r="X22" s="356"/>
      <c r="Y22" s="356"/>
      <c r="Z22" s="356"/>
      <c r="AA22" s="356"/>
      <c r="AB22" s="356"/>
      <c r="AC22" s="429">
        <f>SUM(Q22:AB22)</f>
        <v>315263714</v>
      </c>
      <c r="AD22" s="357"/>
      <c r="AE22" s="3"/>
      <c r="AF22" s="442" t="s">
        <v>46</v>
      </c>
      <c r="AG22" s="442"/>
      <c r="AH22" s="442"/>
      <c r="AI22" s="442"/>
      <c r="AJ22" s="442"/>
      <c r="AK22" s="442"/>
      <c r="AL22" s="442"/>
      <c r="AM22" s="442"/>
    </row>
    <row r="23" spans="1:53" ht="32.1" customHeight="1" x14ac:dyDescent="0.25">
      <c r="A23" s="520" t="s">
        <v>47</v>
      </c>
      <c r="B23" s="521"/>
      <c r="C23" s="175"/>
      <c r="D23" s="174"/>
      <c r="E23" s="174"/>
      <c r="F23" s="174"/>
      <c r="G23" s="174"/>
      <c r="H23" s="174"/>
      <c r="I23" s="174"/>
      <c r="J23" s="174"/>
      <c r="K23" s="174"/>
      <c r="L23" s="174"/>
      <c r="M23" s="174"/>
      <c r="N23" s="174"/>
      <c r="O23" s="174">
        <f>SUM(C23:N23)</f>
        <v>0</v>
      </c>
      <c r="P23" s="432"/>
      <c r="Q23" s="359">
        <v>42119000</v>
      </c>
      <c r="R23" s="174">
        <v>143641483</v>
      </c>
      <c r="S23" s="174">
        <v>72012067</v>
      </c>
      <c r="T23" s="174">
        <v>-5686083</v>
      </c>
      <c r="U23" s="174">
        <v>21983446</v>
      </c>
      <c r="V23" s="174">
        <v>11200000</v>
      </c>
      <c r="W23" s="174"/>
      <c r="X23" s="174"/>
      <c r="Y23" s="174"/>
      <c r="Z23" s="174"/>
      <c r="AA23" s="174"/>
      <c r="AB23" s="174"/>
      <c r="AC23" s="430">
        <f>SUM(Q23:AB23)</f>
        <v>285269913</v>
      </c>
      <c r="AD23" s="182">
        <f>+AC23/AC22</f>
        <v>0.90486123309452604</v>
      </c>
      <c r="AE23" s="3"/>
      <c r="AF23" s="442"/>
      <c r="AG23" s="442"/>
      <c r="AH23" s="442"/>
      <c r="AI23" s="442"/>
      <c r="AJ23" s="442"/>
      <c r="AK23" s="442"/>
      <c r="AL23" s="442"/>
      <c r="AM23" s="442"/>
    </row>
    <row r="24" spans="1:53" ht="32.1" customHeight="1" x14ac:dyDescent="0.25">
      <c r="A24" s="520" t="s">
        <v>49</v>
      </c>
      <c r="B24" s="521"/>
      <c r="C24" s="175">
        <v>19304536</v>
      </c>
      <c r="D24" s="174">
        <f>1+1+3347500+1081500+432600+475860+4505045</f>
        <v>9842507</v>
      </c>
      <c r="E24" s="174"/>
      <c r="F24" s="174"/>
      <c r="G24" s="174"/>
      <c r="H24" s="174">
        <v>-3467667</v>
      </c>
      <c r="I24" s="174"/>
      <c r="J24" s="174"/>
      <c r="K24" s="174"/>
      <c r="L24" s="174"/>
      <c r="M24" s="174"/>
      <c r="N24" s="174"/>
      <c r="O24" s="213">
        <f>SUM(C24:N24)</f>
        <v>25679376</v>
      </c>
      <c r="P24" s="360"/>
      <c r="Q24" s="359"/>
      <c r="R24" s="174">
        <v>11387300</v>
      </c>
      <c r="S24" s="174">
        <v>23590800</v>
      </c>
      <c r="T24" s="174">
        <v>23590800</v>
      </c>
      <c r="U24" s="174">
        <f>23590800+21559511</f>
        <v>45150311</v>
      </c>
      <c r="V24" s="174">
        <f>23590800-13570647</f>
        <v>10020153</v>
      </c>
      <c r="W24" s="174">
        <f>23590800+2139478+11416424</f>
        <v>37146702</v>
      </c>
      <c r="X24" s="174">
        <v>23590800</v>
      </c>
      <c r="Y24" s="174">
        <f>23590800+11416424</f>
        <v>35007224</v>
      </c>
      <c r="Z24" s="174">
        <v>23590800</v>
      </c>
      <c r="AA24" s="174">
        <f>23590800+11416424</f>
        <v>35007224</v>
      </c>
      <c r="AB24" s="174">
        <v>47181600</v>
      </c>
      <c r="AC24" s="213">
        <f>SUM(Q24:AB24)</f>
        <v>315263714</v>
      </c>
      <c r="AD24" s="182"/>
      <c r="AE24" s="3"/>
      <c r="AF24" s="442"/>
      <c r="AG24" s="442"/>
      <c r="AH24" s="442"/>
      <c r="AI24" s="442"/>
      <c r="AJ24" s="442"/>
      <c r="AK24" s="442"/>
      <c r="AL24" s="442"/>
      <c r="AM24" s="442"/>
    </row>
    <row r="25" spans="1:53" ht="32.1" customHeight="1" thickBot="1" x14ac:dyDescent="0.3">
      <c r="A25" s="522" t="s">
        <v>50</v>
      </c>
      <c r="B25" s="523"/>
      <c r="C25" s="358">
        <v>1437194</v>
      </c>
      <c r="D25" s="176">
        <v>18698717</v>
      </c>
      <c r="E25" s="176" t="s">
        <v>51</v>
      </c>
      <c r="F25" s="176">
        <v>5151217</v>
      </c>
      <c r="G25" s="176">
        <v>0</v>
      </c>
      <c r="H25" s="176">
        <v>382121</v>
      </c>
      <c r="I25" s="176"/>
      <c r="J25" s="176"/>
      <c r="K25" s="176"/>
      <c r="L25" s="176"/>
      <c r="M25" s="176"/>
      <c r="N25" s="176"/>
      <c r="O25" s="176">
        <f>SUM(C25:N25)</f>
        <v>25669249</v>
      </c>
      <c r="P25" s="183">
        <f>+O25/O24</f>
        <v>0.99960563683478909</v>
      </c>
      <c r="Q25" s="362" t="s">
        <v>52</v>
      </c>
      <c r="R25" s="176">
        <v>944066</v>
      </c>
      <c r="S25" s="176">
        <v>6845767</v>
      </c>
      <c r="T25" s="176">
        <v>20800384</v>
      </c>
      <c r="U25" s="176">
        <v>24932000</v>
      </c>
      <c r="V25" s="176">
        <v>24884866</v>
      </c>
      <c r="W25" s="176"/>
      <c r="X25" s="176"/>
      <c r="Y25" s="176"/>
      <c r="Z25" s="176"/>
      <c r="AA25" s="176"/>
      <c r="AB25" s="176"/>
      <c r="AC25" s="176">
        <f>SUM(Q25:AB25)</f>
        <v>78407083</v>
      </c>
      <c r="AD25" s="183">
        <f>+AC25/AC23</f>
        <v>0.27485226947154429</v>
      </c>
      <c r="AE25" s="3"/>
      <c r="AF25" s="442"/>
      <c r="AG25" s="442"/>
      <c r="AH25" s="442"/>
      <c r="AI25" s="442"/>
      <c r="AJ25" s="442"/>
      <c r="AK25" s="442"/>
      <c r="AL25" s="442"/>
      <c r="AM25" s="44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516" t="s">
        <v>53</v>
      </c>
      <c r="B27" s="517"/>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row>
    <row r="28" spans="1:53" ht="15" customHeight="1" x14ac:dyDescent="0.25">
      <c r="A28" s="541" t="s">
        <v>54</v>
      </c>
      <c r="B28" s="543" t="s">
        <v>55</v>
      </c>
      <c r="C28" s="544"/>
      <c r="D28" s="521" t="s">
        <v>56</v>
      </c>
      <c r="E28" s="547"/>
      <c r="F28" s="547"/>
      <c r="G28" s="547"/>
      <c r="H28" s="547"/>
      <c r="I28" s="547"/>
      <c r="J28" s="547"/>
      <c r="K28" s="547"/>
      <c r="L28" s="547"/>
      <c r="M28" s="547"/>
      <c r="N28" s="547"/>
      <c r="O28" s="548"/>
      <c r="P28" s="549" t="s">
        <v>42</v>
      </c>
      <c r="Q28" s="549" t="s">
        <v>57</v>
      </c>
      <c r="R28" s="549"/>
      <c r="S28" s="549"/>
      <c r="T28" s="549"/>
      <c r="U28" s="549"/>
      <c r="V28" s="549"/>
      <c r="W28" s="549"/>
      <c r="X28" s="549"/>
      <c r="Y28" s="549"/>
      <c r="Z28" s="549"/>
      <c r="AA28" s="549"/>
      <c r="AB28" s="549"/>
      <c r="AC28" s="549"/>
      <c r="AD28" s="550"/>
    </row>
    <row r="29" spans="1:53" ht="27" customHeight="1" x14ac:dyDescent="0.25">
      <c r="A29" s="542"/>
      <c r="B29" s="545"/>
      <c r="C29" s="546"/>
      <c r="D29" s="88" t="s">
        <v>31</v>
      </c>
      <c r="E29" s="88" t="s">
        <v>32</v>
      </c>
      <c r="F29" s="88" t="s">
        <v>33</v>
      </c>
      <c r="G29" s="88" t="s">
        <v>34</v>
      </c>
      <c r="H29" s="88" t="s">
        <v>35</v>
      </c>
      <c r="I29" s="88" t="s">
        <v>8</v>
      </c>
      <c r="J29" s="88" t="s">
        <v>36</v>
      </c>
      <c r="K29" s="88" t="s">
        <v>37</v>
      </c>
      <c r="L29" s="88" t="s">
        <v>38</v>
      </c>
      <c r="M29" s="88" t="s">
        <v>39</v>
      </c>
      <c r="N29" s="88" t="s">
        <v>40</v>
      </c>
      <c r="O29" s="88" t="s">
        <v>41</v>
      </c>
      <c r="P29" s="548"/>
      <c r="Q29" s="549"/>
      <c r="R29" s="549"/>
      <c r="S29" s="549"/>
      <c r="T29" s="549"/>
      <c r="U29" s="549"/>
      <c r="V29" s="549"/>
      <c r="W29" s="549"/>
      <c r="X29" s="549"/>
      <c r="Y29" s="549"/>
      <c r="Z29" s="549"/>
      <c r="AA29" s="549"/>
      <c r="AB29" s="549"/>
      <c r="AC29" s="549"/>
      <c r="AD29" s="550"/>
    </row>
    <row r="30" spans="1:53" ht="68.25" customHeight="1" thickBot="1" x14ac:dyDescent="0.3">
      <c r="A30" s="85" t="s">
        <v>58</v>
      </c>
      <c r="B30" s="551"/>
      <c r="C30" s="552"/>
      <c r="D30" s="89"/>
      <c r="E30" s="89"/>
      <c r="F30" s="89"/>
      <c r="G30" s="89"/>
      <c r="H30" s="89"/>
      <c r="I30" s="89"/>
      <c r="J30" s="89"/>
      <c r="K30" s="89"/>
      <c r="L30" s="89"/>
      <c r="M30" s="89"/>
      <c r="N30" s="89"/>
      <c r="O30" s="89"/>
      <c r="P30" s="86">
        <f>SUM(D30:O30)</f>
        <v>0</v>
      </c>
      <c r="Q30" s="553"/>
      <c r="R30" s="553"/>
      <c r="S30" s="553"/>
      <c r="T30" s="553"/>
      <c r="U30" s="553"/>
      <c r="V30" s="553"/>
      <c r="W30" s="553"/>
      <c r="X30" s="553"/>
      <c r="Y30" s="553"/>
      <c r="Z30" s="553"/>
      <c r="AA30" s="553"/>
      <c r="AB30" s="553"/>
      <c r="AC30" s="553"/>
      <c r="AD30" s="554"/>
    </row>
    <row r="31" spans="1:53" ht="45" customHeight="1" thickBot="1" x14ac:dyDescent="0.3">
      <c r="A31" s="555" t="s">
        <v>59</v>
      </c>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7"/>
    </row>
    <row r="32" spans="1:53" ht="23.1" customHeight="1" x14ac:dyDescent="0.25">
      <c r="A32" s="512" t="s">
        <v>60</v>
      </c>
      <c r="B32" s="558" t="s">
        <v>61</v>
      </c>
      <c r="C32" s="559" t="s">
        <v>55</v>
      </c>
      <c r="D32" s="561" t="s">
        <v>62</v>
      </c>
      <c r="E32" s="558"/>
      <c r="F32" s="558"/>
      <c r="G32" s="558"/>
      <c r="H32" s="558"/>
      <c r="I32" s="558"/>
      <c r="J32" s="558"/>
      <c r="K32" s="558"/>
      <c r="L32" s="558"/>
      <c r="M32" s="558"/>
      <c r="N32" s="558"/>
      <c r="O32" s="558"/>
      <c r="P32" s="559"/>
      <c r="Q32" s="561" t="s">
        <v>63</v>
      </c>
      <c r="R32" s="558"/>
      <c r="S32" s="558"/>
      <c r="T32" s="558"/>
      <c r="U32" s="558"/>
      <c r="V32" s="558"/>
      <c r="W32" s="558"/>
      <c r="X32" s="558"/>
      <c r="Y32" s="558"/>
      <c r="Z32" s="558"/>
      <c r="AA32" s="558"/>
      <c r="AB32" s="558"/>
      <c r="AC32" s="558"/>
      <c r="AD32" s="559"/>
      <c r="AG32" s="87"/>
      <c r="AH32" s="87"/>
      <c r="AI32" s="87"/>
      <c r="AJ32" s="87"/>
      <c r="AK32" s="87"/>
      <c r="AL32" s="87"/>
      <c r="AM32" s="87"/>
      <c r="AN32" s="87"/>
      <c r="AO32" s="87"/>
    </row>
    <row r="33" spans="1:41" ht="27" customHeight="1" thickBot="1" x14ac:dyDescent="0.3">
      <c r="A33" s="520"/>
      <c r="B33" s="549"/>
      <c r="C33" s="560"/>
      <c r="D33" s="274" t="s">
        <v>31</v>
      </c>
      <c r="E33" s="265" t="s">
        <v>32</v>
      </c>
      <c r="F33" s="265" t="s">
        <v>33</v>
      </c>
      <c r="G33" s="265" t="s">
        <v>34</v>
      </c>
      <c r="H33" s="265" t="s">
        <v>35</v>
      </c>
      <c r="I33" s="265" t="s">
        <v>8</v>
      </c>
      <c r="J33" s="265" t="s">
        <v>36</v>
      </c>
      <c r="K33" s="265" t="s">
        <v>37</v>
      </c>
      <c r="L33" s="265" t="s">
        <v>38</v>
      </c>
      <c r="M33" s="265" t="s">
        <v>39</v>
      </c>
      <c r="N33" s="265" t="s">
        <v>40</v>
      </c>
      <c r="O33" s="265" t="s">
        <v>41</v>
      </c>
      <c r="P33" s="266" t="s">
        <v>42</v>
      </c>
      <c r="Q33" s="548" t="s">
        <v>64</v>
      </c>
      <c r="R33" s="549"/>
      <c r="S33" s="549"/>
      <c r="T33" s="549" t="s">
        <v>65</v>
      </c>
      <c r="U33" s="549"/>
      <c r="V33" s="549"/>
      <c r="W33" s="545" t="s">
        <v>66</v>
      </c>
      <c r="X33" s="562"/>
      <c r="Y33" s="562"/>
      <c r="Z33" s="546"/>
      <c r="AA33" s="545" t="s">
        <v>67</v>
      </c>
      <c r="AB33" s="562"/>
      <c r="AC33" s="562"/>
      <c r="AD33" s="563"/>
      <c r="AG33" s="87"/>
      <c r="AH33" s="87"/>
      <c r="AI33" s="87"/>
      <c r="AJ33" s="87"/>
      <c r="AK33" s="87"/>
      <c r="AL33" s="87"/>
      <c r="AM33" s="87"/>
      <c r="AN33" s="87"/>
      <c r="AO33" s="87"/>
    </row>
    <row r="34" spans="1:41" ht="118.5" customHeight="1" x14ac:dyDescent="0.25">
      <c r="A34" s="564" t="s">
        <v>58</v>
      </c>
      <c r="B34" s="565">
        <v>0.1</v>
      </c>
      <c r="C34" s="276" t="s">
        <v>68</v>
      </c>
      <c r="D34" s="278">
        <f>D69</f>
        <v>6.5120361083249756E-2</v>
      </c>
      <c r="E34" s="257">
        <f t="shared" ref="E34:O34" si="0">E69</f>
        <v>8.512036108324976E-2</v>
      </c>
      <c r="F34" s="257">
        <f t="shared" si="0"/>
        <v>8.6624874623871626E-2</v>
      </c>
      <c r="G34" s="257">
        <f t="shared" si="0"/>
        <v>8.6624874623871626E-2</v>
      </c>
      <c r="H34" s="257">
        <f t="shared" si="0"/>
        <v>8.6624874623871626E-2</v>
      </c>
      <c r="I34" s="257">
        <f t="shared" si="0"/>
        <v>8.6624874623871626E-2</v>
      </c>
      <c r="J34" s="257">
        <f t="shared" si="0"/>
        <v>8.6624874623871626E-2</v>
      </c>
      <c r="K34" s="257">
        <f t="shared" si="0"/>
        <v>8.6624874623871626E-2</v>
      </c>
      <c r="L34" s="257">
        <f t="shared" si="0"/>
        <v>8.6624874623871626E-2</v>
      </c>
      <c r="M34" s="257">
        <f t="shared" si="0"/>
        <v>8.6624874623871626E-2</v>
      </c>
      <c r="N34" s="257">
        <f t="shared" si="0"/>
        <v>8.6624874623871626E-2</v>
      </c>
      <c r="O34" s="257">
        <f t="shared" si="0"/>
        <v>7.0135406218655966E-2</v>
      </c>
      <c r="P34" s="409">
        <f>SUM(D34:O34)</f>
        <v>1</v>
      </c>
      <c r="Q34" s="569" t="s">
        <v>69</v>
      </c>
      <c r="R34" s="570"/>
      <c r="S34" s="575"/>
      <c r="T34" s="577" t="s">
        <v>70</v>
      </c>
      <c r="U34" s="578"/>
      <c r="V34" s="579"/>
      <c r="W34" s="566" t="s">
        <v>574</v>
      </c>
      <c r="X34" s="567"/>
      <c r="Y34" s="567"/>
      <c r="Z34" s="568"/>
      <c r="AA34" s="569" t="s">
        <v>71</v>
      </c>
      <c r="AB34" s="570"/>
      <c r="AC34" s="570"/>
      <c r="AD34" s="571"/>
      <c r="AG34" s="87"/>
      <c r="AH34" s="87"/>
      <c r="AI34" s="87"/>
      <c r="AJ34" s="87"/>
      <c r="AK34" s="87"/>
      <c r="AL34" s="87"/>
      <c r="AM34" s="87"/>
      <c r="AN34" s="87"/>
      <c r="AO34" s="87"/>
    </row>
    <row r="35" spans="1:41" ht="158.1" customHeight="1" thickBot="1" x14ac:dyDescent="0.3">
      <c r="A35" s="476"/>
      <c r="B35" s="477"/>
      <c r="C35" s="270" t="s">
        <v>72</v>
      </c>
      <c r="D35" s="269">
        <f>D66</f>
        <v>6.5120361083249756E-2</v>
      </c>
      <c r="E35" s="259">
        <f t="shared" ref="E35:O35" si="1">E66</f>
        <v>8.512036108324976E-2</v>
      </c>
      <c r="F35" s="259">
        <f t="shared" si="1"/>
        <v>8.6624874623871626E-2</v>
      </c>
      <c r="G35" s="259">
        <f t="shared" si="1"/>
        <v>8.6624874623871626E-2</v>
      </c>
      <c r="H35" s="259">
        <f>H66</f>
        <v>8.6624874623871626E-2</v>
      </c>
      <c r="I35" s="259">
        <f t="shared" si="1"/>
        <v>8.6624874623871626E-2</v>
      </c>
      <c r="J35" s="259">
        <f t="shared" si="1"/>
        <v>0</v>
      </c>
      <c r="K35" s="259">
        <f t="shared" si="1"/>
        <v>0</v>
      </c>
      <c r="L35" s="259">
        <f t="shared" si="1"/>
        <v>0</v>
      </c>
      <c r="M35" s="259">
        <f t="shared" si="1"/>
        <v>0</v>
      </c>
      <c r="N35" s="259">
        <f t="shared" si="1"/>
        <v>0</v>
      </c>
      <c r="O35" s="259">
        <f t="shared" si="1"/>
        <v>0</v>
      </c>
      <c r="P35" s="410">
        <f>SUM(D35:O35)</f>
        <v>0.49674022066198609</v>
      </c>
      <c r="Q35" s="572"/>
      <c r="R35" s="573"/>
      <c r="S35" s="576"/>
      <c r="T35" s="580"/>
      <c r="U35" s="580"/>
      <c r="V35" s="581"/>
      <c r="W35" s="566"/>
      <c r="X35" s="567"/>
      <c r="Y35" s="567"/>
      <c r="Z35" s="568"/>
      <c r="AA35" s="572"/>
      <c r="AB35" s="573"/>
      <c r="AC35" s="573"/>
      <c r="AD35" s="574"/>
      <c r="AE35" s="49"/>
      <c r="AG35" s="87"/>
      <c r="AH35" s="87"/>
      <c r="AI35" s="87"/>
      <c r="AJ35" s="87"/>
      <c r="AK35" s="87"/>
      <c r="AL35" s="87"/>
      <c r="AM35" s="87"/>
      <c r="AN35" s="87"/>
      <c r="AO35" s="87"/>
    </row>
    <row r="36" spans="1:41" ht="26.1" customHeight="1" x14ac:dyDescent="0.25">
      <c r="A36" s="592" t="s">
        <v>73</v>
      </c>
      <c r="B36" s="558" t="s">
        <v>74</v>
      </c>
      <c r="C36" s="546" t="s">
        <v>75</v>
      </c>
      <c r="D36" s="558"/>
      <c r="E36" s="558"/>
      <c r="F36" s="558"/>
      <c r="G36" s="558"/>
      <c r="H36" s="558"/>
      <c r="I36" s="558"/>
      <c r="J36" s="558"/>
      <c r="K36" s="558"/>
      <c r="L36" s="558"/>
      <c r="M36" s="558"/>
      <c r="N36" s="558"/>
      <c r="O36" s="558"/>
      <c r="P36" s="559"/>
      <c r="Q36" s="594" t="s">
        <v>76</v>
      </c>
      <c r="R36" s="595"/>
      <c r="S36" s="595"/>
      <c r="T36" s="595"/>
      <c r="U36" s="595"/>
      <c r="V36" s="595"/>
      <c r="W36" s="595"/>
      <c r="X36" s="595"/>
      <c r="Y36" s="595"/>
      <c r="Z36" s="595"/>
      <c r="AA36" s="595"/>
      <c r="AB36" s="595"/>
      <c r="AC36" s="595"/>
      <c r="AD36" s="596"/>
      <c r="AG36" s="87"/>
      <c r="AH36" s="87"/>
      <c r="AI36" s="87"/>
      <c r="AJ36" s="87"/>
      <c r="AK36" s="87"/>
      <c r="AL36" s="87"/>
      <c r="AM36" s="87"/>
      <c r="AN36" s="87"/>
      <c r="AO36" s="87"/>
    </row>
    <row r="37" spans="1:41" ht="42" customHeight="1" thickBot="1" x14ac:dyDescent="0.3">
      <c r="A37" s="522"/>
      <c r="B37" s="593"/>
      <c r="C37" s="274" t="s">
        <v>77</v>
      </c>
      <c r="D37" s="265" t="s">
        <v>78</v>
      </c>
      <c r="E37" s="265" t="s">
        <v>79</v>
      </c>
      <c r="F37" s="265" t="s">
        <v>80</v>
      </c>
      <c r="G37" s="265" t="s">
        <v>81</v>
      </c>
      <c r="H37" s="265" t="s">
        <v>82</v>
      </c>
      <c r="I37" s="265" t="s">
        <v>83</v>
      </c>
      <c r="J37" s="265" t="s">
        <v>84</v>
      </c>
      <c r="K37" s="265" t="s">
        <v>85</v>
      </c>
      <c r="L37" s="265" t="s">
        <v>86</v>
      </c>
      <c r="M37" s="265" t="s">
        <v>87</v>
      </c>
      <c r="N37" s="265" t="s">
        <v>88</v>
      </c>
      <c r="O37" s="265" t="s">
        <v>89</v>
      </c>
      <c r="P37" s="266" t="s">
        <v>90</v>
      </c>
      <c r="Q37" s="597" t="s">
        <v>91</v>
      </c>
      <c r="R37" s="598"/>
      <c r="S37" s="598"/>
      <c r="T37" s="598"/>
      <c r="U37" s="598"/>
      <c r="V37" s="598"/>
      <c r="W37" s="598"/>
      <c r="X37" s="598"/>
      <c r="Y37" s="598"/>
      <c r="Z37" s="598"/>
      <c r="AA37" s="598"/>
      <c r="AB37" s="598"/>
      <c r="AC37" s="598"/>
      <c r="AD37" s="599"/>
      <c r="AG37" s="94"/>
      <c r="AH37" s="94"/>
      <c r="AI37" s="94"/>
      <c r="AJ37" s="94"/>
      <c r="AK37" s="94"/>
      <c r="AL37" s="94"/>
      <c r="AM37" s="94"/>
      <c r="AN37" s="94"/>
      <c r="AO37" s="94"/>
    </row>
    <row r="38" spans="1:41" ht="90" customHeight="1" x14ac:dyDescent="0.25">
      <c r="A38" s="600" t="s">
        <v>92</v>
      </c>
      <c r="B38" s="601">
        <v>0.05</v>
      </c>
      <c r="C38" s="224" t="s">
        <v>68</v>
      </c>
      <c r="D38" s="281">
        <v>0.05</v>
      </c>
      <c r="E38" s="282">
        <v>0.09</v>
      </c>
      <c r="F38" s="206">
        <v>0.09</v>
      </c>
      <c r="G38" s="206">
        <v>0.09</v>
      </c>
      <c r="H38" s="206">
        <v>0.09</v>
      </c>
      <c r="I38" s="206">
        <v>0.09</v>
      </c>
      <c r="J38" s="206">
        <v>0.09</v>
      </c>
      <c r="K38" s="206">
        <v>0.09</v>
      </c>
      <c r="L38" s="206">
        <v>0.09</v>
      </c>
      <c r="M38" s="206">
        <v>0.09</v>
      </c>
      <c r="N38" s="206">
        <v>0.09</v>
      </c>
      <c r="O38" s="206">
        <v>0.05</v>
      </c>
      <c r="P38" s="96">
        <f>SUM(D38:O38)</f>
        <v>0.99999999999999989</v>
      </c>
      <c r="Q38" s="603" t="s">
        <v>568</v>
      </c>
      <c r="R38" s="604"/>
      <c r="S38" s="604"/>
      <c r="T38" s="604"/>
      <c r="U38" s="604"/>
      <c r="V38" s="604"/>
      <c r="W38" s="604"/>
      <c r="X38" s="604"/>
      <c r="Y38" s="604"/>
      <c r="Z38" s="604"/>
      <c r="AA38" s="604"/>
      <c r="AB38" s="604"/>
      <c r="AC38" s="604"/>
      <c r="AD38" s="605"/>
      <c r="AE38" s="97"/>
      <c r="AG38" s="98"/>
      <c r="AH38" s="98"/>
      <c r="AI38" s="98"/>
      <c r="AJ38" s="98"/>
      <c r="AK38" s="98"/>
      <c r="AL38" s="98"/>
      <c r="AM38" s="98"/>
      <c r="AN38" s="98"/>
      <c r="AO38" s="98"/>
    </row>
    <row r="39" spans="1:41" ht="90" customHeight="1" x14ac:dyDescent="0.25">
      <c r="A39" s="582"/>
      <c r="B39" s="602"/>
      <c r="C39" s="225" t="s">
        <v>72</v>
      </c>
      <c r="D39" s="283">
        <v>0.05</v>
      </c>
      <c r="E39" s="283">
        <v>0.09</v>
      </c>
      <c r="F39" s="283">
        <v>0.09</v>
      </c>
      <c r="G39" s="283">
        <v>0.09</v>
      </c>
      <c r="H39" s="283">
        <v>0.09</v>
      </c>
      <c r="I39" s="283">
        <v>0.09</v>
      </c>
      <c r="J39" s="100"/>
      <c r="K39" s="100"/>
      <c r="L39" s="100"/>
      <c r="M39" s="100"/>
      <c r="N39" s="100"/>
      <c r="O39" s="100"/>
      <c r="P39" s="101">
        <f>SUM(D39:O39)</f>
        <v>0.5</v>
      </c>
      <c r="Q39" s="606"/>
      <c r="R39" s="607"/>
      <c r="S39" s="607"/>
      <c r="T39" s="607"/>
      <c r="U39" s="607"/>
      <c r="V39" s="607"/>
      <c r="W39" s="607"/>
      <c r="X39" s="607"/>
      <c r="Y39" s="607"/>
      <c r="Z39" s="607"/>
      <c r="AA39" s="607"/>
      <c r="AB39" s="607"/>
      <c r="AC39" s="607"/>
      <c r="AD39" s="608"/>
      <c r="AE39" s="97"/>
    </row>
    <row r="40" spans="1:41" ht="59.25" customHeight="1" x14ac:dyDescent="0.25">
      <c r="A40" s="582" t="s">
        <v>93</v>
      </c>
      <c r="B40" s="584">
        <v>0.05</v>
      </c>
      <c r="C40" s="226" t="s">
        <v>68</v>
      </c>
      <c r="D40" s="282">
        <v>0.08</v>
      </c>
      <c r="E40" s="282">
        <v>0.08</v>
      </c>
      <c r="F40" s="206">
        <v>8.3000000000000004E-2</v>
      </c>
      <c r="G40" s="206">
        <v>8.3000000000000004E-2</v>
      </c>
      <c r="H40" s="206">
        <v>8.3000000000000004E-2</v>
      </c>
      <c r="I40" s="206">
        <v>8.3000000000000004E-2</v>
      </c>
      <c r="J40" s="206">
        <v>8.3000000000000004E-2</v>
      </c>
      <c r="K40" s="206">
        <v>8.3000000000000004E-2</v>
      </c>
      <c r="L40" s="206">
        <v>8.3000000000000004E-2</v>
      </c>
      <c r="M40" s="206">
        <v>8.3000000000000004E-2</v>
      </c>
      <c r="N40" s="206">
        <v>8.3000000000000004E-2</v>
      </c>
      <c r="O40" s="206">
        <v>0.09</v>
      </c>
      <c r="P40" s="101">
        <f>SUM(D40:O40)</f>
        <v>0.99699999999999989</v>
      </c>
      <c r="Q40" s="586" t="s">
        <v>94</v>
      </c>
      <c r="R40" s="587"/>
      <c r="S40" s="587"/>
      <c r="T40" s="587"/>
      <c r="U40" s="587"/>
      <c r="V40" s="587"/>
      <c r="W40" s="587"/>
      <c r="X40" s="587"/>
      <c r="Y40" s="587"/>
      <c r="Z40" s="587"/>
      <c r="AA40" s="587"/>
      <c r="AB40" s="587"/>
      <c r="AC40" s="587"/>
      <c r="AD40" s="588"/>
      <c r="AE40" s="97"/>
    </row>
    <row r="41" spans="1:41" ht="100.5" customHeight="1" x14ac:dyDescent="0.25">
      <c r="A41" s="583"/>
      <c r="B41" s="585"/>
      <c r="C41" s="280" t="s">
        <v>72</v>
      </c>
      <c r="D41" s="284">
        <v>0.08</v>
      </c>
      <c r="E41" s="284">
        <v>0.08</v>
      </c>
      <c r="F41" s="284">
        <v>8.3000000000000004E-2</v>
      </c>
      <c r="G41" s="284">
        <v>8.3000000000000004E-2</v>
      </c>
      <c r="H41" s="284">
        <v>8.3000000000000004E-2</v>
      </c>
      <c r="I41" s="284">
        <v>8.3000000000000004E-2</v>
      </c>
      <c r="J41" s="105"/>
      <c r="K41" s="105"/>
      <c r="L41" s="106"/>
      <c r="M41" s="106"/>
      <c r="N41" s="106"/>
      <c r="O41" s="106"/>
      <c r="P41" s="107">
        <f>SUM(D41:O41)</f>
        <v>0.49200000000000005</v>
      </c>
      <c r="Q41" s="589"/>
      <c r="R41" s="590"/>
      <c r="S41" s="590"/>
      <c r="T41" s="590"/>
      <c r="U41" s="590"/>
      <c r="V41" s="590"/>
      <c r="W41" s="590"/>
      <c r="X41" s="590"/>
      <c r="Y41" s="590"/>
      <c r="Z41" s="590"/>
      <c r="AA41" s="590"/>
      <c r="AB41" s="590"/>
      <c r="AC41" s="590"/>
      <c r="AD41" s="591"/>
      <c r="AE41" s="97"/>
    </row>
    <row r="42" spans="1:41" x14ac:dyDescent="0.25">
      <c r="A42" s="50" t="s">
        <v>95</v>
      </c>
    </row>
    <row r="55" spans="1:30" x14ac:dyDescent="0.25">
      <c r="A55" s="613" t="s">
        <v>96</v>
      </c>
      <c r="B55" s="615" t="s">
        <v>74</v>
      </c>
      <c r="C55" s="617" t="s">
        <v>75</v>
      </c>
      <c r="D55" s="618"/>
      <c r="E55" s="618"/>
      <c r="F55" s="618"/>
      <c r="G55" s="618"/>
      <c r="H55" s="618"/>
      <c r="I55" s="618"/>
      <c r="J55" s="618"/>
      <c r="K55" s="618"/>
      <c r="L55" s="618"/>
      <c r="M55" s="618"/>
      <c r="N55" s="618"/>
      <c r="O55" s="618"/>
      <c r="P55" s="619"/>
      <c r="Q55" s="228"/>
      <c r="R55" s="228"/>
      <c r="S55" s="229"/>
      <c r="T55" s="229"/>
      <c r="U55" s="229"/>
      <c r="V55" s="229"/>
      <c r="W55" s="229"/>
      <c r="X55" s="229"/>
      <c r="Y55" s="229"/>
      <c r="Z55" s="229"/>
      <c r="AA55" s="229"/>
      <c r="AB55" s="229"/>
      <c r="AC55" s="229"/>
      <c r="AD55" s="229"/>
    </row>
    <row r="56" spans="1:30" ht="21" x14ac:dyDescent="0.25">
      <c r="A56" s="614"/>
      <c r="B56" s="616"/>
      <c r="C56" s="230" t="s">
        <v>77</v>
      </c>
      <c r="D56" s="230" t="s">
        <v>78</v>
      </c>
      <c r="E56" s="230" t="s">
        <v>79</v>
      </c>
      <c r="F56" s="230" t="s">
        <v>80</v>
      </c>
      <c r="G56" s="230" t="s">
        <v>81</v>
      </c>
      <c r="H56" s="230" t="s">
        <v>82</v>
      </c>
      <c r="I56" s="230" t="s">
        <v>83</v>
      </c>
      <c r="J56" s="230" t="s">
        <v>84</v>
      </c>
      <c r="K56" s="230" t="s">
        <v>85</v>
      </c>
      <c r="L56" s="230" t="s">
        <v>86</v>
      </c>
      <c r="M56" s="230" t="s">
        <v>87</v>
      </c>
      <c r="N56" s="230" t="s">
        <v>88</v>
      </c>
      <c r="O56" s="230" t="s">
        <v>89</v>
      </c>
      <c r="P56" s="230" t="s">
        <v>90</v>
      </c>
      <c r="Q56" s="228"/>
      <c r="R56" s="228"/>
      <c r="S56" s="229"/>
      <c r="T56" s="229"/>
      <c r="U56" s="229"/>
      <c r="V56" s="229"/>
      <c r="W56" s="229"/>
      <c r="X56" s="229"/>
      <c r="Y56" s="229"/>
      <c r="Z56" s="229"/>
      <c r="AA56" s="229"/>
      <c r="AB56" s="229"/>
      <c r="AC56" s="229"/>
      <c r="AD56" s="229"/>
    </row>
    <row r="57" spans="1:30" x14ac:dyDescent="0.25">
      <c r="A57" s="620" t="str">
        <f>A38</f>
        <v xml:space="preserve">1. Socializar los lineamientos técnicos del Sistema Distrital de Cuidado con espacios e instancias de participación y ciudadanía en general. </v>
      </c>
      <c r="B57" s="622">
        <f>B38</f>
        <v>0.05</v>
      </c>
      <c r="C57" s="231" t="s">
        <v>68</v>
      </c>
      <c r="D57" s="232">
        <f>D38*$B$38/$P$38</f>
        <v>2.5000000000000009E-3</v>
      </c>
      <c r="E57" s="232">
        <f t="shared" ref="D57:O58" si="2">E38*$B$38/$P$38</f>
        <v>4.5000000000000005E-3</v>
      </c>
      <c r="F57" s="232">
        <f t="shared" si="2"/>
        <v>4.5000000000000005E-3</v>
      </c>
      <c r="G57" s="232">
        <f t="shared" si="2"/>
        <v>4.5000000000000005E-3</v>
      </c>
      <c r="H57" s="232">
        <f t="shared" si="2"/>
        <v>4.5000000000000005E-3</v>
      </c>
      <c r="I57" s="232">
        <f t="shared" si="2"/>
        <v>4.5000000000000005E-3</v>
      </c>
      <c r="J57" s="232">
        <f t="shared" si="2"/>
        <v>4.5000000000000005E-3</v>
      </c>
      <c r="K57" s="232">
        <f t="shared" si="2"/>
        <v>4.5000000000000005E-3</v>
      </c>
      <c r="L57" s="232">
        <f t="shared" si="2"/>
        <v>4.5000000000000005E-3</v>
      </c>
      <c r="M57" s="232">
        <f t="shared" si="2"/>
        <v>4.5000000000000005E-3</v>
      </c>
      <c r="N57" s="232">
        <f t="shared" si="2"/>
        <v>4.5000000000000005E-3</v>
      </c>
      <c r="O57" s="232">
        <f t="shared" si="2"/>
        <v>2.5000000000000009E-3</v>
      </c>
      <c r="P57" s="233">
        <f>SUM(D57:O57)</f>
        <v>5.0000000000000017E-2</v>
      </c>
      <c r="Q57" s="234">
        <v>0.05</v>
      </c>
      <c r="R57" s="235">
        <f t="shared" ref="R57:R65" si="3">+P57-Q57</f>
        <v>0</v>
      </c>
      <c r="S57" s="229"/>
      <c r="T57" s="229"/>
      <c r="U57" s="229"/>
      <c r="V57" s="229"/>
      <c r="W57" s="229"/>
      <c r="X57" s="229"/>
      <c r="Y57" s="229"/>
      <c r="Z57" s="229"/>
      <c r="AA57" s="229"/>
      <c r="AB57" s="229"/>
      <c r="AC57" s="229"/>
      <c r="AD57" s="229"/>
    </row>
    <row r="58" spans="1:30" x14ac:dyDescent="0.25">
      <c r="A58" s="621"/>
      <c r="B58" s="623"/>
      <c r="C58" s="236" t="s">
        <v>72</v>
      </c>
      <c r="D58" s="237">
        <f t="shared" si="2"/>
        <v>2.5000000000000009E-3</v>
      </c>
      <c r="E58" s="237">
        <f t="shared" si="2"/>
        <v>4.5000000000000005E-3</v>
      </c>
      <c r="F58" s="237">
        <f t="shared" si="2"/>
        <v>4.5000000000000005E-3</v>
      </c>
      <c r="G58" s="237">
        <f t="shared" si="2"/>
        <v>4.5000000000000005E-3</v>
      </c>
      <c r="H58" s="237">
        <f t="shared" si="2"/>
        <v>4.5000000000000005E-3</v>
      </c>
      <c r="I58" s="237">
        <f t="shared" si="2"/>
        <v>4.5000000000000005E-3</v>
      </c>
      <c r="J58" s="237">
        <f t="shared" si="2"/>
        <v>0</v>
      </c>
      <c r="K58" s="237">
        <f t="shared" si="2"/>
        <v>0</v>
      </c>
      <c r="L58" s="237">
        <f t="shared" si="2"/>
        <v>0</v>
      </c>
      <c r="M58" s="237">
        <f t="shared" si="2"/>
        <v>0</v>
      </c>
      <c r="N58" s="237">
        <f t="shared" si="2"/>
        <v>0</v>
      </c>
      <c r="O58" s="237">
        <f t="shared" si="2"/>
        <v>0</v>
      </c>
      <c r="P58" s="238">
        <f>SUM(D58:O58)</f>
        <v>2.5000000000000001E-2</v>
      </c>
      <c r="Q58" s="239">
        <f>+P58</f>
        <v>2.5000000000000001E-2</v>
      </c>
      <c r="R58" s="235">
        <f t="shared" si="3"/>
        <v>0</v>
      </c>
      <c r="S58" s="229"/>
      <c r="T58" s="229"/>
      <c r="U58" s="229"/>
      <c r="V58" s="229"/>
      <c r="W58" s="229"/>
      <c r="X58" s="229"/>
      <c r="Y58" s="229"/>
      <c r="Z58" s="229"/>
      <c r="AA58" s="229"/>
      <c r="AB58" s="229"/>
      <c r="AC58" s="229"/>
      <c r="AD58" s="229"/>
    </row>
    <row r="59" spans="1:30" x14ac:dyDescent="0.25">
      <c r="A59" s="620"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625">
        <f>B40</f>
        <v>0.05</v>
      </c>
      <c r="C59" s="231" t="s">
        <v>68</v>
      </c>
      <c r="D59" s="232">
        <f t="shared" ref="D59:O60" si="4">D40*$B$40/$P$40</f>
        <v>4.0120361083249758E-3</v>
      </c>
      <c r="E59" s="232">
        <f t="shared" si="4"/>
        <v>4.0120361083249758E-3</v>
      </c>
      <c r="F59" s="232">
        <f t="shared" si="4"/>
        <v>4.1624874623871619E-3</v>
      </c>
      <c r="G59" s="232">
        <f t="shared" si="4"/>
        <v>4.1624874623871619E-3</v>
      </c>
      <c r="H59" s="232">
        <f t="shared" si="4"/>
        <v>4.1624874623871619E-3</v>
      </c>
      <c r="I59" s="232">
        <f t="shared" si="4"/>
        <v>4.1624874623871619E-3</v>
      </c>
      <c r="J59" s="232">
        <f t="shared" si="4"/>
        <v>4.1624874623871619E-3</v>
      </c>
      <c r="K59" s="232">
        <f t="shared" si="4"/>
        <v>4.1624874623871619E-3</v>
      </c>
      <c r="L59" s="232">
        <f t="shared" si="4"/>
        <v>4.1624874623871619E-3</v>
      </c>
      <c r="M59" s="232">
        <f t="shared" si="4"/>
        <v>4.1624874623871619E-3</v>
      </c>
      <c r="N59" s="232">
        <f t="shared" si="4"/>
        <v>4.1624874623871619E-3</v>
      </c>
      <c r="O59" s="232">
        <f t="shared" si="4"/>
        <v>4.5135406218655971E-3</v>
      </c>
      <c r="P59" s="233">
        <f>SUM(D59:O59)</f>
        <v>5.000000000000001E-2</v>
      </c>
      <c r="Q59" s="234">
        <v>2.5000000000000001E-2</v>
      </c>
      <c r="R59" s="235">
        <f t="shared" si="3"/>
        <v>2.5000000000000008E-2</v>
      </c>
      <c r="S59" s="229"/>
      <c r="T59" s="229"/>
      <c r="U59" s="229"/>
      <c r="V59" s="229"/>
      <c r="W59" s="229"/>
      <c r="X59" s="229"/>
      <c r="Y59" s="229"/>
      <c r="Z59" s="229"/>
      <c r="AA59" s="229"/>
      <c r="AB59" s="229"/>
      <c r="AC59" s="229"/>
      <c r="AD59" s="229"/>
    </row>
    <row r="60" spans="1:30" x14ac:dyDescent="0.25">
      <c r="A60" s="624"/>
      <c r="B60" s="626"/>
      <c r="C60" s="240" t="s">
        <v>72</v>
      </c>
      <c r="D60" s="237">
        <f t="shared" si="4"/>
        <v>4.0120361083249758E-3</v>
      </c>
      <c r="E60" s="237">
        <f t="shared" si="4"/>
        <v>4.0120361083249758E-3</v>
      </c>
      <c r="F60" s="237">
        <f t="shared" si="4"/>
        <v>4.1624874623871619E-3</v>
      </c>
      <c r="G60" s="237">
        <f t="shared" si="4"/>
        <v>4.1624874623871619E-3</v>
      </c>
      <c r="H60" s="237">
        <f t="shared" si="4"/>
        <v>4.1624874623871619E-3</v>
      </c>
      <c r="I60" s="237">
        <f t="shared" si="4"/>
        <v>4.1624874623871619E-3</v>
      </c>
      <c r="J60" s="237">
        <f t="shared" si="4"/>
        <v>0</v>
      </c>
      <c r="K60" s="237">
        <f t="shared" si="4"/>
        <v>0</v>
      </c>
      <c r="L60" s="237">
        <f t="shared" si="4"/>
        <v>0</v>
      </c>
      <c r="M60" s="237">
        <f t="shared" si="4"/>
        <v>0</v>
      </c>
      <c r="N60" s="237">
        <f t="shared" si="4"/>
        <v>0</v>
      </c>
      <c r="O60" s="237">
        <f t="shared" si="4"/>
        <v>0</v>
      </c>
      <c r="P60" s="238">
        <f>SUM(D60:O60)</f>
        <v>2.4674022066198602E-2</v>
      </c>
      <c r="Q60" s="239">
        <f>+P60</f>
        <v>2.4674022066198602E-2</v>
      </c>
      <c r="R60" s="235">
        <f t="shared" si="3"/>
        <v>0</v>
      </c>
      <c r="S60" s="229"/>
      <c r="T60" s="229"/>
      <c r="U60" s="229"/>
      <c r="V60" s="229"/>
      <c r="W60" s="229"/>
      <c r="X60" s="229"/>
      <c r="Y60" s="229"/>
      <c r="Z60" s="229"/>
      <c r="AA60" s="229"/>
      <c r="AB60" s="229"/>
      <c r="AC60" s="229"/>
      <c r="AD60" s="229"/>
    </row>
    <row r="61" spans="1:30" x14ac:dyDescent="0.25">
      <c r="A61" s="609"/>
      <c r="B61" s="611"/>
      <c r="C61" s="243"/>
      <c r="D61" s="232"/>
      <c r="E61" s="232"/>
      <c r="F61" s="232"/>
      <c r="G61" s="232"/>
      <c r="H61" s="232"/>
      <c r="I61" s="232"/>
      <c r="J61" s="232"/>
      <c r="K61" s="232"/>
      <c r="L61" s="232"/>
      <c r="M61" s="232"/>
      <c r="N61" s="232"/>
      <c r="O61" s="232"/>
      <c r="P61" s="244"/>
      <c r="Q61" s="234"/>
      <c r="R61" s="235"/>
      <c r="S61" s="229"/>
      <c r="T61" s="229"/>
      <c r="U61" s="229"/>
      <c r="V61" s="229"/>
      <c r="W61" s="229"/>
      <c r="X61" s="229"/>
      <c r="Y61" s="229"/>
      <c r="Z61" s="229"/>
      <c r="AA61" s="229"/>
      <c r="AB61" s="229"/>
      <c r="AC61" s="229"/>
      <c r="AD61" s="229"/>
    </row>
    <row r="62" spans="1:30" x14ac:dyDescent="0.25">
      <c r="A62" s="610"/>
      <c r="B62" s="612"/>
      <c r="C62" s="243"/>
      <c r="D62" s="247"/>
      <c r="E62" s="247"/>
      <c r="F62" s="247"/>
      <c r="G62" s="247"/>
      <c r="H62" s="247"/>
      <c r="I62" s="247"/>
      <c r="J62" s="247"/>
      <c r="K62" s="247"/>
      <c r="L62" s="247"/>
      <c r="M62" s="247"/>
      <c r="N62" s="247"/>
      <c r="O62" s="247"/>
      <c r="P62" s="244"/>
      <c r="Q62" s="239"/>
      <c r="R62" s="235"/>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f>
        <v>6.5120361083249763E-3</v>
      </c>
      <c r="E65" s="250">
        <f t="shared" ref="E65:O65" si="5">E58+E60</f>
        <v>8.5120361083249763E-3</v>
      </c>
      <c r="F65" s="250">
        <f t="shared" si="5"/>
        <v>8.6624874623871632E-3</v>
      </c>
      <c r="G65" s="250">
        <f t="shared" si="5"/>
        <v>8.6624874623871632E-3</v>
      </c>
      <c r="H65" s="250">
        <f t="shared" si="5"/>
        <v>8.6624874623871632E-3</v>
      </c>
      <c r="I65" s="250">
        <f t="shared" si="5"/>
        <v>8.6624874623871632E-3</v>
      </c>
      <c r="J65" s="250">
        <f t="shared" si="5"/>
        <v>0</v>
      </c>
      <c r="K65" s="250">
        <f t="shared" si="5"/>
        <v>0</v>
      </c>
      <c r="L65" s="250">
        <f t="shared" si="5"/>
        <v>0</v>
      </c>
      <c r="M65" s="250">
        <f t="shared" si="5"/>
        <v>0</v>
      </c>
      <c r="N65" s="250">
        <f t="shared" si="5"/>
        <v>0</v>
      </c>
      <c r="O65" s="250">
        <f t="shared" si="5"/>
        <v>0</v>
      </c>
      <c r="P65" s="250">
        <f>P58+P60+P62</f>
        <v>4.96740220661986E-2</v>
      </c>
      <c r="Q65" s="228"/>
      <c r="R65" s="235">
        <f t="shared" si="3"/>
        <v>4.96740220661986E-2</v>
      </c>
      <c r="S65" s="229"/>
      <c r="T65" s="229"/>
      <c r="U65" s="229"/>
      <c r="V65" s="229"/>
      <c r="W65" s="229"/>
      <c r="X65" s="229"/>
      <c r="Y65" s="229"/>
      <c r="Z65" s="229"/>
      <c r="AA65" s="229"/>
      <c r="AB65" s="229"/>
      <c r="AC65" s="229"/>
      <c r="AD65" s="229"/>
    </row>
    <row r="66" spans="1:30" x14ac:dyDescent="0.25">
      <c r="A66" s="228"/>
      <c r="B66" s="251"/>
      <c r="C66" s="252" t="s">
        <v>72</v>
      </c>
      <c r="D66" s="253">
        <f>D65*$W$17/$B$34</f>
        <v>6.5120361083249756E-2</v>
      </c>
      <c r="E66" s="253">
        <f t="shared" ref="E66:O66" si="6">E65*$W$17/$B$34</f>
        <v>8.512036108324976E-2</v>
      </c>
      <c r="F66" s="253">
        <f t="shared" si="6"/>
        <v>8.6624874623871626E-2</v>
      </c>
      <c r="G66" s="253">
        <f t="shared" si="6"/>
        <v>8.6624874623871626E-2</v>
      </c>
      <c r="H66" s="253">
        <f t="shared" si="6"/>
        <v>8.6624874623871626E-2</v>
      </c>
      <c r="I66" s="253">
        <f t="shared" si="6"/>
        <v>8.6624874623871626E-2</v>
      </c>
      <c r="J66" s="253">
        <f t="shared" si="6"/>
        <v>0</v>
      </c>
      <c r="K66" s="253">
        <f t="shared" si="6"/>
        <v>0</v>
      </c>
      <c r="L66" s="253">
        <f t="shared" si="6"/>
        <v>0</v>
      </c>
      <c r="M66" s="253">
        <f t="shared" si="6"/>
        <v>0</v>
      </c>
      <c r="N66" s="253">
        <f t="shared" si="6"/>
        <v>0</v>
      </c>
      <c r="O66" s="253">
        <f t="shared" si="6"/>
        <v>0</v>
      </c>
      <c r="P66" s="254">
        <f>SUM(D66:O66)</f>
        <v>0.49674022066198609</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+D57+D59</f>
        <v>6.5120361083249763E-3</v>
      </c>
      <c r="E68" s="250">
        <f t="shared" ref="E68:O68" si="7">+E57+E59</f>
        <v>8.5120361083249763E-3</v>
      </c>
      <c r="F68" s="250">
        <f t="shared" si="7"/>
        <v>8.6624874623871632E-3</v>
      </c>
      <c r="G68" s="250">
        <f t="shared" si="7"/>
        <v>8.6624874623871632E-3</v>
      </c>
      <c r="H68" s="250">
        <f t="shared" si="7"/>
        <v>8.6624874623871632E-3</v>
      </c>
      <c r="I68" s="250">
        <f t="shared" si="7"/>
        <v>8.6624874623871632E-3</v>
      </c>
      <c r="J68" s="250">
        <f t="shared" si="7"/>
        <v>8.6624874623871632E-3</v>
      </c>
      <c r="K68" s="250">
        <f t="shared" si="7"/>
        <v>8.6624874623871632E-3</v>
      </c>
      <c r="L68" s="250">
        <f t="shared" si="7"/>
        <v>8.6624874623871632E-3</v>
      </c>
      <c r="M68" s="250">
        <f t="shared" si="7"/>
        <v>8.6624874623871632E-3</v>
      </c>
      <c r="N68" s="250">
        <f t="shared" si="7"/>
        <v>8.6624874623871632E-3</v>
      </c>
      <c r="O68" s="250">
        <f t="shared" si="7"/>
        <v>7.0135406218655976E-3</v>
      </c>
      <c r="P68" s="250">
        <f>+P57+P59+P61</f>
        <v>0.10000000000000003</v>
      </c>
      <c r="Q68" s="234"/>
      <c r="R68" s="234"/>
      <c r="S68" s="229"/>
      <c r="T68" s="229"/>
      <c r="U68" s="229"/>
      <c r="V68" s="229"/>
      <c r="W68" s="229"/>
      <c r="X68" s="229"/>
      <c r="Y68" s="229"/>
      <c r="Z68" s="229"/>
      <c r="AA68" s="229"/>
      <c r="AB68" s="229"/>
      <c r="AC68" s="229"/>
      <c r="AD68" s="229"/>
    </row>
    <row r="69" spans="1:30" x14ac:dyDescent="0.25">
      <c r="A69" s="234"/>
      <c r="B69" s="108"/>
      <c r="C69" s="252" t="s">
        <v>68</v>
      </c>
      <c r="D69" s="253">
        <f>D68*$W$17/$B$34</f>
        <v>6.5120361083249756E-2</v>
      </c>
      <c r="E69" s="253">
        <f t="shared" ref="E69:O69" si="8">E68*$W$17/$B$34</f>
        <v>8.512036108324976E-2</v>
      </c>
      <c r="F69" s="253">
        <f t="shared" si="8"/>
        <v>8.6624874623871626E-2</v>
      </c>
      <c r="G69" s="253">
        <f t="shared" si="8"/>
        <v>8.6624874623871626E-2</v>
      </c>
      <c r="H69" s="253">
        <f t="shared" si="8"/>
        <v>8.6624874623871626E-2</v>
      </c>
      <c r="I69" s="253">
        <f t="shared" si="8"/>
        <v>8.6624874623871626E-2</v>
      </c>
      <c r="J69" s="253">
        <f t="shared" si="8"/>
        <v>8.6624874623871626E-2</v>
      </c>
      <c r="K69" s="253">
        <f t="shared" si="8"/>
        <v>8.6624874623871626E-2</v>
      </c>
      <c r="L69" s="253">
        <f t="shared" si="8"/>
        <v>8.6624874623871626E-2</v>
      </c>
      <c r="M69" s="253">
        <f t="shared" si="8"/>
        <v>8.6624874623871626E-2</v>
      </c>
      <c r="N69" s="253">
        <f t="shared" si="8"/>
        <v>8.6624874623871626E-2</v>
      </c>
      <c r="O69" s="253">
        <f t="shared" si="8"/>
        <v>7.0135406218655966E-2</v>
      </c>
      <c r="P69" s="254">
        <f>SUM(D69:O69)</f>
        <v>1</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row r="75" spans="1:30" x14ac:dyDescent="0.25">
      <c r="A75" s="229"/>
      <c r="Q75" s="229"/>
      <c r="R75" s="229"/>
      <c r="S75" s="229"/>
      <c r="T75" s="229"/>
      <c r="U75" s="229"/>
      <c r="V75" s="229"/>
      <c r="W75" s="229"/>
      <c r="X75" s="229"/>
      <c r="Y75" s="229"/>
      <c r="Z75" s="229"/>
      <c r="AA75" s="229"/>
      <c r="AB75" s="229"/>
      <c r="AC75" s="229"/>
      <c r="AD75" s="229"/>
    </row>
    <row r="76" spans="1:30" x14ac:dyDescent="0.25">
      <c r="A76" s="229"/>
      <c r="Q76" s="229"/>
      <c r="R76" s="229"/>
      <c r="S76" s="229"/>
      <c r="T76" s="229"/>
      <c r="U76" s="229"/>
      <c r="V76" s="229"/>
      <c r="W76" s="229"/>
      <c r="X76" s="229"/>
      <c r="Y76" s="229"/>
      <c r="Z76" s="229"/>
      <c r="AA76" s="229"/>
      <c r="AB76" s="229"/>
      <c r="AC76" s="229"/>
      <c r="AD76" s="229"/>
    </row>
    <row r="77" spans="1:30" x14ac:dyDescent="0.25">
      <c r="A77" s="229"/>
      <c r="Q77" s="229"/>
      <c r="R77" s="229"/>
      <c r="S77" s="229"/>
      <c r="T77" s="229"/>
      <c r="U77" s="229"/>
      <c r="V77" s="229"/>
      <c r="W77" s="229"/>
      <c r="X77" s="229"/>
      <c r="Y77" s="229"/>
      <c r="Z77" s="229"/>
      <c r="AA77" s="229"/>
      <c r="AB77" s="229"/>
      <c r="AC77" s="229"/>
      <c r="AD77" s="229"/>
    </row>
    <row r="78" spans="1:30" x14ac:dyDescent="0.25">
      <c r="A78" s="229"/>
      <c r="Q78" s="229"/>
      <c r="R78" s="229"/>
      <c r="S78" s="229"/>
      <c r="T78" s="229"/>
      <c r="U78" s="229"/>
      <c r="V78" s="229"/>
      <c r="W78" s="229"/>
      <c r="X78" s="229"/>
      <c r="Y78" s="229"/>
      <c r="Z78" s="229"/>
      <c r="AA78" s="229"/>
      <c r="AB78" s="229"/>
      <c r="AC78" s="229"/>
      <c r="AD78" s="229"/>
    </row>
    <row r="79" spans="1:30" x14ac:dyDescent="0.25">
      <c r="A79" s="229"/>
      <c r="Q79" s="229"/>
      <c r="R79" s="229"/>
      <c r="S79" s="229"/>
      <c r="T79" s="229"/>
      <c r="U79" s="229"/>
      <c r="V79" s="229"/>
      <c r="W79" s="229"/>
      <c r="X79" s="229"/>
      <c r="Y79" s="229"/>
      <c r="Z79" s="229"/>
      <c r="AA79" s="229"/>
      <c r="AB79" s="229"/>
      <c r="AC79" s="229"/>
      <c r="AD79" s="229"/>
    </row>
    <row r="80" spans="1:30" x14ac:dyDescent="0.25">
      <c r="A80" s="229"/>
      <c r="Q80" s="229"/>
      <c r="R80" s="229"/>
      <c r="S80" s="229"/>
      <c r="T80" s="229"/>
      <c r="U80" s="229"/>
      <c r="V80" s="229"/>
      <c r="W80" s="229"/>
      <c r="X80" s="229"/>
      <c r="Y80" s="229"/>
      <c r="Z80" s="229"/>
      <c r="AA80" s="229"/>
      <c r="AB80" s="229"/>
      <c r="AC80" s="229"/>
      <c r="AD80" s="229"/>
    </row>
    <row r="81" spans="1:30" x14ac:dyDescent="0.25">
      <c r="A81" s="229"/>
      <c r="Q81" s="229"/>
      <c r="R81" s="229"/>
      <c r="S81" s="229"/>
      <c r="T81" s="229"/>
      <c r="U81" s="229"/>
      <c r="V81" s="229"/>
      <c r="W81" s="229"/>
      <c r="X81" s="229"/>
      <c r="Y81" s="229"/>
      <c r="Z81" s="229"/>
      <c r="AA81" s="229"/>
      <c r="AB81" s="229"/>
      <c r="AC81" s="229"/>
      <c r="AD81" s="229"/>
    </row>
    <row r="82" spans="1:30" x14ac:dyDescent="0.25">
      <c r="A82" s="229"/>
      <c r="Q82" s="229"/>
      <c r="R82" s="229"/>
      <c r="S82" s="229"/>
      <c r="T82" s="229"/>
      <c r="U82" s="229"/>
      <c r="V82" s="229"/>
      <c r="W82" s="229"/>
      <c r="X82" s="229"/>
      <c r="Y82" s="229"/>
      <c r="Z82" s="229"/>
      <c r="AA82" s="229"/>
      <c r="AB82" s="229"/>
      <c r="AC82" s="229"/>
      <c r="AD82" s="229"/>
    </row>
    <row r="83" spans="1:30" x14ac:dyDescent="0.25">
      <c r="A83" s="229"/>
      <c r="Q83" s="229"/>
      <c r="R83" s="229"/>
      <c r="S83" s="229"/>
      <c r="T83" s="229"/>
      <c r="U83" s="229"/>
      <c r="V83" s="229"/>
      <c r="W83" s="229"/>
      <c r="X83" s="229"/>
      <c r="Y83" s="229"/>
      <c r="Z83" s="229"/>
      <c r="AA83" s="229"/>
      <c r="AB83" s="229"/>
      <c r="AC83" s="229"/>
      <c r="AD83" s="229"/>
    </row>
    <row r="84" spans="1:30" x14ac:dyDescent="0.25">
      <c r="A84" s="229"/>
      <c r="Q84" s="229"/>
      <c r="R84" s="229"/>
      <c r="S84" s="229"/>
      <c r="T84" s="229"/>
      <c r="U84" s="229"/>
      <c r="V84" s="229"/>
      <c r="W84" s="229"/>
      <c r="X84" s="229"/>
      <c r="Y84" s="229"/>
      <c r="Z84" s="229"/>
      <c r="AA84" s="229"/>
      <c r="AB84" s="229"/>
      <c r="AC84" s="229"/>
      <c r="AD84" s="229"/>
    </row>
    <row r="85" spans="1:30" x14ac:dyDescent="0.25">
      <c r="A85" s="229"/>
      <c r="Q85" s="229"/>
      <c r="R85" s="229"/>
      <c r="S85" s="229"/>
      <c r="T85" s="229"/>
      <c r="U85" s="229"/>
      <c r="V85" s="229"/>
      <c r="W85" s="229"/>
      <c r="X85" s="229"/>
      <c r="Y85" s="229"/>
      <c r="Z85" s="229"/>
      <c r="AA85" s="229"/>
      <c r="AB85" s="229"/>
      <c r="AC85" s="229"/>
      <c r="AD85" s="229"/>
    </row>
  </sheetData>
  <mergeCells count="86">
    <mergeCell ref="A61:A62"/>
    <mergeCell ref="B61:B62"/>
    <mergeCell ref="A55:A56"/>
    <mergeCell ref="B55:B56"/>
    <mergeCell ref="C55:P55"/>
    <mergeCell ref="A57:A58"/>
    <mergeCell ref="B57:B58"/>
    <mergeCell ref="A59:A60"/>
    <mergeCell ref="B59:B60"/>
    <mergeCell ref="A40:A41"/>
    <mergeCell ref="B40:B41"/>
    <mergeCell ref="Q40:AD41"/>
    <mergeCell ref="A36:A37"/>
    <mergeCell ref="B36:B37"/>
    <mergeCell ref="C36:P36"/>
    <mergeCell ref="Q36:AD36"/>
    <mergeCell ref="Q37:AD37"/>
    <mergeCell ref="A38:A39"/>
    <mergeCell ref="B38:B39"/>
    <mergeCell ref="Q38:AD39"/>
    <mergeCell ref="A34:A35"/>
    <mergeCell ref="B34:B35"/>
    <mergeCell ref="W34:Z35"/>
    <mergeCell ref="AA34:AD35"/>
    <mergeCell ref="Q33:S33"/>
    <mergeCell ref="T33:V33"/>
    <mergeCell ref="Q34:S35"/>
    <mergeCell ref="T34:V35"/>
    <mergeCell ref="B30:C30"/>
    <mergeCell ref="Q30:AD30"/>
    <mergeCell ref="A31:AD31"/>
    <mergeCell ref="A32:A33"/>
    <mergeCell ref="B32:B33"/>
    <mergeCell ref="C32:C33"/>
    <mergeCell ref="D32:P32"/>
    <mergeCell ref="Q32:AD32"/>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19:AD19"/>
    <mergeCell ref="Q20:AD20"/>
    <mergeCell ref="C20:P20"/>
    <mergeCell ref="A22:B22"/>
    <mergeCell ref="AC17:AD17"/>
    <mergeCell ref="A11:B13"/>
    <mergeCell ref="D7:H9"/>
    <mergeCell ref="I7:J9"/>
    <mergeCell ref="K7:L9"/>
    <mergeCell ref="C11:AD13"/>
    <mergeCell ref="C7:C9"/>
    <mergeCell ref="AF22:AM2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AA34 Q34 W34 Q38:AD41"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2" orientation="landscape" r:id="rId1"/>
  <customProperties>
    <customPr name="_pios_id" r:id="rId2"/>
  </customProperties>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878"/>
      <c r="B1" s="893" t="s">
        <v>0</v>
      </c>
      <c r="C1" s="894"/>
      <c r="D1" s="894"/>
      <c r="E1" s="894"/>
      <c r="F1" s="894"/>
      <c r="G1" s="894"/>
      <c r="H1" s="894"/>
      <c r="I1" s="894"/>
      <c r="J1" s="894"/>
      <c r="K1" s="894"/>
      <c r="L1" s="894"/>
      <c r="M1" s="894"/>
      <c r="N1" s="894"/>
      <c r="O1" s="894"/>
      <c r="P1" s="894"/>
      <c r="Q1" s="894"/>
      <c r="R1" s="894"/>
      <c r="S1" s="894"/>
      <c r="T1" s="894"/>
      <c r="U1" s="894"/>
      <c r="V1" s="894"/>
      <c r="W1" s="894"/>
      <c r="X1" s="894"/>
      <c r="Y1" s="895"/>
      <c r="Z1" s="890" t="s">
        <v>161</v>
      </c>
      <c r="AA1" s="891"/>
      <c r="AB1" s="892"/>
    </row>
    <row r="2" spans="1:28" ht="30.75" customHeight="1" x14ac:dyDescent="0.25">
      <c r="A2" s="879"/>
      <c r="B2" s="867" t="s">
        <v>97</v>
      </c>
      <c r="C2" s="868"/>
      <c r="D2" s="868"/>
      <c r="E2" s="868"/>
      <c r="F2" s="868"/>
      <c r="G2" s="868"/>
      <c r="H2" s="868"/>
      <c r="I2" s="868"/>
      <c r="J2" s="868"/>
      <c r="K2" s="868"/>
      <c r="L2" s="868"/>
      <c r="M2" s="868"/>
      <c r="N2" s="868"/>
      <c r="O2" s="868"/>
      <c r="P2" s="868"/>
      <c r="Q2" s="868"/>
      <c r="R2" s="868"/>
      <c r="S2" s="868"/>
      <c r="T2" s="868"/>
      <c r="U2" s="868"/>
      <c r="V2" s="868"/>
      <c r="W2" s="868"/>
      <c r="X2" s="868"/>
      <c r="Y2" s="869"/>
      <c r="Z2" s="881" t="s">
        <v>162</v>
      </c>
      <c r="AA2" s="882"/>
      <c r="AB2" s="883"/>
    </row>
    <row r="3" spans="1:28" ht="24" customHeight="1" x14ac:dyDescent="0.25">
      <c r="A3" s="879"/>
      <c r="B3" s="494" t="s">
        <v>4</v>
      </c>
      <c r="C3" s="495"/>
      <c r="D3" s="495"/>
      <c r="E3" s="495"/>
      <c r="F3" s="495"/>
      <c r="G3" s="495"/>
      <c r="H3" s="495"/>
      <c r="I3" s="495"/>
      <c r="J3" s="495"/>
      <c r="K3" s="495"/>
      <c r="L3" s="495"/>
      <c r="M3" s="495"/>
      <c r="N3" s="495"/>
      <c r="O3" s="495"/>
      <c r="P3" s="495"/>
      <c r="Q3" s="495"/>
      <c r="R3" s="495"/>
      <c r="S3" s="495"/>
      <c r="T3" s="495"/>
      <c r="U3" s="495"/>
      <c r="V3" s="495"/>
      <c r="W3" s="495"/>
      <c r="X3" s="495"/>
      <c r="Y3" s="496"/>
      <c r="Z3" s="881" t="s">
        <v>163</v>
      </c>
      <c r="AA3" s="882"/>
      <c r="AB3" s="883"/>
    </row>
    <row r="4" spans="1:28" ht="15.75" customHeight="1" thickBot="1" x14ac:dyDescent="0.3">
      <c r="A4" s="880"/>
      <c r="B4" s="497"/>
      <c r="C4" s="498"/>
      <c r="D4" s="498"/>
      <c r="E4" s="498"/>
      <c r="F4" s="498"/>
      <c r="G4" s="498"/>
      <c r="H4" s="498"/>
      <c r="I4" s="498"/>
      <c r="J4" s="498"/>
      <c r="K4" s="498"/>
      <c r="L4" s="498"/>
      <c r="M4" s="498"/>
      <c r="N4" s="498"/>
      <c r="O4" s="498"/>
      <c r="P4" s="498"/>
      <c r="Q4" s="498"/>
      <c r="R4" s="498"/>
      <c r="S4" s="498"/>
      <c r="T4" s="498"/>
      <c r="U4" s="498"/>
      <c r="V4" s="498"/>
      <c r="W4" s="498"/>
      <c r="X4" s="498"/>
      <c r="Y4" s="499"/>
      <c r="Z4" s="884" t="s">
        <v>6</v>
      </c>
      <c r="AA4" s="885"/>
      <c r="AB4" s="886"/>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64" t="s">
        <v>15</v>
      </c>
      <c r="B7" s="465"/>
      <c r="C7" s="491"/>
      <c r="D7" s="492"/>
      <c r="E7" s="492"/>
      <c r="F7" s="492"/>
      <c r="G7" s="492"/>
      <c r="H7" s="492"/>
      <c r="I7" s="492"/>
      <c r="J7" s="492"/>
      <c r="K7" s="493"/>
      <c r="L7" s="62"/>
      <c r="M7" s="63"/>
      <c r="N7" s="63"/>
      <c r="O7" s="63"/>
      <c r="P7" s="63"/>
      <c r="Q7" s="64"/>
      <c r="R7" s="887" t="s">
        <v>9</v>
      </c>
      <c r="S7" s="888"/>
      <c r="T7" s="889"/>
      <c r="U7" s="896" t="s">
        <v>164</v>
      </c>
      <c r="V7" s="486"/>
      <c r="W7" s="887" t="s">
        <v>10</v>
      </c>
      <c r="X7" s="889"/>
      <c r="Y7" s="456" t="s">
        <v>98</v>
      </c>
      <c r="Z7" s="457"/>
      <c r="AA7" s="458"/>
      <c r="AB7" s="459"/>
    </row>
    <row r="8" spans="1:28" ht="15" customHeight="1" x14ac:dyDescent="0.25">
      <c r="A8" s="466"/>
      <c r="B8" s="467"/>
      <c r="C8" s="494"/>
      <c r="D8" s="495"/>
      <c r="E8" s="495"/>
      <c r="F8" s="495"/>
      <c r="G8" s="495"/>
      <c r="H8" s="495"/>
      <c r="I8" s="495"/>
      <c r="J8" s="495"/>
      <c r="K8" s="496"/>
      <c r="L8" s="62"/>
      <c r="M8" s="63"/>
      <c r="N8" s="63"/>
      <c r="O8" s="63"/>
      <c r="P8" s="63"/>
      <c r="Q8" s="64"/>
      <c r="R8" s="506"/>
      <c r="S8" s="507"/>
      <c r="T8" s="508"/>
      <c r="U8" s="487"/>
      <c r="V8" s="488"/>
      <c r="W8" s="506"/>
      <c r="X8" s="508"/>
      <c r="Y8" s="460" t="s">
        <v>99</v>
      </c>
      <c r="Z8" s="461"/>
      <c r="AA8" s="736"/>
      <c r="AB8" s="737"/>
    </row>
    <row r="9" spans="1:28" ht="15" customHeight="1" thickBot="1" x14ac:dyDescent="0.3">
      <c r="A9" s="468"/>
      <c r="B9" s="469"/>
      <c r="C9" s="497"/>
      <c r="D9" s="498"/>
      <c r="E9" s="498"/>
      <c r="F9" s="498"/>
      <c r="G9" s="498"/>
      <c r="H9" s="498"/>
      <c r="I9" s="498"/>
      <c r="J9" s="498"/>
      <c r="K9" s="499"/>
      <c r="L9" s="62"/>
      <c r="M9" s="63"/>
      <c r="N9" s="63"/>
      <c r="O9" s="63"/>
      <c r="P9" s="63"/>
      <c r="Q9" s="64"/>
      <c r="R9" s="509"/>
      <c r="S9" s="510"/>
      <c r="T9" s="511"/>
      <c r="U9" s="489"/>
      <c r="V9" s="490"/>
      <c r="W9" s="509"/>
      <c r="X9" s="511"/>
      <c r="Y9" s="452" t="s">
        <v>13</v>
      </c>
      <c r="Z9" s="453"/>
      <c r="AA9" s="454"/>
      <c r="AB9" s="455"/>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528" t="s">
        <v>17</v>
      </c>
      <c r="B11" s="529"/>
      <c r="C11" s="538"/>
      <c r="D11" s="539"/>
      <c r="E11" s="539"/>
      <c r="F11" s="539"/>
      <c r="G11" s="539"/>
      <c r="H11" s="539"/>
      <c r="I11" s="539"/>
      <c r="J11" s="539"/>
      <c r="K11" s="540"/>
      <c r="L11" s="72"/>
      <c r="M11" s="503" t="s">
        <v>19</v>
      </c>
      <c r="N11" s="504"/>
      <c r="O11" s="504"/>
      <c r="P11" s="504"/>
      <c r="Q11" s="505"/>
      <c r="R11" s="533"/>
      <c r="S11" s="534"/>
      <c r="T11" s="534"/>
      <c r="U11" s="534"/>
      <c r="V11" s="535"/>
      <c r="W11" s="503" t="s">
        <v>21</v>
      </c>
      <c r="X11" s="505"/>
      <c r="Y11" s="524"/>
      <c r="Z11" s="525"/>
      <c r="AA11" s="525"/>
      <c r="AB11" s="526"/>
    </row>
    <row r="12" spans="1:28" ht="9" customHeight="1" thickBot="1" x14ac:dyDescent="0.3">
      <c r="A12" s="59"/>
      <c r="B12" s="54"/>
      <c r="C12" s="527"/>
      <c r="D12" s="527"/>
      <c r="E12" s="527"/>
      <c r="F12" s="527"/>
      <c r="G12" s="527"/>
      <c r="H12" s="527"/>
      <c r="I12" s="527"/>
      <c r="J12" s="527"/>
      <c r="K12" s="527"/>
      <c r="L12" s="527"/>
      <c r="M12" s="527"/>
      <c r="N12" s="527"/>
      <c r="O12" s="527"/>
      <c r="P12" s="527"/>
      <c r="Q12" s="527"/>
      <c r="R12" s="527"/>
      <c r="S12" s="527"/>
      <c r="T12" s="527"/>
      <c r="U12" s="527"/>
      <c r="V12" s="527"/>
      <c r="W12" s="527"/>
      <c r="X12" s="527"/>
      <c r="Y12" s="527"/>
      <c r="Z12" s="527"/>
      <c r="AA12" s="73"/>
      <c r="AB12" s="74"/>
    </row>
    <row r="13" spans="1:28" s="76" customFormat="1" ht="37.5" customHeight="1" thickBot="1" x14ac:dyDescent="0.3">
      <c r="A13" s="528" t="s">
        <v>24</v>
      </c>
      <c r="B13" s="529"/>
      <c r="C13" s="530"/>
      <c r="D13" s="531"/>
      <c r="E13" s="531"/>
      <c r="F13" s="531"/>
      <c r="G13" s="531"/>
      <c r="H13" s="531"/>
      <c r="I13" s="531"/>
      <c r="J13" s="531"/>
      <c r="K13" s="531"/>
      <c r="L13" s="531"/>
      <c r="M13" s="531"/>
      <c r="N13" s="531"/>
      <c r="O13" s="531"/>
      <c r="P13" s="531"/>
      <c r="Q13" s="532"/>
      <c r="R13" s="54"/>
      <c r="S13" s="860" t="s">
        <v>165</v>
      </c>
      <c r="T13" s="860"/>
      <c r="U13" s="75"/>
      <c r="V13" s="859" t="s">
        <v>27</v>
      </c>
      <c r="W13" s="860"/>
      <c r="X13" s="860"/>
      <c r="Y13" s="860"/>
      <c r="Z13" s="54"/>
      <c r="AA13" s="514"/>
      <c r="AB13" s="515"/>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64" t="s">
        <v>7</v>
      </c>
      <c r="B15" s="465"/>
      <c r="C15" s="876" t="s">
        <v>166</v>
      </c>
      <c r="D15" s="80"/>
      <c r="E15" s="80"/>
      <c r="F15" s="80"/>
      <c r="G15" s="80"/>
      <c r="H15" s="80"/>
      <c r="I15" s="80"/>
      <c r="J15" s="70"/>
      <c r="K15" s="81"/>
      <c r="L15" s="70"/>
      <c r="M15" s="60"/>
      <c r="N15" s="60"/>
      <c r="O15" s="60"/>
      <c r="P15" s="60"/>
      <c r="Q15" s="861" t="s">
        <v>28</v>
      </c>
      <c r="R15" s="862"/>
      <c r="S15" s="862"/>
      <c r="T15" s="862"/>
      <c r="U15" s="862"/>
      <c r="V15" s="862"/>
      <c r="W15" s="862"/>
      <c r="X15" s="862"/>
      <c r="Y15" s="862"/>
      <c r="Z15" s="862"/>
      <c r="AA15" s="862"/>
      <c r="AB15" s="863"/>
    </row>
    <row r="16" spans="1:28" ht="35.25" customHeight="1" thickBot="1" x14ac:dyDescent="0.3">
      <c r="A16" s="468"/>
      <c r="B16" s="469"/>
      <c r="C16" s="877"/>
      <c r="D16" s="80"/>
      <c r="E16" s="80"/>
      <c r="F16" s="80"/>
      <c r="G16" s="80"/>
      <c r="H16" s="80"/>
      <c r="I16" s="80"/>
      <c r="J16" s="70"/>
      <c r="K16" s="70"/>
      <c r="L16" s="70"/>
      <c r="M16" s="60"/>
      <c r="N16" s="60"/>
      <c r="O16" s="60"/>
      <c r="P16" s="60"/>
      <c r="Q16" s="899" t="s">
        <v>167</v>
      </c>
      <c r="R16" s="900"/>
      <c r="S16" s="900"/>
      <c r="T16" s="900"/>
      <c r="U16" s="900"/>
      <c r="V16" s="901"/>
      <c r="W16" s="902" t="s">
        <v>168</v>
      </c>
      <c r="X16" s="900"/>
      <c r="Y16" s="900"/>
      <c r="Z16" s="900"/>
      <c r="AA16" s="900"/>
      <c r="AB16" s="903"/>
    </row>
    <row r="17" spans="1:39" ht="27" customHeight="1" x14ac:dyDescent="0.25">
      <c r="A17" s="82"/>
      <c r="B17" s="60"/>
      <c r="C17" s="60"/>
      <c r="D17" s="80"/>
      <c r="E17" s="80"/>
      <c r="F17" s="80"/>
      <c r="G17" s="80"/>
      <c r="H17" s="80"/>
      <c r="I17" s="80"/>
      <c r="J17" s="80"/>
      <c r="K17" s="80"/>
      <c r="L17" s="80"/>
      <c r="M17" s="60"/>
      <c r="N17" s="60"/>
      <c r="O17" s="60"/>
      <c r="P17" s="60"/>
      <c r="Q17" s="905" t="s">
        <v>169</v>
      </c>
      <c r="R17" s="906"/>
      <c r="S17" s="842"/>
      <c r="T17" s="836" t="s">
        <v>170</v>
      </c>
      <c r="U17" s="837"/>
      <c r="V17" s="838"/>
      <c r="W17" s="841" t="s">
        <v>169</v>
      </c>
      <c r="X17" s="842"/>
      <c r="Y17" s="841" t="s">
        <v>171</v>
      </c>
      <c r="Z17" s="842"/>
      <c r="AA17" s="836" t="s">
        <v>172</v>
      </c>
      <c r="AB17" s="843"/>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836"/>
      <c r="U18" s="837"/>
      <c r="V18" s="838"/>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904"/>
      <c r="R19" s="855"/>
      <c r="S19" s="856"/>
      <c r="T19" s="854"/>
      <c r="U19" s="855"/>
      <c r="V19" s="856"/>
      <c r="W19" s="864"/>
      <c r="X19" s="865"/>
      <c r="Y19" s="839"/>
      <c r="Z19" s="840"/>
      <c r="AA19" s="907"/>
      <c r="AB19" s="908"/>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516" t="s">
        <v>53</v>
      </c>
      <c r="B21" s="517"/>
      <c r="C21" s="518"/>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9"/>
    </row>
    <row r="22" spans="1:39" ht="15" customHeight="1" x14ac:dyDescent="0.25">
      <c r="A22" s="541" t="s">
        <v>54</v>
      </c>
      <c r="B22" s="543" t="s">
        <v>55</v>
      </c>
      <c r="C22" s="544"/>
      <c r="D22" s="521" t="s">
        <v>173</v>
      </c>
      <c r="E22" s="547"/>
      <c r="F22" s="547"/>
      <c r="G22" s="547"/>
      <c r="H22" s="547"/>
      <c r="I22" s="547"/>
      <c r="J22" s="547"/>
      <c r="K22" s="547"/>
      <c r="L22" s="547"/>
      <c r="M22" s="547"/>
      <c r="N22" s="547"/>
      <c r="O22" s="548"/>
      <c r="P22" s="549" t="s">
        <v>42</v>
      </c>
      <c r="Q22" s="549" t="s">
        <v>57</v>
      </c>
      <c r="R22" s="549"/>
      <c r="S22" s="549"/>
      <c r="T22" s="549"/>
      <c r="U22" s="549"/>
      <c r="V22" s="549"/>
      <c r="W22" s="549"/>
      <c r="X22" s="549"/>
      <c r="Y22" s="549"/>
      <c r="Z22" s="549"/>
      <c r="AA22" s="549"/>
      <c r="AB22" s="550"/>
    </row>
    <row r="23" spans="1:39" ht="27" customHeight="1" x14ac:dyDescent="0.25">
      <c r="A23" s="542"/>
      <c r="B23" s="545"/>
      <c r="C23" s="546"/>
      <c r="D23" s="88" t="s">
        <v>31</v>
      </c>
      <c r="E23" s="88" t="s">
        <v>32</v>
      </c>
      <c r="F23" s="88" t="s">
        <v>33</v>
      </c>
      <c r="G23" s="88" t="s">
        <v>34</v>
      </c>
      <c r="H23" s="88" t="s">
        <v>35</v>
      </c>
      <c r="I23" s="88" t="s">
        <v>8</v>
      </c>
      <c r="J23" s="88" t="s">
        <v>36</v>
      </c>
      <c r="K23" s="88" t="s">
        <v>37</v>
      </c>
      <c r="L23" s="88" t="s">
        <v>38</v>
      </c>
      <c r="M23" s="88" t="s">
        <v>39</v>
      </c>
      <c r="N23" s="88" t="s">
        <v>40</v>
      </c>
      <c r="O23" s="88" t="s">
        <v>41</v>
      </c>
      <c r="P23" s="548"/>
      <c r="Q23" s="549"/>
      <c r="R23" s="549"/>
      <c r="S23" s="549"/>
      <c r="T23" s="549"/>
      <c r="U23" s="549"/>
      <c r="V23" s="549"/>
      <c r="W23" s="549"/>
      <c r="X23" s="549"/>
      <c r="Y23" s="549"/>
      <c r="Z23" s="549"/>
      <c r="AA23" s="549"/>
      <c r="AB23" s="550"/>
    </row>
    <row r="24" spans="1:39" ht="42" customHeight="1" thickBot="1" x14ac:dyDescent="0.3">
      <c r="A24" s="85"/>
      <c r="B24" s="551"/>
      <c r="C24" s="552"/>
      <c r="D24" s="89"/>
      <c r="E24" s="89"/>
      <c r="F24" s="89"/>
      <c r="G24" s="89"/>
      <c r="H24" s="89"/>
      <c r="I24" s="89"/>
      <c r="J24" s="89"/>
      <c r="K24" s="89"/>
      <c r="L24" s="89"/>
      <c r="M24" s="89"/>
      <c r="N24" s="89"/>
      <c r="O24" s="89"/>
      <c r="P24" s="86">
        <f>SUM(D24:O24)</f>
        <v>0</v>
      </c>
      <c r="Q24" s="553" t="s">
        <v>174</v>
      </c>
      <c r="R24" s="553"/>
      <c r="S24" s="553"/>
      <c r="T24" s="553"/>
      <c r="U24" s="553"/>
      <c r="V24" s="553"/>
      <c r="W24" s="553"/>
      <c r="X24" s="553"/>
      <c r="Y24" s="553"/>
      <c r="Z24" s="553"/>
      <c r="AA24" s="553"/>
      <c r="AB24" s="554"/>
    </row>
    <row r="25" spans="1:39" ht="21.95" customHeight="1" x14ac:dyDescent="0.25">
      <c r="A25" s="473" t="s">
        <v>59</v>
      </c>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5"/>
    </row>
    <row r="26" spans="1:39" ht="23.1" customHeight="1" x14ac:dyDescent="0.25">
      <c r="A26" s="520" t="s">
        <v>60</v>
      </c>
      <c r="B26" s="549" t="s">
        <v>61</v>
      </c>
      <c r="C26" s="549" t="s">
        <v>55</v>
      </c>
      <c r="D26" s="549" t="s">
        <v>62</v>
      </c>
      <c r="E26" s="549"/>
      <c r="F26" s="549"/>
      <c r="G26" s="549"/>
      <c r="H26" s="549"/>
      <c r="I26" s="549"/>
      <c r="J26" s="549"/>
      <c r="K26" s="549"/>
      <c r="L26" s="549"/>
      <c r="M26" s="549"/>
      <c r="N26" s="549"/>
      <c r="O26" s="549"/>
      <c r="P26" s="549"/>
      <c r="Q26" s="549" t="s">
        <v>63</v>
      </c>
      <c r="R26" s="549"/>
      <c r="S26" s="549"/>
      <c r="T26" s="549"/>
      <c r="U26" s="549"/>
      <c r="V26" s="549"/>
      <c r="W26" s="549"/>
      <c r="X26" s="549"/>
      <c r="Y26" s="549"/>
      <c r="Z26" s="549"/>
      <c r="AA26" s="549"/>
      <c r="AB26" s="550"/>
      <c r="AE26" s="87"/>
      <c r="AF26" s="87"/>
      <c r="AG26" s="87"/>
      <c r="AH26" s="87"/>
      <c r="AI26" s="87"/>
      <c r="AJ26" s="87"/>
      <c r="AK26" s="87"/>
      <c r="AL26" s="87"/>
      <c r="AM26" s="87"/>
    </row>
    <row r="27" spans="1:39" ht="23.1" customHeight="1" x14ac:dyDescent="0.25">
      <c r="A27" s="520"/>
      <c r="B27" s="549"/>
      <c r="C27" s="719"/>
      <c r="D27" s="88" t="s">
        <v>31</v>
      </c>
      <c r="E27" s="88" t="s">
        <v>32</v>
      </c>
      <c r="F27" s="88" t="s">
        <v>33</v>
      </c>
      <c r="G27" s="88" t="s">
        <v>34</v>
      </c>
      <c r="H27" s="88" t="s">
        <v>35</v>
      </c>
      <c r="I27" s="88" t="s">
        <v>8</v>
      </c>
      <c r="J27" s="88" t="s">
        <v>36</v>
      </c>
      <c r="K27" s="88" t="s">
        <v>37</v>
      </c>
      <c r="L27" s="88" t="s">
        <v>38</v>
      </c>
      <c r="M27" s="88" t="s">
        <v>39</v>
      </c>
      <c r="N27" s="88" t="s">
        <v>40</v>
      </c>
      <c r="O27" s="88" t="s">
        <v>41</v>
      </c>
      <c r="P27" s="88" t="s">
        <v>42</v>
      </c>
      <c r="Q27" s="545" t="s">
        <v>175</v>
      </c>
      <c r="R27" s="562"/>
      <c r="S27" s="562"/>
      <c r="T27" s="546"/>
      <c r="U27" s="545" t="s">
        <v>106</v>
      </c>
      <c r="V27" s="562"/>
      <c r="W27" s="562"/>
      <c r="X27" s="546"/>
      <c r="Y27" s="545" t="s">
        <v>67</v>
      </c>
      <c r="Z27" s="562"/>
      <c r="AA27" s="562"/>
      <c r="AB27" s="563"/>
      <c r="AE27" s="87"/>
      <c r="AF27" s="87"/>
      <c r="AG27" s="87"/>
      <c r="AH27" s="87"/>
      <c r="AI27" s="87"/>
      <c r="AJ27" s="87"/>
      <c r="AK27" s="87"/>
      <c r="AL27" s="87"/>
      <c r="AM27" s="87"/>
    </row>
    <row r="28" spans="1:39" ht="33" customHeight="1" x14ac:dyDescent="0.25">
      <c r="A28" s="827"/>
      <c r="B28" s="759"/>
      <c r="C28" s="90" t="s">
        <v>68</v>
      </c>
      <c r="D28" s="89"/>
      <c r="E28" s="89"/>
      <c r="F28" s="89"/>
      <c r="G28" s="89"/>
      <c r="H28" s="89"/>
      <c r="I28" s="89"/>
      <c r="J28" s="89"/>
      <c r="K28" s="89"/>
      <c r="L28" s="89"/>
      <c r="M28" s="89"/>
      <c r="N28" s="89"/>
      <c r="O28" s="89"/>
      <c r="P28" s="161">
        <f>SUM(D28:O28)</f>
        <v>0</v>
      </c>
      <c r="Q28" s="829" t="s">
        <v>176</v>
      </c>
      <c r="R28" s="830"/>
      <c r="S28" s="830"/>
      <c r="T28" s="831"/>
      <c r="U28" s="829" t="s">
        <v>177</v>
      </c>
      <c r="V28" s="830"/>
      <c r="W28" s="830"/>
      <c r="X28" s="831"/>
      <c r="Y28" s="829" t="s">
        <v>178</v>
      </c>
      <c r="Z28" s="830"/>
      <c r="AA28" s="830"/>
      <c r="AB28" s="897"/>
      <c r="AE28" s="87"/>
      <c r="AF28" s="87"/>
      <c r="AG28" s="87"/>
      <c r="AH28" s="87"/>
      <c r="AI28" s="87"/>
      <c r="AJ28" s="87"/>
      <c r="AK28" s="87"/>
      <c r="AL28" s="87"/>
      <c r="AM28" s="87"/>
    </row>
    <row r="29" spans="1:39" ht="33.950000000000003" customHeight="1" thickBot="1" x14ac:dyDescent="0.3">
      <c r="A29" s="828"/>
      <c r="B29" s="835"/>
      <c r="C29" s="91" t="s">
        <v>72</v>
      </c>
      <c r="D29" s="92"/>
      <c r="E29" s="92"/>
      <c r="F29" s="92"/>
      <c r="G29" s="93"/>
      <c r="H29" s="93"/>
      <c r="I29" s="93"/>
      <c r="J29" s="93"/>
      <c r="K29" s="93"/>
      <c r="L29" s="93"/>
      <c r="M29" s="93"/>
      <c r="N29" s="93"/>
      <c r="O29" s="93"/>
      <c r="P29" s="162">
        <f>SUM(D29:O29)</f>
        <v>0</v>
      </c>
      <c r="Q29" s="832"/>
      <c r="R29" s="833"/>
      <c r="S29" s="833"/>
      <c r="T29" s="834"/>
      <c r="U29" s="832"/>
      <c r="V29" s="833"/>
      <c r="W29" s="833"/>
      <c r="X29" s="834"/>
      <c r="Y29" s="832"/>
      <c r="Z29" s="833"/>
      <c r="AA29" s="833"/>
      <c r="AB29" s="898"/>
      <c r="AC29" s="49"/>
      <c r="AE29" s="87"/>
      <c r="AF29" s="87"/>
      <c r="AG29" s="87"/>
      <c r="AH29" s="87"/>
      <c r="AI29" s="87"/>
      <c r="AJ29" s="87"/>
      <c r="AK29" s="87"/>
      <c r="AL29" s="87"/>
      <c r="AM29" s="87"/>
    </row>
    <row r="30" spans="1:39" ht="26.1" customHeight="1" x14ac:dyDescent="0.25">
      <c r="A30" s="512" t="s">
        <v>73</v>
      </c>
      <c r="B30" s="822" t="s">
        <v>74</v>
      </c>
      <c r="C30" s="558" t="s">
        <v>75</v>
      </c>
      <c r="D30" s="558"/>
      <c r="E30" s="558"/>
      <c r="F30" s="558"/>
      <c r="G30" s="558"/>
      <c r="H30" s="558"/>
      <c r="I30" s="558"/>
      <c r="J30" s="558"/>
      <c r="K30" s="558"/>
      <c r="L30" s="558"/>
      <c r="M30" s="558"/>
      <c r="N30" s="558"/>
      <c r="O30" s="558"/>
      <c r="P30" s="558"/>
      <c r="Q30" s="513" t="s">
        <v>76</v>
      </c>
      <c r="R30" s="595"/>
      <c r="S30" s="595"/>
      <c r="T30" s="595"/>
      <c r="U30" s="595"/>
      <c r="V30" s="595"/>
      <c r="W30" s="595"/>
      <c r="X30" s="595"/>
      <c r="Y30" s="595"/>
      <c r="Z30" s="595"/>
      <c r="AA30" s="595"/>
      <c r="AB30" s="596"/>
      <c r="AE30" s="87"/>
      <c r="AF30" s="87"/>
      <c r="AG30" s="87"/>
      <c r="AH30" s="87"/>
      <c r="AI30" s="87"/>
      <c r="AJ30" s="87"/>
      <c r="AK30" s="87"/>
      <c r="AL30" s="87"/>
      <c r="AM30" s="87"/>
    </row>
    <row r="31" spans="1:39" ht="26.1" customHeight="1" x14ac:dyDescent="0.25">
      <c r="A31" s="520"/>
      <c r="B31" s="823"/>
      <c r="C31" s="88" t="s">
        <v>77</v>
      </c>
      <c r="D31" s="88" t="s">
        <v>78</v>
      </c>
      <c r="E31" s="88" t="s">
        <v>79</v>
      </c>
      <c r="F31" s="88" t="s">
        <v>80</v>
      </c>
      <c r="G31" s="88" t="s">
        <v>81</v>
      </c>
      <c r="H31" s="88" t="s">
        <v>82</v>
      </c>
      <c r="I31" s="88" t="s">
        <v>83</v>
      </c>
      <c r="J31" s="88" t="s">
        <v>84</v>
      </c>
      <c r="K31" s="88" t="s">
        <v>85</v>
      </c>
      <c r="L31" s="88" t="s">
        <v>86</v>
      </c>
      <c r="M31" s="88" t="s">
        <v>87</v>
      </c>
      <c r="N31" s="88" t="s">
        <v>88</v>
      </c>
      <c r="O31" s="88" t="s">
        <v>89</v>
      </c>
      <c r="P31" s="88" t="s">
        <v>90</v>
      </c>
      <c r="Q31" s="521" t="s">
        <v>91</v>
      </c>
      <c r="R31" s="547"/>
      <c r="S31" s="547"/>
      <c r="T31" s="547"/>
      <c r="U31" s="547"/>
      <c r="V31" s="547"/>
      <c r="W31" s="547"/>
      <c r="X31" s="547"/>
      <c r="Y31" s="547"/>
      <c r="Z31" s="547"/>
      <c r="AA31" s="547"/>
      <c r="AB31" s="866"/>
      <c r="AE31" s="94"/>
      <c r="AF31" s="94"/>
      <c r="AG31" s="94"/>
      <c r="AH31" s="94"/>
      <c r="AI31" s="94"/>
      <c r="AJ31" s="94"/>
      <c r="AK31" s="94"/>
      <c r="AL31" s="94"/>
      <c r="AM31" s="94"/>
    </row>
    <row r="32" spans="1:39" ht="28.5" customHeight="1" x14ac:dyDescent="0.25">
      <c r="A32" s="825"/>
      <c r="B32" s="820"/>
      <c r="C32" s="90" t="s">
        <v>68</v>
      </c>
      <c r="D32" s="95"/>
      <c r="E32" s="95"/>
      <c r="F32" s="95"/>
      <c r="G32" s="95"/>
      <c r="H32" s="95"/>
      <c r="I32" s="95"/>
      <c r="J32" s="95"/>
      <c r="K32" s="95"/>
      <c r="L32" s="95"/>
      <c r="M32" s="95"/>
      <c r="N32" s="95"/>
      <c r="O32" s="95"/>
      <c r="P32" s="96">
        <f t="shared" ref="P32:P39" si="0">SUM(D32:O32)</f>
        <v>0</v>
      </c>
      <c r="Q32" s="870" t="s">
        <v>179</v>
      </c>
      <c r="R32" s="871"/>
      <c r="S32" s="871"/>
      <c r="T32" s="871"/>
      <c r="U32" s="871"/>
      <c r="V32" s="871"/>
      <c r="W32" s="871"/>
      <c r="X32" s="871"/>
      <c r="Y32" s="871"/>
      <c r="Z32" s="871"/>
      <c r="AA32" s="871"/>
      <c r="AB32" s="872"/>
      <c r="AC32" s="97"/>
      <c r="AE32" s="98"/>
      <c r="AF32" s="98"/>
      <c r="AG32" s="98"/>
      <c r="AH32" s="98"/>
      <c r="AI32" s="98"/>
      <c r="AJ32" s="98"/>
      <c r="AK32" s="98"/>
      <c r="AL32" s="98"/>
      <c r="AM32" s="98"/>
    </row>
    <row r="33" spans="1:29" ht="28.5" customHeight="1" x14ac:dyDescent="0.25">
      <c r="A33" s="826"/>
      <c r="B33" s="821"/>
      <c r="C33" s="99" t="s">
        <v>72</v>
      </c>
      <c r="D33" s="100"/>
      <c r="E33" s="100"/>
      <c r="F33" s="100"/>
      <c r="G33" s="100"/>
      <c r="H33" s="100"/>
      <c r="I33" s="100"/>
      <c r="J33" s="100"/>
      <c r="K33" s="100"/>
      <c r="L33" s="100"/>
      <c r="M33" s="100"/>
      <c r="N33" s="100"/>
      <c r="O33" s="100"/>
      <c r="P33" s="101">
        <f t="shared" si="0"/>
        <v>0</v>
      </c>
      <c r="Q33" s="873"/>
      <c r="R33" s="874"/>
      <c r="S33" s="874"/>
      <c r="T33" s="874"/>
      <c r="U33" s="874"/>
      <c r="V33" s="874"/>
      <c r="W33" s="874"/>
      <c r="X33" s="874"/>
      <c r="Y33" s="874"/>
      <c r="Z33" s="874"/>
      <c r="AA33" s="874"/>
      <c r="AB33" s="875"/>
      <c r="AC33" s="97"/>
    </row>
    <row r="34" spans="1:29" ht="28.5" customHeight="1" x14ac:dyDescent="0.25">
      <c r="A34" s="826"/>
      <c r="B34" s="824"/>
      <c r="C34" s="102" t="s">
        <v>68</v>
      </c>
      <c r="D34" s="103"/>
      <c r="E34" s="103"/>
      <c r="F34" s="103"/>
      <c r="G34" s="103"/>
      <c r="H34" s="103"/>
      <c r="I34" s="103"/>
      <c r="J34" s="103"/>
      <c r="K34" s="103"/>
      <c r="L34" s="103"/>
      <c r="M34" s="103"/>
      <c r="N34" s="103"/>
      <c r="O34" s="103"/>
      <c r="P34" s="101">
        <f t="shared" si="0"/>
        <v>0</v>
      </c>
      <c r="Q34" s="845"/>
      <c r="R34" s="846"/>
      <c r="S34" s="846"/>
      <c r="T34" s="846"/>
      <c r="U34" s="846"/>
      <c r="V34" s="846"/>
      <c r="W34" s="846"/>
      <c r="X34" s="846"/>
      <c r="Y34" s="846"/>
      <c r="Z34" s="846"/>
      <c r="AA34" s="846"/>
      <c r="AB34" s="847"/>
      <c r="AC34" s="97"/>
    </row>
    <row r="35" spans="1:29" ht="28.5" customHeight="1" x14ac:dyDescent="0.25">
      <c r="A35" s="826"/>
      <c r="B35" s="821"/>
      <c r="C35" s="99" t="s">
        <v>72</v>
      </c>
      <c r="D35" s="100"/>
      <c r="E35" s="100"/>
      <c r="F35" s="100"/>
      <c r="G35" s="100"/>
      <c r="H35" s="100"/>
      <c r="I35" s="100"/>
      <c r="J35" s="100"/>
      <c r="K35" s="100"/>
      <c r="L35" s="104"/>
      <c r="M35" s="104"/>
      <c r="N35" s="104"/>
      <c r="O35" s="104"/>
      <c r="P35" s="101">
        <f t="shared" si="0"/>
        <v>0</v>
      </c>
      <c r="Q35" s="851"/>
      <c r="R35" s="852"/>
      <c r="S35" s="852"/>
      <c r="T35" s="852"/>
      <c r="U35" s="852"/>
      <c r="V35" s="852"/>
      <c r="W35" s="852"/>
      <c r="X35" s="852"/>
      <c r="Y35" s="852"/>
      <c r="Z35" s="852"/>
      <c r="AA35" s="852"/>
      <c r="AB35" s="853"/>
      <c r="AC35" s="97"/>
    </row>
    <row r="36" spans="1:29" ht="28.5" customHeight="1" x14ac:dyDescent="0.25">
      <c r="A36" s="818"/>
      <c r="B36" s="824"/>
      <c r="C36" s="102" t="s">
        <v>68</v>
      </c>
      <c r="D36" s="103"/>
      <c r="E36" s="103"/>
      <c r="F36" s="103"/>
      <c r="G36" s="103"/>
      <c r="H36" s="103"/>
      <c r="I36" s="103"/>
      <c r="J36" s="103"/>
      <c r="K36" s="103"/>
      <c r="L36" s="103"/>
      <c r="M36" s="103"/>
      <c r="N36" s="103"/>
      <c r="O36" s="103"/>
      <c r="P36" s="101">
        <f t="shared" si="0"/>
        <v>0</v>
      </c>
      <c r="Q36" s="845"/>
      <c r="R36" s="846"/>
      <c r="S36" s="846"/>
      <c r="T36" s="846"/>
      <c r="U36" s="846"/>
      <c r="V36" s="846"/>
      <c r="W36" s="846"/>
      <c r="X36" s="846"/>
      <c r="Y36" s="846"/>
      <c r="Z36" s="846"/>
      <c r="AA36" s="846"/>
      <c r="AB36" s="847"/>
      <c r="AC36" s="97"/>
    </row>
    <row r="37" spans="1:29" ht="28.5" customHeight="1" x14ac:dyDescent="0.25">
      <c r="A37" s="819"/>
      <c r="B37" s="821"/>
      <c r="C37" s="99" t="s">
        <v>72</v>
      </c>
      <c r="D37" s="100"/>
      <c r="E37" s="100"/>
      <c r="F37" s="100"/>
      <c r="G37" s="100"/>
      <c r="H37" s="100"/>
      <c r="I37" s="100"/>
      <c r="J37" s="100"/>
      <c r="K37" s="100"/>
      <c r="L37" s="104"/>
      <c r="M37" s="104"/>
      <c r="N37" s="104"/>
      <c r="O37" s="104"/>
      <c r="P37" s="101">
        <f t="shared" si="0"/>
        <v>0</v>
      </c>
      <c r="Q37" s="851"/>
      <c r="R37" s="852"/>
      <c r="S37" s="852"/>
      <c r="T37" s="852"/>
      <c r="U37" s="852"/>
      <c r="V37" s="852"/>
      <c r="W37" s="852"/>
      <c r="X37" s="852"/>
      <c r="Y37" s="852"/>
      <c r="Z37" s="852"/>
      <c r="AA37" s="852"/>
      <c r="AB37" s="853"/>
      <c r="AC37" s="97"/>
    </row>
    <row r="38" spans="1:29" ht="28.5" customHeight="1" x14ac:dyDescent="0.25">
      <c r="A38" s="857"/>
      <c r="B38" s="824"/>
      <c r="C38" s="102" t="s">
        <v>68</v>
      </c>
      <c r="D38" s="103"/>
      <c r="E38" s="103"/>
      <c r="F38" s="103"/>
      <c r="G38" s="103"/>
      <c r="H38" s="103"/>
      <c r="I38" s="103"/>
      <c r="J38" s="103"/>
      <c r="K38" s="103"/>
      <c r="L38" s="103"/>
      <c r="M38" s="103"/>
      <c r="N38" s="103"/>
      <c r="O38" s="103"/>
      <c r="P38" s="101">
        <f t="shared" si="0"/>
        <v>0</v>
      </c>
      <c r="Q38" s="845"/>
      <c r="R38" s="846"/>
      <c r="S38" s="846"/>
      <c r="T38" s="846"/>
      <c r="U38" s="846"/>
      <c r="V38" s="846"/>
      <c r="W38" s="846"/>
      <c r="X38" s="846"/>
      <c r="Y38" s="846"/>
      <c r="Z38" s="846"/>
      <c r="AA38" s="846"/>
      <c r="AB38" s="847"/>
      <c r="AC38" s="97"/>
    </row>
    <row r="39" spans="1:29" ht="28.5" customHeight="1" thickBot="1" x14ac:dyDescent="0.3">
      <c r="A39" s="858"/>
      <c r="B39" s="844"/>
      <c r="C39" s="91" t="s">
        <v>72</v>
      </c>
      <c r="D39" s="105"/>
      <c r="E39" s="105"/>
      <c r="F39" s="105"/>
      <c r="G39" s="105"/>
      <c r="H39" s="105"/>
      <c r="I39" s="105"/>
      <c r="J39" s="105"/>
      <c r="K39" s="105"/>
      <c r="L39" s="106"/>
      <c r="M39" s="106"/>
      <c r="N39" s="106"/>
      <c r="O39" s="106"/>
      <c r="P39" s="107">
        <f t="shared" si="0"/>
        <v>0</v>
      </c>
      <c r="Q39" s="848"/>
      <c r="R39" s="849"/>
      <c r="S39" s="849"/>
      <c r="T39" s="849"/>
      <c r="U39" s="849"/>
      <c r="V39" s="849"/>
      <c r="W39" s="849"/>
      <c r="X39" s="849"/>
      <c r="Y39" s="849"/>
      <c r="Z39" s="849"/>
      <c r="AA39" s="849"/>
      <c r="AB39" s="850"/>
      <c r="AC39" s="97"/>
    </row>
    <row r="40" spans="1:29" x14ac:dyDescent="0.25">
      <c r="A40" s="50" t="s">
        <v>95</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customProperties>
    <customPr name="_pios_id" r:id="rId1"/>
  </customPropertie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C41"/>
  <sheetViews>
    <sheetView showGridLines="0" topLeftCell="AQ17" zoomScale="60" zoomScaleNormal="60" workbookViewId="0">
      <selection activeCell="AV18" sqref="AV18"/>
    </sheetView>
  </sheetViews>
  <sheetFormatPr baseColWidth="10" defaultColWidth="10.85546875" defaultRowHeight="15" x14ac:dyDescent="0.2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45" width="7.42578125" style="108" customWidth="1"/>
    <col min="46" max="46" width="17.140625" style="108" customWidth="1"/>
    <col min="47" max="47" width="15.85546875" style="195" customWidth="1"/>
    <col min="48" max="48" width="79.42578125" style="108" customWidth="1"/>
    <col min="49" max="49" width="114.85546875" style="108" customWidth="1"/>
    <col min="50" max="50" width="61.42578125" style="108" customWidth="1"/>
    <col min="51" max="51" width="24.42578125" style="108" customWidth="1"/>
    <col min="52" max="16384" width="10.85546875" style="108"/>
  </cols>
  <sheetData>
    <row r="1" spans="1:55" ht="15.95" customHeight="1" x14ac:dyDescent="0.25">
      <c r="A1" s="971" t="s">
        <v>0</v>
      </c>
      <c r="B1" s="972"/>
      <c r="C1" s="972"/>
      <c r="D1" s="972"/>
      <c r="E1" s="972"/>
      <c r="F1" s="972"/>
      <c r="G1" s="972"/>
      <c r="H1" s="972"/>
      <c r="I1" s="972"/>
      <c r="J1" s="972"/>
      <c r="K1" s="972"/>
      <c r="L1" s="972"/>
      <c r="M1" s="972"/>
      <c r="N1" s="972"/>
      <c r="O1" s="972"/>
      <c r="P1" s="972"/>
      <c r="Q1" s="972"/>
      <c r="R1" s="972"/>
      <c r="S1" s="972"/>
      <c r="T1" s="972"/>
      <c r="U1" s="972"/>
      <c r="V1" s="972"/>
      <c r="W1" s="972"/>
      <c r="X1" s="972"/>
      <c r="Y1" s="972"/>
      <c r="Z1" s="972"/>
      <c r="AA1" s="972"/>
      <c r="AB1" s="972"/>
      <c r="AC1" s="972"/>
      <c r="AD1" s="972"/>
      <c r="AE1" s="972"/>
      <c r="AF1" s="972"/>
      <c r="AG1" s="972"/>
      <c r="AH1" s="972"/>
      <c r="AI1" s="972"/>
      <c r="AJ1" s="972"/>
      <c r="AK1" s="972"/>
      <c r="AL1" s="972"/>
      <c r="AM1" s="972"/>
      <c r="AN1" s="972"/>
      <c r="AO1" s="972"/>
      <c r="AP1" s="972"/>
      <c r="AQ1" s="972"/>
      <c r="AR1" s="972"/>
      <c r="AS1" s="972"/>
      <c r="AT1" s="972"/>
      <c r="AU1" s="972"/>
      <c r="AV1" s="972"/>
      <c r="AW1" s="973"/>
      <c r="AX1" s="890" t="s">
        <v>1</v>
      </c>
      <c r="AY1" s="891"/>
    </row>
    <row r="2" spans="1:55" ht="15.95" customHeight="1" x14ac:dyDescent="0.25">
      <c r="A2" s="974" t="s">
        <v>97</v>
      </c>
      <c r="B2" s="975"/>
      <c r="C2" s="975"/>
      <c r="D2" s="975"/>
      <c r="E2" s="975"/>
      <c r="F2" s="975"/>
      <c r="G2" s="975"/>
      <c r="H2" s="975"/>
      <c r="I2" s="975"/>
      <c r="J2" s="975"/>
      <c r="K2" s="975"/>
      <c r="L2" s="975"/>
      <c r="M2" s="975"/>
      <c r="N2" s="975"/>
      <c r="O2" s="975"/>
      <c r="P2" s="975"/>
      <c r="Q2" s="975"/>
      <c r="R2" s="975"/>
      <c r="S2" s="975"/>
      <c r="T2" s="975"/>
      <c r="U2" s="975"/>
      <c r="V2" s="975"/>
      <c r="W2" s="975"/>
      <c r="X2" s="975"/>
      <c r="Y2" s="975"/>
      <c r="Z2" s="975"/>
      <c r="AA2" s="975"/>
      <c r="AB2" s="975"/>
      <c r="AC2" s="975"/>
      <c r="AD2" s="975"/>
      <c r="AE2" s="975"/>
      <c r="AF2" s="975"/>
      <c r="AG2" s="975"/>
      <c r="AH2" s="975"/>
      <c r="AI2" s="975"/>
      <c r="AJ2" s="975"/>
      <c r="AK2" s="975"/>
      <c r="AL2" s="975"/>
      <c r="AM2" s="975"/>
      <c r="AN2" s="975"/>
      <c r="AO2" s="975"/>
      <c r="AP2" s="975"/>
      <c r="AQ2" s="975"/>
      <c r="AR2" s="975"/>
      <c r="AS2" s="975"/>
      <c r="AT2" s="975"/>
      <c r="AU2" s="975"/>
      <c r="AV2" s="975"/>
      <c r="AW2" s="976"/>
      <c r="AX2" s="968" t="s">
        <v>3</v>
      </c>
      <c r="AY2" s="969"/>
    </row>
    <row r="3" spans="1:55" ht="15" customHeight="1" x14ac:dyDescent="0.25">
      <c r="A3" s="977" t="s">
        <v>180</v>
      </c>
      <c r="B3" s="978"/>
      <c r="C3" s="978"/>
      <c r="D3" s="978"/>
      <c r="E3" s="978"/>
      <c r="F3" s="978"/>
      <c r="G3" s="978"/>
      <c r="H3" s="978"/>
      <c r="I3" s="978"/>
      <c r="J3" s="978"/>
      <c r="K3" s="978"/>
      <c r="L3" s="978"/>
      <c r="M3" s="978"/>
      <c r="N3" s="978"/>
      <c r="O3" s="978"/>
      <c r="P3" s="978"/>
      <c r="Q3" s="978"/>
      <c r="R3" s="978"/>
      <c r="S3" s="978"/>
      <c r="T3" s="978"/>
      <c r="U3" s="978"/>
      <c r="V3" s="978"/>
      <c r="W3" s="978"/>
      <c r="X3" s="978"/>
      <c r="Y3" s="978"/>
      <c r="Z3" s="978"/>
      <c r="AA3" s="978"/>
      <c r="AB3" s="978"/>
      <c r="AC3" s="978"/>
      <c r="AD3" s="978"/>
      <c r="AE3" s="978"/>
      <c r="AF3" s="978"/>
      <c r="AG3" s="978"/>
      <c r="AH3" s="978"/>
      <c r="AI3" s="978"/>
      <c r="AJ3" s="978"/>
      <c r="AK3" s="978"/>
      <c r="AL3" s="978"/>
      <c r="AM3" s="978"/>
      <c r="AN3" s="978"/>
      <c r="AO3" s="978"/>
      <c r="AP3" s="978"/>
      <c r="AQ3" s="978"/>
      <c r="AR3" s="978"/>
      <c r="AS3" s="978"/>
      <c r="AT3" s="978"/>
      <c r="AU3" s="978"/>
      <c r="AV3" s="978"/>
      <c r="AW3" s="979"/>
      <c r="AX3" s="968" t="s">
        <v>5</v>
      </c>
      <c r="AY3" s="969"/>
    </row>
    <row r="4" spans="1:55" ht="15.95" customHeight="1" x14ac:dyDescent="0.25">
      <c r="A4" s="971"/>
      <c r="B4" s="972"/>
      <c r="C4" s="972"/>
      <c r="D4" s="972"/>
      <c r="E4" s="972"/>
      <c r="F4" s="972"/>
      <c r="G4" s="972"/>
      <c r="H4" s="972"/>
      <c r="I4" s="972"/>
      <c r="J4" s="972"/>
      <c r="K4" s="972"/>
      <c r="L4" s="972"/>
      <c r="M4" s="972"/>
      <c r="N4" s="972"/>
      <c r="O4" s="972"/>
      <c r="P4" s="972"/>
      <c r="Q4" s="972"/>
      <c r="R4" s="972"/>
      <c r="S4" s="972"/>
      <c r="T4" s="972"/>
      <c r="U4" s="972"/>
      <c r="V4" s="972"/>
      <c r="W4" s="972"/>
      <c r="X4" s="972"/>
      <c r="Y4" s="972"/>
      <c r="Z4" s="972"/>
      <c r="AA4" s="972"/>
      <c r="AB4" s="972"/>
      <c r="AC4" s="972"/>
      <c r="AD4" s="972"/>
      <c r="AE4" s="972"/>
      <c r="AF4" s="972"/>
      <c r="AG4" s="972"/>
      <c r="AH4" s="972"/>
      <c r="AI4" s="972"/>
      <c r="AJ4" s="972"/>
      <c r="AK4" s="972"/>
      <c r="AL4" s="972"/>
      <c r="AM4" s="972"/>
      <c r="AN4" s="972"/>
      <c r="AO4" s="972"/>
      <c r="AP4" s="972"/>
      <c r="AQ4" s="972"/>
      <c r="AR4" s="972"/>
      <c r="AS4" s="972"/>
      <c r="AT4" s="972"/>
      <c r="AU4" s="972"/>
      <c r="AV4" s="972"/>
      <c r="AW4" s="973"/>
      <c r="AX4" s="970" t="s">
        <v>181</v>
      </c>
      <c r="AY4" s="970"/>
    </row>
    <row r="5" spans="1:55" ht="15" customHeight="1" x14ac:dyDescent="0.25">
      <c r="A5" s="937" t="s">
        <v>182</v>
      </c>
      <c r="B5" s="938"/>
      <c r="C5" s="938"/>
      <c r="D5" s="938"/>
      <c r="E5" s="938"/>
      <c r="F5" s="938"/>
      <c r="G5" s="938"/>
      <c r="H5" s="938"/>
      <c r="I5" s="938"/>
      <c r="J5" s="938"/>
      <c r="K5" s="938"/>
      <c r="L5" s="938"/>
      <c r="M5" s="938"/>
      <c r="N5" s="938"/>
      <c r="O5" s="938"/>
      <c r="P5" s="938"/>
      <c r="Q5" s="938"/>
      <c r="R5" s="938"/>
      <c r="S5" s="938"/>
      <c r="T5" s="938"/>
      <c r="U5" s="938"/>
      <c r="V5" s="938"/>
      <c r="W5" s="938"/>
      <c r="X5" s="938"/>
      <c r="Y5" s="938"/>
      <c r="Z5" s="938"/>
      <c r="AA5" s="938"/>
      <c r="AB5" s="938"/>
      <c r="AC5" s="938"/>
      <c r="AD5" s="938"/>
      <c r="AE5" s="938"/>
      <c r="AF5" s="938"/>
      <c r="AG5" s="939"/>
      <c r="AH5" s="950" t="s">
        <v>13</v>
      </c>
      <c r="AI5" s="956"/>
      <c r="AJ5" s="956"/>
      <c r="AK5" s="956"/>
      <c r="AL5" s="956"/>
      <c r="AM5" s="956"/>
      <c r="AN5" s="956"/>
      <c r="AO5" s="956"/>
      <c r="AP5" s="956"/>
      <c r="AQ5" s="956"/>
      <c r="AR5" s="956"/>
      <c r="AS5" s="956"/>
      <c r="AT5" s="956"/>
      <c r="AU5" s="951"/>
      <c r="AV5" s="943" t="s">
        <v>183</v>
      </c>
      <c r="AW5" s="943" t="s">
        <v>184</v>
      </c>
      <c r="AX5" s="943" t="s">
        <v>185</v>
      </c>
      <c r="AY5" s="943" t="s">
        <v>186</v>
      </c>
    </row>
    <row r="6" spans="1:55" ht="15" customHeight="1" x14ac:dyDescent="0.25">
      <c r="A6" s="959" t="s">
        <v>9</v>
      </c>
      <c r="B6" s="959"/>
      <c r="C6" s="959"/>
      <c r="D6" s="960">
        <v>45113</v>
      </c>
      <c r="E6" s="961"/>
      <c r="F6" s="950" t="s">
        <v>10</v>
      </c>
      <c r="G6" s="951"/>
      <c r="H6" s="946" t="s">
        <v>98</v>
      </c>
      <c r="I6" s="946"/>
      <c r="J6" s="279"/>
      <c r="K6" s="950"/>
      <c r="L6" s="956"/>
      <c r="M6" s="956"/>
      <c r="N6" s="956"/>
      <c r="O6" s="956"/>
      <c r="P6" s="956"/>
      <c r="Q6" s="956"/>
      <c r="R6" s="956"/>
      <c r="S6" s="956"/>
      <c r="T6" s="956"/>
      <c r="U6" s="956"/>
      <c r="V6" s="109"/>
      <c r="W6" s="109"/>
      <c r="X6" s="109"/>
      <c r="Y6" s="109"/>
      <c r="Z6" s="109"/>
      <c r="AA6" s="109"/>
      <c r="AB6" s="109"/>
      <c r="AC6" s="109"/>
      <c r="AD6" s="109"/>
      <c r="AE6" s="109"/>
      <c r="AF6" s="109"/>
      <c r="AG6" s="110"/>
      <c r="AH6" s="952"/>
      <c r="AI6" s="957"/>
      <c r="AJ6" s="957"/>
      <c r="AK6" s="957"/>
      <c r="AL6" s="957"/>
      <c r="AM6" s="957"/>
      <c r="AN6" s="957"/>
      <c r="AO6" s="957"/>
      <c r="AP6" s="957"/>
      <c r="AQ6" s="957"/>
      <c r="AR6" s="957"/>
      <c r="AS6" s="957"/>
      <c r="AT6" s="957"/>
      <c r="AU6" s="953"/>
      <c r="AV6" s="945"/>
      <c r="AW6" s="945"/>
      <c r="AX6" s="945"/>
      <c r="AY6" s="945"/>
    </row>
    <row r="7" spans="1:55" ht="15" customHeight="1" x14ac:dyDescent="0.25">
      <c r="A7" s="959"/>
      <c r="B7" s="959"/>
      <c r="C7" s="959"/>
      <c r="D7" s="961"/>
      <c r="E7" s="961"/>
      <c r="F7" s="952"/>
      <c r="G7" s="953"/>
      <c r="H7" s="946" t="s">
        <v>99</v>
      </c>
      <c r="I7" s="946"/>
      <c r="J7" s="279"/>
      <c r="K7" s="952"/>
      <c r="L7" s="957"/>
      <c r="M7" s="957"/>
      <c r="N7" s="957"/>
      <c r="O7" s="957"/>
      <c r="P7" s="957"/>
      <c r="Q7" s="957"/>
      <c r="R7" s="957"/>
      <c r="S7" s="957"/>
      <c r="T7" s="957"/>
      <c r="U7" s="957"/>
      <c r="V7" s="111"/>
      <c r="W7" s="111"/>
      <c r="X7" s="111"/>
      <c r="Y7" s="111"/>
      <c r="Z7" s="111"/>
      <c r="AA7" s="111"/>
      <c r="AB7" s="111"/>
      <c r="AC7" s="111"/>
      <c r="AD7" s="111"/>
      <c r="AE7" s="111"/>
      <c r="AF7" s="111"/>
      <c r="AG7" s="112"/>
      <c r="AH7" s="952"/>
      <c r="AI7" s="957"/>
      <c r="AJ7" s="957"/>
      <c r="AK7" s="957"/>
      <c r="AL7" s="957"/>
      <c r="AM7" s="957"/>
      <c r="AN7" s="957"/>
      <c r="AO7" s="957"/>
      <c r="AP7" s="957"/>
      <c r="AQ7" s="957"/>
      <c r="AR7" s="957"/>
      <c r="AS7" s="957"/>
      <c r="AT7" s="957"/>
      <c r="AU7" s="953"/>
      <c r="AV7" s="945"/>
      <c r="AW7" s="945"/>
      <c r="AX7" s="945"/>
      <c r="AY7" s="945"/>
    </row>
    <row r="8" spans="1:55" ht="15" customHeight="1" x14ac:dyDescent="0.25">
      <c r="A8" s="959"/>
      <c r="B8" s="959"/>
      <c r="C8" s="959"/>
      <c r="D8" s="961"/>
      <c r="E8" s="961"/>
      <c r="F8" s="954"/>
      <c r="G8" s="955"/>
      <c r="H8" s="946" t="s">
        <v>13</v>
      </c>
      <c r="I8" s="946"/>
      <c r="J8" s="279" t="s">
        <v>14</v>
      </c>
      <c r="K8" s="954"/>
      <c r="L8" s="958"/>
      <c r="M8" s="958"/>
      <c r="N8" s="958"/>
      <c r="O8" s="958"/>
      <c r="P8" s="958"/>
      <c r="Q8" s="958"/>
      <c r="R8" s="958"/>
      <c r="S8" s="958"/>
      <c r="T8" s="958"/>
      <c r="U8" s="958"/>
      <c r="V8" s="113"/>
      <c r="W8" s="113"/>
      <c r="X8" s="113"/>
      <c r="Y8" s="113"/>
      <c r="Z8" s="113"/>
      <c r="AA8" s="113"/>
      <c r="AB8" s="113"/>
      <c r="AC8" s="113"/>
      <c r="AD8" s="113"/>
      <c r="AE8" s="113"/>
      <c r="AF8" s="113"/>
      <c r="AG8" s="114"/>
      <c r="AH8" s="952"/>
      <c r="AI8" s="957"/>
      <c r="AJ8" s="957"/>
      <c r="AK8" s="957"/>
      <c r="AL8" s="957"/>
      <c r="AM8" s="957"/>
      <c r="AN8" s="957"/>
      <c r="AO8" s="957"/>
      <c r="AP8" s="957"/>
      <c r="AQ8" s="957"/>
      <c r="AR8" s="957"/>
      <c r="AS8" s="957"/>
      <c r="AT8" s="957"/>
      <c r="AU8" s="953"/>
      <c r="AV8" s="945"/>
      <c r="AW8" s="945"/>
      <c r="AX8" s="945"/>
      <c r="AY8" s="945"/>
    </row>
    <row r="9" spans="1:55" ht="15" customHeight="1" x14ac:dyDescent="0.25">
      <c r="A9" s="962" t="s">
        <v>187</v>
      </c>
      <c r="B9" s="963"/>
      <c r="C9" s="964"/>
      <c r="D9" s="940" t="s">
        <v>22</v>
      </c>
      <c r="E9" s="941"/>
      <c r="F9" s="941"/>
      <c r="G9" s="941"/>
      <c r="H9" s="941"/>
      <c r="I9" s="941"/>
      <c r="J9" s="941"/>
      <c r="K9" s="941"/>
      <c r="L9" s="941"/>
      <c r="M9" s="941"/>
      <c r="N9" s="941"/>
      <c r="O9" s="941"/>
      <c r="P9" s="941"/>
      <c r="Q9" s="941"/>
      <c r="R9" s="941"/>
      <c r="S9" s="941"/>
      <c r="T9" s="941"/>
      <c r="U9" s="941"/>
      <c r="V9" s="941"/>
      <c r="W9" s="941"/>
      <c r="X9" s="941"/>
      <c r="Y9" s="941"/>
      <c r="Z9" s="941"/>
      <c r="AA9" s="941"/>
      <c r="AB9" s="941"/>
      <c r="AC9" s="941"/>
      <c r="AD9" s="941"/>
      <c r="AE9" s="941"/>
      <c r="AF9" s="941"/>
      <c r="AG9" s="942"/>
      <c r="AH9" s="952"/>
      <c r="AI9" s="957"/>
      <c r="AJ9" s="957"/>
      <c r="AK9" s="957"/>
      <c r="AL9" s="957"/>
      <c r="AM9" s="957"/>
      <c r="AN9" s="957"/>
      <c r="AO9" s="957"/>
      <c r="AP9" s="957"/>
      <c r="AQ9" s="957"/>
      <c r="AR9" s="957"/>
      <c r="AS9" s="957"/>
      <c r="AT9" s="957"/>
      <c r="AU9" s="953"/>
      <c r="AV9" s="945"/>
      <c r="AW9" s="945"/>
      <c r="AX9" s="945"/>
      <c r="AY9" s="945"/>
    </row>
    <row r="10" spans="1:55" ht="15" customHeight="1" x14ac:dyDescent="0.25">
      <c r="A10" s="965" t="s">
        <v>188</v>
      </c>
      <c r="B10" s="966"/>
      <c r="C10" s="967"/>
      <c r="D10" s="940" t="s">
        <v>189</v>
      </c>
      <c r="E10" s="941"/>
      <c r="F10" s="941"/>
      <c r="G10" s="941"/>
      <c r="H10" s="941"/>
      <c r="I10" s="941"/>
      <c r="J10" s="941"/>
      <c r="K10" s="941"/>
      <c r="L10" s="941"/>
      <c r="M10" s="941"/>
      <c r="N10" s="941"/>
      <c r="O10" s="941"/>
      <c r="P10" s="941"/>
      <c r="Q10" s="941"/>
      <c r="R10" s="941"/>
      <c r="S10" s="941"/>
      <c r="T10" s="941"/>
      <c r="U10" s="941"/>
      <c r="V10" s="941"/>
      <c r="W10" s="941"/>
      <c r="X10" s="941"/>
      <c r="Y10" s="941"/>
      <c r="Z10" s="941"/>
      <c r="AA10" s="941"/>
      <c r="AB10" s="941"/>
      <c r="AC10" s="941"/>
      <c r="AD10" s="941"/>
      <c r="AE10" s="941"/>
      <c r="AF10" s="941"/>
      <c r="AG10" s="942"/>
      <c r="AH10" s="954"/>
      <c r="AI10" s="958"/>
      <c r="AJ10" s="958"/>
      <c r="AK10" s="958"/>
      <c r="AL10" s="958"/>
      <c r="AM10" s="958"/>
      <c r="AN10" s="958"/>
      <c r="AO10" s="958"/>
      <c r="AP10" s="958"/>
      <c r="AQ10" s="958"/>
      <c r="AR10" s="958"/>
      <c r="AS10" s="958"/>
      <c r="AT10" s="958"/>
      <c r="AU10" s="955"/>
      <c r="AV10" s="945"/>
      <c r="AW10" s="945"/>
      <c r="AX10" s="945"/>
      <c r="AY10" s="945"/>
    </row>
    <row r="11" spans="1:55" ht="39.950000000000003" customHeight="1" x14ac:dyDescent="0.25">
      <c r="A11" s="947" t="s">
        <v>190</v>
      </c>
      <c r="B11" s="948"/>
      <c r="C11" s="948"/>
      <c r="D11" s="948"/>
      <c r="E11" s="948"/>
      <c r="F11" s="949"/>
      <c r="G11" s="947" t="s">
        <v>191</v>
      </c>
      <c r="H11" s="949"/>
      <c r="I11" s="943" t="s">
        <v>192</v>
      </c>
      <c r="J11" s="943" t="s">
        <v>193</v>
      </c>
      <c r="K11" s="943" t="s">
        <v>194</v>
      </c>
      <c r="L11" s="943" t="s">
        <v>195</v>
      </c>
      <c r="M11" s="943" t="s">
        <v>196</v>
      </c>
      <c r="N11" s="943" t="s">
        <v>197</v>
      </c>
      <c r="O11" s="947" t="s">
        <v>198</v>
      </c>
      <c r="P11" s="948"/>
      <c r="Q11" s="948"/>
      <c r="R11" s="948"/>
      <c r="S11" s="949"/>
      <c r="T11" s="943" t="s">
        <v>199</v>
      </c>
      <c r="U11" s="943" t="s">
        <v>200</v>
      </c>
      <c r="V11" s="937" t="s">
        <v>201</v>
      </c>
      <c r="W11" s="938"/>
      <c r="X11" s="938"/>
      <c r="Y11" s="938"/>
      <c r="Z11" s="938"/>
      <c r="AA11" s="938"/>
      <c r="AB11" s="938"/>
      <c r="AC11" s="938"/>
      <c r="AD11" s="938"/>
      <c r="AE11" s="938"/>
      <c r="AF11" s="938"/>
      <c r="AG11" s="939"/>
      <c r="AH11" s="937" t="s">
        <v>202</v>
      </c>
      <c r="AI11" s="938"/>
      <c r="AJ11" s="938"/>
      <c r="AK11" s="938"/>
      <c r="AL11" s="938"/>
      <c r="AM11" s="938"/>
      <c r="AN11" s="938"/>
      <c r="AO11" s="938"/>
      <c r="AP11" s="938"/>
      <c r="AQ11" s="938"/>
      <c r="AR11" s="938"/>
      <c r="AS11" s="939"/>
      <c r="AT11" s="947" t="s">
        <v>42</v>
      </c>
      <c r="AU11" s="949"/>
      <c r="AV11" s="945"/>
      <c r="AW11" s="945"/>
      <c r="AX11" s="945"/>
      <c r="AY11" s="945"/>
      <c r="BA11" s="325"/>
    </row>
    <row r="12" spans="1:55" ht="28.5" x14ac:dyDescent="0.25">
      <c r="A12" s="115" t="s">
        <v>203</v>
      </c>
      <c r="B12" s="115" t="s">
        <v>204</v>
      </c>
      <c r="C12" s="115" t="s">
        <v>205</v>
      </c>
      <c r="D12" s="115" t="s">
        <v>206</v>
      </c>
      <c r="E12" s="115" t="s">
        <v>207</v>
      </c>
      <c r="F12" s="115" t="s">
        <v>208</v>
      </c>
      <c r="G12" s="115" t="s">
        <v>209</v>
      </c>
      <c r="H12" s="115" t="s">
        <v>210</v>
      </c>
      <c r="I12" s="944"/>
      <c r="J12" s="944"/>
      <c r="K12" s="944"/>
      <c r="L12" s="944"/>
      <c r="M12" s="944"/>
      <c r="N12" s="944"/>
      <c r="O12" s="115">
        <v>2020</v>
      </c>
      <c r="P12" s="115">
        <v>2021</v>
      </c>
      <c r="Q12" s="115">
        <v>2022</v>
      </c>
      <c r="R12" s="115">
        <v>2023</v>
      </c>
      <c r="S12" s="115">
        <v>2024</v>
      </c>
      <c r="T12" s="944"/>
      <c r="U12" s="944"/>
      <c r="V12" s="119" t="s">
        <v>31</v>
      </c>
      <c r="W12" s="119" t="s">
        <v>32</v>
      </c>
      <c r="X12" s="119" t="s">
        <v>33</v>
      </c>
      <c r="Y12" s="119" t="s">
        <v>34</v>
      </c>
      <c r="Z12" s="119" t="s">
        <v>35</v>
      </c>
      <c r="AA12" s="119" t="s">
        <v>8</v>
      </c>
      <c r="AB12" s="119" t="s">
        <v>36</v>
      </c>
      <c r="AC12" s="119" t="s">
        <v>37</v>
      </c>
      <c r="AD12" s="119" t="s">
        <v>38</v>
      </c>
      <c r="AE12" s="119" t="s">
        <v>39</v>
      </c>
      <c r="AF12" s="119" t="s">
        <v>40</v>
      </c>
      <c r="AG12" s="119" t="s">
        <v>41</v>
      </c>
      <c r="AH12" s="119" t="s">
        <v>31</v>
      </c>
      <c r="AI12" s="119" t="s">
        <v>32</v>
      </c>
      <c r="AJ12" s="119" t="s">
        <v>33</v>
      </c>
      <c r="AK12" s="119" t="s">
        <v>34</v>
      </c>
      <c r="AL12" s="119" t="s">
        <v>35</v>
      </c>
      <c r="AM12" s="119" t="s">
        <v>8</v>
      </c>
      <c r="AN12" s="119" t="s">
        <v>36</v>
      </c>
      <c r="AO12" s="119" t="s">
        <v>37</v>
      </c>
      <c r="AP12" s="119" t="s">
        <v>38</v>
      </c>
      <c r="AQ12" s="119" t="s">
        <v>39</v>
      </c>
      <c r="AR12" s="119" t="s">
        <v>40</v>
      </c>
      <c r="AS12" s="119" t="s">
        <v>41</v>
      </c>
      <c r="AT12" s="115" t="s">
        <v>211</v>
      </c>
      <c r="AU12" s="194" t="s">
        <v>212</v>
      </c>
      <c r="AV12" s="945"/>
      <c r="AW12" s="945"/>
      <c r="AX12" s="945"/>
      <c r="AY12" s="945"/>
      <c r="BA12" s="325"/>
    </row>
    <row r="13" spans="1:55" ht="126" customHeight="1" x14ac:dyDescent="0.25">
      <c r="A13" s="207">
        <v>52</v>
      </c>
      <c r="B13" s="208"/>
      <c r="C13" s="208"/>
      <c r="D13" s="208"/>
      <c r="E13" s="208"/>
      <c r="F13" s="208"/>
      <c r="G13" s="209"/>
      <c r="H13" s="209"/>
      <c r="I13" s="208" t="s">
        <v>213</v>
      </c>
      <c r="J13" s="208" t="s">
        <v>214</v>
      </c>
      <c r="K13" s="208" t="s">
        <v>215</v>
      </c>
      <c r="L13" s="208">
        <v>1</v>
      </c>
      <c r="M13" s="208" t="s">
        <v>216</v>
      </c>
      <c r="N13" s="208" t="s">
        <v>217</v>
      </c>
      <c r="O13" s="210">
        <v>0.3</v>
      </c>
      <c r="P13" s="210">
        <v>0.7</v>
      </c>
      <c r="Q13" s="210">
        <v>1</v>
      </c>
      <c r="R13" s="210">
        <v>1</v>
      </c>
      <c r="S13" s="210">
        <v>1</v>
      </c>
      <c r="T13" s="211" t="s">
        <v>218</v>
      </c>
      <c r="U13" s="219" t="s">
        <v>219</v>
      </c>
      <c r="V13" s="302"/>
      <c r="W13" s="302"/>
      <c r="X13" s="302">
        <v>1</v>
      </c>
      <c r="Y13" s="302"/>
      <c r="Z13" s="302"/>
      <c r="AA13" s="302">
        <v>1</v>
      </c>
      <c r="AB13" s="302"/>
      <c r="AC13" s="302"/>
      <c r="AD13" s="302">
        <v>1</v>
      </c>
      <c r="AE13" s="302"/>
      <c r="AF13" s="302"/>
      <c r="AG13" s="302">
        <v>1</v>
      </c>
      <c r="AH13" s="389">
        <v>0</v>
      </c>
      <c r="AI13" s="390">
        <v>0</v>
      </c>
      <c r="AJ13" s="391">
        <v>1</v>
      </c>
      <c r="AK13" s="390">
        <v>0</v>
      </c>
      <c r="AL13" s="390">
        <v>0</v>
      </c>
      <c r="AM13" s="412">
        <v>1</v>
      </c>
      <c r="AN13" s="392"/>
      <c r="AO13" s="392"/>
      <c r="AP13" s="392"/>
      <c r="AQ13" s="392"/>
      <c r="AR13" s="392"/>
      <c r="AS13" s="392"/>
      <c r="AT13" s="118">
        <v>1</v>
      </c>
      <c r="AU13" s="303">
        <f t="shared" ref="AU13:AU18" si="0">+AT13/R13</f>
        <v>1</v>
      </c>
      <c r="AV13" s="437" t="s">
        <v>576</v>
      </c>
      <c r="AW13" s="406" t="s">
        <v>577</v>
      </c>
      <c r="AX13" s="407" t="s">
        <v>220</v>
      </c>
      <c r="AY13" s="407" t="s">
        <v>220</v>
      </c>
      <c r="BA13" s="326">
        <f>+R13-AVERAGE(V13:AG13)</f>
        <v>0</v>
      </c>
    </row>
    <row r="14" spans="1:55" ht="201.95" customHeight="1" x14ac:dyDescent="0.25">
      <c r="A14" s="207">
        <v>53</v>
      </c>
      <c r="B14" s="208"/>
      <c r="C14" s="208"/>
      <c r="D14" s="208"/>
      <c r="E14" s="208"/>
      <c r="F14" s="208"/>
      <c r="G14" s="209"/>
      <c r="H14" s="209"/>
      <c r="I14" s="208" t="s">
        <v>221</v>
      </c>
      <c r="J14" s="208" t="s">
        <v>222</v>
      </c>
      <c r="K14" s="208" t="s">
        <v>223</v>
      </c>
      <c r="L14" s="208">
        <v>100</v>
      </c>
      <c r="M14" s="208" t="s">
        <v>224</v>
      </c>
      <c r="N14" s="208" t="s">
        <v>225</v>
      </c>
      <c r="O14" s="211">
        <v>7</v>
      </c>
      <c r="P14" s="211">
        <v>17.91</v>
      </c>
      <c r="Q14" s="216">
        <v>25.09</v>
      </c>
      <c r="R14" s="211">
        <v>25</v>
      </c>
      <c r="S14" s="211">
        <v>25</v>
      </c>
      <c r="T14" s="212" t="s">
        <v>218</v>
      </c>
      <c r="U14" s="219" t="s">
        <v>219</v>
      </c>
      <c r="V14" s="304"/>
      <c r="W14" s="304"/>
      <c r="X14" s="302">
        <v>6.25</v>
      </c>
      <c r="Y14" s="304"/>
      <c r="Z14" s="304"/>
      <c r="AA14" s="302">
        <v>6.25</v>
      </c>
      <c r="AB14" s="304"/>
      <c r="AC14" s="304"/>
      <c r="AD14" s="302">
        <v>6.25</v>
      </c>
      <c r="AE14" s="304"/>
      <c r="AF14" s="304"/>
      <c r="AG14" s="302">
        <v>6.25</v>
      </c>
      <c r="AH14" s="389">
        <v>0</v>
      </c>
      <c r="AI14" s="389">
        <v>0</v>
      </c>
      <c r="AJ14" s="391">
        <v>6.25</v>
      </c>
      <c r="AK14" s="390">
        <v>0</v>
      </c>
      <c r="AL14" s="390">
        <v>0</v>
      </c>
      <c r="AM14" s="412">
        <v>6.25</v>
      </c>
      <c r="AN14" s="392"/>
      <c r="AO14" s="392"/>
      <c r="AP14" s="392"/>
      <c r="AQ14" s="392"/>
      <c r="AR14" s="392"/>
      <c r="AS14" s="392"/>
      <c r="AT14" s="118">
        <f>SUM(AH14:AS14)</f>
        <v>12.5</v>
      </c>
      <c r="AU14" s="303">
        <f t="shared" si="0"/>
        <v>0.5</v>
      </c>
      <c r="AV14" s="413" t="s">
        <v>69</v>
      </c>
      <c r="AW14" s="439" t="s">
        <v>579</v>
      </c>
      <c r="AX14" s="407" t="s">
        <v>220</v>
      </c>
      <c r="AY14" s="407" t="s">
        <v>220</v>
      </c>
      <c r="BA14" s="326">
        <f>+R14-SUM(V14:AG14)</f>
        <v>0</v>
      </c>
    </row>
    <row r="15" spans="1:55" ht="126" customHeight="1" x14ac:dyDescent="0.25">
      <c r="A15" s="207">
        <v>56</v>
      </c>
      <c r="B15" s="208"/>
      <c r="C15" s="208"/>
      <c r="D15" s="208"/>
      <c r="E15" s="208"/>
      <c r="F15" s="208"/>
      <c r="G15" s="209"/>
      <c r="H15" s="209"/>
      <c r="I15" s="208" t="s">
        <v>226</v>
      </c>
      <c r="J15" s="208" t="s">
        <v>227</v>
      </c>
      <c r="K15" s="208" t="s">
        <v>223</v>
      </c>
      <c r="L15" s="208">
        <v>2</v>
      </c>
      <c r="M15" s="208" t="s">
        <v>216</v>
      </c>
      <c r="N15" s="208" t="s">
        <v>567</v>
      </c>
      <c r="O15" s="210">
        <v>0.1</v>
      </c>
      <c r="P15" s="214">
        <v>0.49</v>
      </c>
      <c r="Q15" s="217">
        <v>0.51</v>
      </c>
      <c r="R15" s="215">
        <v>0.5</v>
      </c>
      <c r="S15" s="210">
        <v>0.4</v>
      </c>
      <c r="T15" s="211" t="s">
        <v>218</v>
      </c>
      <c r="U15" s="218" t="s">
        <v>228</v>
      </c>
      <c r="V15" s="305"/>
      <c r="W15" s="305"/>
      <c r="X15" s="311">
        <f>+R15/4</f>
        <v>0.125</v>
      </c>
      <c r="Y15" s="305"/>
      <c r="Z15" s="305"/>
      <c r="AA15" s="311">
        <f>+X15</f>
        <v>0.125</v>
      </c>
      <c r="AB15" s="305"/>
      <c r="AC15" s="305"/>
      <c r="AD15" s="311">
        <f>+AA15</f>
        <v>0.125</v>
      </c>
      <c r="AE15" s="305"/>
      <c r="AF15" s="305"/>
      <c r="AG15" s="311">
        <f>+AD15</f>
        <v>0.125</v>
      </c>
      <c r="AH15" s="389">
        <v>0</v>
      </c>
      <c r="AI15" s="389">
        <v>0</v>
      </c>
      <c r="AJ15" s="393">
        <f>+AG15</f>
        <v>0.125</v>
      </c>
      <c r="AK15" s="390">
        <v>0</v>
      </c>
      <c r="AL15" s="390">
        <v>0</v>
      </c>
      <c r="AM15" s="412">
        <f>+AJ15</f>
        <v>0.125</v>
      </c>
      <c r="AN15" s="392"/>
      <c r="AO15" s="392"/>
      <c r="AP15" s="392"/>
      <c r="AQ15" s="392"/>
      <c r="AR15" s="392"/>
      <c r="AS15" s="392"/>
      <c r="AT15" s="118">
        <f>SUM(AH15:AS15)</f>
        <v>0.25</v>
      </c>
      <c r="AU15" s="303">
        <f t="shared" si="0"/>
        <v>0.5</v>
      </c>
      <c r="AV15" s="414" t="s">
        <v>118</v>
      </c>
      <c r="AW15" s="438" t="s">
        <v>578</v>
      </c>
      <c r="AX15" s="407" t="s">
        <v>220</v>
      </c>
      <c r="AY15" s="407" t="s">
        <v>220</v>
      </c>
      <c r="BA15" s="326">
        <f t="shared" ref="BA15:BA18" si="1">+R15-SUM(V15:AG15)</f>
        <v>0</v>
      </c>
    </row>
    <row r="16" spans="1:55" ht="126" customHeight="1" x14ac:dyDescent="0.25">
      <c r="A16" s="208"/>
      <c r="B16" s="208"/>
      <c r="C16" s="208"/>
      <c r="D16" s="207">
        <v>43</v>
      </c>
      <c r="E16" s="208"/>
      <c r="F16" s="208"/>
      <c r="G16" s="209" t="s">
        <v>229</v>
      </c>
      <c r="H16" s="209"/>
      <c r="I16" s="208"/>
      <c r="J16" s="208" t="s">
        <v>230</v>
      </c>
      <c r="K16" s="208" t="s">
        <v>223</v>
      </c>
      <c r="L16" s="330">
        <v>12000</v>
      </c>
      <c r="M16" s="208" t="s">
        <v>231</v>
      </c>
      <c r="N16" s="208" t="s">
        <v>232</v>
      </c>
      <c r="O16" s="210">
        <v>0</v>
      </c>
      <c r="P16" s="207">
        <v>3000</v>
      </c>
      <c r="Q16" s="331">
        <v>4000</v>
      </c>
      <c r="R16" s="207">
        <v>4000</v>
      </c>
      <c r="S16" s="207">
        <v>1000</v>
      </c>
      <c r="T16" s="208" t="s">
        <v>233</v>
      </c>
      <c r="U16" s="332" t="s">
        <v>234</v>
      </c>
      <c r="V16" s="118">
        <v>0</v>
      </c>
      <c r="W16" s="118">
        <v>400</v>
      </c>
      <c r="X16" s="118">
        <v>400</v>
      </c>
      <c r="Y16" s="118">
        <v>400</v>
      </c>
      <c r="Z16" s="118">
        <v>400</v>
      </c>
      <c r="AA16" s="118">
        <v>400</v>
      </c>
      <c r="AB16" s="118">
        <v>400</v>
      </c>
      <c r="AC16" s="118">
        <v>400</v>
      </c>
      <c r="AD16" s="118">
        <v>400</v>
      </c>
      <c r="AE16" s="118">
        <v>400</v>
      </c>
      <c r="AF16" s="118">
        <v>400</v>
      </c>
      <c r="AG16" s="118">
        <v>0</v>
      </c>
      <c r="AH16" s="392">
        <v>0</v>
      </c>
      <c r="AI16" s="392">
        <v>0</v>
      </c>
      <c r="AJ16" s="392">
        <v>220</v>
      </c>
      <c r="AK16" s="392">
        <f>270+27</f>
        <v>297</v>
      </c>
      <c r="AL16" s="392">
        <f>450+146</f>
        <v>596</v>
      </c>
      <c r="AM16" s="400">
        <v>371</v>
      </c>
      <c r="AN16" s="392"/>
      <c r="AO16" s="392"/>
      <c r="AP16" s="392"/>
      <c r="AQ16" s="392"/>
      <c r="AR16" s="392"/>
      <c r="AS16" s="392"/>
      <c r="AT16" s="333">
        <f t="shared" ref="AT16" si="2">SUM(AH16:AS16)</f>
        <v>1484</v>
      </c>
      <c r="AU16" s="303">
        <f t="shared" si="0"/>
        <v>0.371</v>
      </c>
      <c r="AV16" s="401" t="s">
        <v>235</v>
      </c>
      <c r="AW16" s="402" t="s">
        <v>236</v>
      </c>
      <c r="AX16" s="402" t="s">
        <v>237</v>
      </c>
      <c r="AY16" s="402" t="s">
        <v>238</v>
      </c>
      <c r="BA16" s="403"/>
      <c r="BB16" s="404"/>
      <c r="BC16" s="405"/>
    </row>
    <row r="17" spans="1:53" ht="126" customHeight="1" x14ac:dyDescent="0.25">
      <c r="A17" s="208"/>
      <c r="B17" s="208"/>
      <c r="C17" s="208"/>
      <c r="D17" s="207">
        <v>46</v>
      </c>
      <c r="E17" s="334"/>
      <c r="F17" s="208"/>
      <c r="G17" s="209" t="s">
        <v>229</v>
      </c>
      <c r="H17" s="209"/>
      <c r="I17" s="208"/>
      <c r="J17" s="208" t="s">
        <v>239</v>
      </c>
      <c r="K17" s="208" t="s">
        <v>223</v>
      </c>
      <c r="L17" s="330">
        <v>16500</v>
      </c>
      <c r="M17" s="208" t="s">
        <v>240</v>
      </c>
      <c r="N17" s="208" t="s">
        <v>241</v>
      </c>
      <c r="O17" s="210">
        <v>0</v>
      </c>
      <c r="P17" s="207">
        <v>4000</v>
      </c>
      <c r="Q17" s="207">
        <v>5000</v>
      </c>
      <c r="R17" s="207">
        <v>5000</v>
      </c>
      <c r="S17" s="207">
        <v>2000</v>
      </c>
      <c r="T17" s="208" t="s">
        <v>233</v>
      </c>
      <c r="U17" s="332" t="s">
        <v>234</v>
      </c>
      <c r="V17" s="118">
        <v>0</v>
      </c>
      <c r="W17" s="118">
        <v>500</v>
      </c>
      <c r="X17" s="118">
        <v>500</v>
      </c>
      <c r="Y17" s="118">
        <v>500</v>
      </c>
      <c r="Z17" s="118">
        <v>500</v>
      </c>
      <c r="AA17" s="118">
        <v>500</v>
      </c>
      <c r="AB17" s="118">
        <v>500</v>
      </c>
      <c r="AC17" s="118">
        <v>500</v>
      </c>
      <c r="AD17" s="118">
        <v>500</v>
      </c>
      <c r="AE17" s="118">
        <v>500</v>
      </c>
      <c r="AF17" s="118">
        <v>500</v>
      </c>
      <c r="AG17" s="118">
        <v>0</v>
      </c>
      <c r="AH17" s="394"/>
      <c r="AI17" s="394">
        <v>134</v>
      </c>
      <c r="AJ17" s="392">
        <v>542</v>
      </c>
      <c r="AK17" s="392">
        <v>789</v>
      </c>
      <c r="AL17" s="392">
        <v>790</v>
      </c>
      <c r="AM17" s="400">
        <v>454</v>
      </c>
      <c r="AN17" s="392"/>
      <c r="AO17" s="392"/>
      <c r="AP17" s="392"/>
      <c r="AQ17" s="392"/>
      <c r="AR17" s="392"/>
      <c r="AS17" s="392"/>
      <c r="AT17" s="333">
        <f>SUM(AH17:AS17)</f>
        <v>2709</v>
      </c>
      <c r="AU17" s="335">
        <f t="shared" si="0"/>
        <v>0.54179999999999995</v>
      </c>
      <c r="AV17" s="406" t="s">
        <v>242</v>
      </c>
      <c r="AW17" s="402" t="s">
        <v>243</v>
      </c>
      <c r="AX17" s="407" t="s">
        <v>220</v>
      </c>
      <c r="AY17" s="407" t="s">
        <v>220</v>
      </c>
      <c r="BA17" s="326">
        <f t="shared" si="1"/>
        <v>0</v>
      </c>
    </row>
    <row r="18" spans="1:53" ht="126" customHeight="1" x14ac:dyDescent="0.25">
      <c r="A18" s="209">
        <v>56</v>
      </c>
      <c r="B18" s="209"/>
      <c r="C18" s="209"/>
      <c r="D18" s="209"/>
      <c r="E18" s="209"/>
      <c r="F18" s="209"/>
      <c r="G18" s="209"/>
      <c r="H18" s="209"/>
      <c r="I18" s="209"/>
      <c r="J18" s="209" t="s">
        <v>244</v>
      </c>
      <c r="K18" s="336" t="s">
        <v>223</v>
      </c>
      <c r="L18" s="337">
        <v>19</v>
      </c>
      <c r="M18" s="209" t="s">
        <v>245</v>
      </c>
      <c r="N18" s="209" t="s">
        <v>246</v>
      </c>
      <c r="O18" s="209">
        <v>2</v>
      </c>
      <c r="P18" s="209">
        <v>5</v>
      </c>
      <c r="Q18" s="209">
        <v>7</v>
      </c>
      <c r="R18" s="209">
        <v>5</v>
      </c>
      <c r="S18" s="209">
        <v>0</v>
      </c>
      <c r="T18" s="209" t="s">
        <v>233</v>
      </c>
      <c r="U18" s="338" t="s">
        <v>234</v>
      </c>
      <c r="V18" s="339">
        <v>0</v>
      </c>
      <c r="W18" s="339">
        <v>1</v>
      </c>
      <c r="X18" s="339">
        <v>1</v>
      </c>
      <c r="Y18" s="339">
        <v>1</v>
      </c>
      <c r="Z18" s="339">
        <v>0</v>
      </c>
      <c r="AA18" s="339">
        <v>0</v>
      </c>
      <c r="AB18" s="339">
        <v>1</v>
      </c>
      <c r="AC18" s="339">
        <v>0</v>
      </c>
      <c r="AD18" s="339">
        <v>1</v>
      </c>
      <c r="AE18" s="339">
        <v>0</v>
      </c>
      <c r="AF18" s="339">
        <v>0</v>
      </c>
      <c r="AG18" s="339">
        <v>0</v>
      </c>
      <c r="AH18" s="395">
        <v>0</v>
      </c>
      <c r="AI18" s="395">
        <v>1</v>
      </c>
      <c r="AJ18" s="396">
        <v>1</v>
      </c>
      <c r="AK18" s="392">
        <v>0</v>
      </c>
      <c r="AL18" s="396">
        <v>2</v>
      </c>
      <c r="AM18" s="400">
        <v>0</v>
      </c>
      <c r="AN18" s="396"/>
      <c r="AO18" s="396"/>
      <c r="AP18" s="396"/>
      <c r="AQ18" s="396"/>
      <c r="AR18" s="396"/>
      <c r="AS18" s="396"/>
      <c r="AT18" s="340">
        <f>SUM(AH18:AS18)</f>
        <v>4</v>
      </c>
      <c r="AU18" s="341">
        <f t="shared" si="0"/>
        <v>0.8</v>
      </c>
      <c r="AV18" s="406" t="s">
        <v>118</v>
      </c>
      <c r="AW18" s="402" t="s">
        <v>580</v>
      </c>
      <c r="AX18" s="407" t="s">
        <v>220</v>
      </c>
      <c r="AY18" s="407" t="s">
        <v>220</v>
      </c>
      <c r="BA18" s="326">
        <f t="shared" si="1"/>
        <v>0</v>
      </c>
    </row>
    <row r="19" spans="1:53" ht="126" customHeight="1" x14ac:dyDescent="0.25">
      <c r="A19" s="219"/>
      <c r="B19" s="219"/>
      <c r="C19" s="219"/>
      <c r="D19" s="219"/>
      <c r="E19" s="219"/>
      <c r="F19" s="219"/>
      <c r="G19" s="219" t="s">
        <v>229</v>
      </c>
      <c r="H19" s="342" t="s">
        <v>247</v>
      </c>
      <c r="I19" s="219" t="s">
        <v>248</v>
      </c>
      <c r="J19" s="219" t="s">
        <v>249</v>
      </c>
      <c r="K19" s="219" t="s">
        <v>250</v>
      </c>
      <c r="L19" s="343">
        <v>1</v>
      </c>
      <c r="M19" s="219" t="s">
        <v>251</v>
      </c>
      <c r="N19" s="219" t="s">
        <v>252</v>
      </c>
      <c r="O19" s="219">
        <v>0</v>
      </c>
      <c r="P19" s="219">
        <v>0</v>
      </c>
      <c r="Q19" s="219">
        <v>0</v>
      </c>
      <c r="R19" s="219">
        <v>100</v>
      </c>
      <c r="S19" s="219">
        <v>100</v>
      </c>
      <c r="T19" s="219" t="s">
        <v>233</v>
      </c>
      <c r="U19" s="219" t="s">
        <v>253</v>
      </c>
      <c r="V19" s="344">
        <v>1</v>
      </c>
      <c r="W19" s="344">
        <v>1</v>
      </c>
      <c r="X19" s="344">
        <v>1</v>
      </c>
      <c r="Y19" s="344">
        <v>1</v>
      </c>
      <c r="Z19" s="344">
        <v>1</v>
      </c>
      <c r="AA19" s="344">
        <v>1</v>
      </c>
      <c r="AB19" s="344">
        <v>1</v>
      </c>
      <c r="AC19" s="344">
        <v>1</v>
      </c>
      <c r="AD19" s="344">
        <v>1</v>
      </c>
      <c r="AE19" s="344">
        <v>1</v>
      </c>
      <c r="AF19" s="344">
        <v>1</v>
      </c>
      <c r="AG19" s="344">
        <v>1</v>
      </c>
      <c r="AH19" s="397">
        <v>0.84</v>
      </c>
      <c r="AI19" s="397">
        <v>0.42</v>
      </c>
      <c r="AJ19" s="398">
        <v>1.98</v>
      </c>
      <c r="AK19" s="398">
        <v>1.3</v>
      </c>
      <c r="AL19" s="398">
        <v>1.84</v>
      </c>
      <c r="AM19" s="415">
        <v>1.46</v>
      </c>
      <c r="AN19" s="392"/>
      <c r="AO19" s="392"/>
      <c r="AP19" s="392"/>
      <c r="AQ19" s="392"/>
      <c r="AR19" s="392"/>
      <c r="AS19" s="392"/>
      <c r="AT19" s="335">
        <f>+SUM(AH19:AM19)</f>
        <v>7.84</v>
      </c>
      <c r="AU19" s="440">
        <f>+AT19/SUM(V19:AA19)</f>
        <v>1.3066666666666666</v>
      </c>
      <c r="AV19" s="406" t="s">
        <v>254</v>
      </c>
      <c r="AW19" s="406" t="s">
        <v>583</v>
      </c>
      <c r="AX19" s="407" t="s">
        <v>220</v>
      </c>
      <c r="AY19" s="407" t="s">
        <v>220</v>
      </c>
      <c r="BA19" s="326">
        <f>+R19-AVERAGE(V19:AG19)</f>
        <v>99</v>
      </c>
    </row>
    <row r="20" spans="1:53" x14ac:dyDescent="0.25">
      <c r="A20" s="933" t="s">
        <v>95</v>
      </c>
      <c r="B20" s="934"/>
      <c r="C20" s="934"/>
      <c r="D20" s="934"/>
      <c r="E20" s="934"/>
      <c r="F20" s="934"/>
      <c r="G20" s="934"/>
      <c r="H20" s="934"/>
      <c r="I20" s="934"/>
      <c r="J20" s="934"/>
      <c r="K20" s="934"/>
      <c r="L20" s="934"/>
      <c r="M20" s="934"/>
      <c r="N20" s="934"/>
      <c r="O20" s="934"/>
      <c r="P20" s="934"/>
      <c r="Q20" s="934"/>
      <c r="R20" s="934"/>
      <c r="S20" s="934"/>
      <c r="T20" s="934"/>
      <c r="U20" s="934"/>
      <c r="V20" s="934"/>
      <c r="W20" s="934"/>
      <c r="X20" s="934"/>
      <c r="Y20" s="934"/>
      <c r="Z20" s="934"/>
      <c r="AA20" s="934"/>
      <c r="AB20" s="934"/>
      <c r="AC20" s="934"/>
      <c r="AD20" s="934"/>
      <c r="AE20" s="934"/>
      <c r="AF20" s="934"/>
      <c r="AG20" s="934"/>
      <c r="AH20" s="934"/>
      <c r="AI20" s="934"/>
      <c r="AJ20" s="934"/>
      <c r="AK20" s="934"/>
      <c r="AL20" s="934"/>
      <c r="AM20" s="934"/>
      <c r="AN20" s="934"/>
      <c r="AO20" s="934"/>
      <c r="AP20" s="934"/>
      <c r="AQ20" s="934"/>
      <c r="AR20" s="934"/>
      <c r="AS20" s="934"/>
      <c r="AT20" s="934"/>
      <c r="AU20" s="934"/>
      <c r="AV20" s="935"/>
      <c r="AW20" s="935"/>
      <c r="AX20" s="935"/>
      <c r="AY20" s="936"/>
      <c r="BA20" s="325"/>
    </row>
    <row r="21" spans="1:53" ht="31.5" customHeight="1" x14ac:dyDescent="0.25">
      <c r="A21" s="924" t="s">
        <v>255</v>
      </c>
      <c r="B21" s="925"/>
      <c r="C21" s="926"/>
      <c r="D21" s="912" t="s">
        <v>256</v>
      </c>
      <c r="E21" s="913"/>
      <c r="F21" s="913"/>
      <c r="G21" s="913"/>
      <c r="H21" s="913"/>
      <c r="I21" s="914"/>
      <c r="J21" s="915" t="s">
        <v>257</v>
      </c>
      <c r="K21" s="916"/>
      <c r="L21" s="916"/>
      <c r="M21" s="916"/>
      <c r="N21" s="916"/>
      <c r="O21" s="917"/>
      <c r="P21" s="912" t="s">
        <v>258</v>
      </c>
      <c r="Q21" s="913"/>
      <c r="R21" s="913"/>
      <c r="S21" s="913"/>
      <c r="T21" s="913"/>
      <c r="U21" s="914"/>
      <c r="V21" s="912" t="s">
        <v>258</v>
      </c>
      <c r="W21" s="913"/>
      <c r="X21" s="913"/>
      <c r="Y21" s="913"/>
      <c r="Z21" s="913"/>
      <c r="AA21" s="913"/>
      <c r="AB21" s="913"/>
      <c r="AC21" s="914"/>
      <c r="AD21" s="912" t="s">
        <v>258</v>
      </c>
      <c r="AE21" s="913"/>
      <c r="AF21" s="913"/>
      <c r="AG21" s="913"/>
      <c r="AH21" s="913"/>
      <c r="AI21" s="913"/>
      <c r="AJ21" s="913"/>
      <c r="AK21" s="913"/>
      <c r="AL21" s="913"/>
      <c r="AM21" s="913"/>
      <c r="AN21" s="913"/>
      <c r="AO21" s="914"/>
      <c r="AP21" s="915" t="s">
        <v>259</v>
      </c>
      <c r="AQ21" s="916"/>
      <c r="AR21" s="916"/>
      <c r="AS21" s="917"/>
      <c r="AT21" s="912" t="s">
        <v>260</v>
      </c>
      <c r="AU21" s="913"/>
      <c r="AV21" s="913"/>
      <c r="AW21" s="913"/>
      <c r="AX21" s="913"/>
      <c r="AY21" s="914"/>
      <c r="AZ21" s="127"/>
      <c r="BA21" s="325"/>
    </row>
    <row r="22" spans="1:53" ht="15" customHeight="1" x14ac:dyDescent="0.25">
      <c r="A22" s="927"/>
      <c r="B22" s="928"/>
      <c r="C22" s="929"/>
      <c r="D22" s="909" t="s">
        <v>261</v>
      </c>
      <c r="E22" s="910"/>
      <c r="F22" s="910"/>
      <c r="G22" s="910"/>
      <c r="H22" s="910"/>
      <c r="I22" s="911"/>
      <c r="J22" s="918"/>
      <c r="K22" s="919"/>
      <c r="L22" s="919"/>
      <c r="M22" s="919"/>
      <c r="N22" s="919"/>
      <c r="O22" s="920"/>
      <c r="P22" s="909" t="s">
        <v>45</v>
      </c>
      <c r="Q22" s="910"/>
      <c r="R22" s="910"/>
      <c r="S22" s="910"/>
      <c r="T22" s="910"/>
      <c r="U22" s="911"/>
      <c r="V22" s="909" t="s">
        <v>262</v>
      </c>
      <c r="W22" s="910"/>
      <c r="X22" s="910"/>
      <c r="Y22" s="910"/>
      <c r="Z22" s="910"/>
      <c r="AA22" s="910"/>
      <c r="AB22" s="910"/>
      <c r="AC22" s="911"/>
      <c r="AD22" s="909" t="s">
        <v>263</v>
      </c>
      <c r="AE22" s="910"/>
      <c r="AF22" s="910"/>
      <c r="AG22" s="910"/>
      <c r="AH22" s="910"/>
      <c r="AI22" s="910"/>
      <c r="AJ22" s="910"/>
      <c r="AK22" s="910"/>
      <c r="AL22" s="910"/>
      <c r="AM22" s="910"/>
      <c r="AN22" s="910"/>
      <c r="AO22" s="911"/>
      <c r="AP22" s="918"/>
      <c r="AQ22" s="919"/>
      <c r="AR22" s="919"/>
      <c r="AS22" s="920"/>
      <c r="AT22" s="909" t="s">
        <v>264</v>
      </c>
      <c r="AU22" s="910"/>
      <c r="AV22" s="910"/>
      <c r="AW22" s="910"/>
      <c r="AX22" s="910"/>
      <c r="AY22" s="911"/>
      <c r="AZ22" s="127"/>
    </row>
    <row r="23" spans="1:53" ht="15.95" customHeight="1" x14ac:dyDescent="0.25">
      <c r="A23" s="930"/>
      <c r="B23" s="931"/>
      <c r="C23" s="932"/>
      <c r="D23" s="909" t="s">
        <v>265</v>
      </c>
      <c r="E23" s="910"/>
      <c r="F23" s="910"/>
      <c r="G23" s="910"/>
      <c r="H23" s="910"/>
      <c r="I23" s="911"/>
      <c r="J23" s="921"/>
      <c r="K23" s="922"/>
      <c r="L23" s="922"/>
      <c r="M23" s="922"/>
      <c r="N23" s="922"/>
      <c r="O23" s="923"/>
      <c r="P23" s="909" t="s">
        <v>48</v>
      </c>
      <c r="Q23" s="910"/>
      <c r="R23" s="910"/>
      <c r="S23" s="910"/>
      <c r="T23" s="910"/>
      <c r="U23" s="911"/>
      <c r="V23" s="909" t="s">
        <v>266</v>
      </c>
      <c r="W23" s="910"/>
      <c r="X23" s="910"/>
      <c r="Y23" s="910"/>
      <c r="Z23" s="910"/>
      <c r="AA23" s="910"/>
      <c r="AB23" s="910"/>
      <c r="AC23" s="911"/>
      <c r="AD23" s="909" t="s">
        <v>267</v>
      </c>
      <c r="AE23" s="910"/>
      <c r="AF23" s="910"/>
      <c r="AG23" s="910"/>
      <c r="AH23" s="910"/>
      <c r="AI23" s="910"/>
      <c r="AJ23" s="910"/>
      <c r="AK23" s="910"/>
      <c r="AL23" s="910"/>
      <c r="AM23" s="910"/>
      <c r="AN23" s="910"/>
      <c r="AO23" s="911"/>
      <c r="AP23" s="921"/>
      <c r="AQ23" s="922"/>
      <c r="AR23" s="922"/>
      <c r="AS23" s="923"/>
      <c r="AT23" s="909" t="s">
        <v>268</v>
      </c>
      <c r="AU23" s="910"/>
      <c r="AV23" s="910"/>
      <c r="AW23" s="910"/>
      <c r="AX23" s="910"/>
      <c r="AY23" s="911"/>
      <c r="AZ23" s="127"/>
    </row>
    <row r="25" spans="1:53" hidden="1" x14ac:dyDescent="0.25"/>
    <row r="26" spans="1:53" hidden="1" x14ac:dyDescent="0.25">
      <c r="Y26" s="108">
        <v>0.5</v>
      </c>
      <c r="Z26" s="108">
        <f>+Y26/4</f>
        <v>0.125</v>
      </c>
    </row>
    <row r="27" spans="1:53" hidden="1" x14ac:dyDescent="0.25">
      <c r="Z27" s="108">
        <f>+Y26/4</f>
        <v>0.125</v>
      </c>
      <c r="AD27" s="108" t="s">
        <v>269</v>
      </c>
    </row>
    <row r="28" spans="1:53" hidden="1" x14ac:dyDescent="0.25">
      <c r="Z28" s="108">
        <f>25/4</f>
        <v>6.25</v>
      </c>
      <c r="AD28" s="108" t="s">
        <v>270</v>
      </c>
    </row>
    <row r="29" spans="1:53" hidden="1" x14ac:dyDescent="0.25"/>
    <row r="30" spans="1:53" hidden="1" x14ac:dyDescent="0.25"/>
    <row r="34" spans="17:47" x14ac:dyDescent="0.25">
      <c r="W34" s="323"/>
      <c r="X34" s="323"/>
      <c r="Y34" s="323"/>
      <c r="Z34" s="323"/>
      <c r="AT34" s="441">
        <f>+SUM(V19:AA19)</f>
        <v>6</v>
      </c>
    </row>
    <row r="35" spans="17:47" x14ac:dyDescent="0.25">
      <c r="W35" s="323"/>
      <c r="X35" s="323"/>
      <c r="Y35" s="323"/>
      <c r="Z35" s="323"/>
      <c r="AT35" s="441">
        <f>+SUM(AH19:AM19)</f>
        <v>7.84</v>
      </c>
      <c r="AU35" s="195">
        <f>+AT35/AT34</f>
        <v>1.3066666666666666</v>
      </c>
    </row>
    <row r="38" spans="17:47" x14ac:dyDescent="0.25">
      <c r="Q38" s="323"/>
      <c r="R38" s="323"/>
      <c r="S38" s="323"/>
      <c r="T38" s="323"/>
      <c r="U38" s="323"/>
      <c r="V38" s="323"/>
      <c r="W38" s="323"/>
      <c r="X38" s="323"/>
      <c r="Y38" s="323"/>
      <c r="Z38" s="323"/>
      <c r="AA38" s="323"/>
      <c r="AB38" s="323"/>
      <c r="AC38" s="323"/>
      <c r="AD38" s="323"/>
    </row>
    <row r="39" spans="17:47" x14ac:dyDescent="0.25">
      <c r="Q39" s="323"/>
      <c r="R39" s="323"/>
      <c r="S39" s="323"/>
      <c r="T39" s="323"/>
      <c r="U39" s="323"/>
      <c r="V39" s="323"/>
      <c r="W39" s="323"/>
      <c r="X39" s="323"/>
      <c r="Y39" s="323"/>
      <c r="Z39" s="323"/>
      <c r="AA39" s="323"/>
      <c r="AB39" s="323"/>
      <c r="AC39" s="323"/>
      <c r="AD39" s="323"/>
    </row>
    <row r="40" spans="17:47" x14ac:dyDescent="0.25">
      <c r="Q40" s="323"/>
      <c r="R40" s="323"/>
      <c r="S40" s="323"/>
      <c r="T40" s="323"/>
      <c r="U40" s="323"/>
      <c r="V40" s="323"/>
      <c r="W40" s="323"/>
      <c r="X40" s="323"/>
      <c r="Y40" s="323"/>
      <c r="Z40" s="323"/>
      <c r="AA40" s="323"/>
      <c r="AB40" s="323"/>
      <c r="AC40" s="323"/>
      <c r="AD40" s="323"/>
    </row>
    <row r="41" spans="17:47" x14ac:dyDescent="0.25">
      <c r="Q41" s="323"/>
      <c r="R41" s="323"/>
      <c r="S41" s="323"/>
      <c r="T41" s="323"/>
      <c r="U41" s="323"/>
      <c r="V41" s="323"/>
      <c r="W41" s="323"/>
      <c r="X41" s="323"/>
      <c r="Y41" s="323"/>
      <c r="Z41" s="323"/>
      <c r="AA41" s="323"/>
      <c r="AB41" s="323"/>
      <c r="AC41" s="323"/>
      <c r="AD41" s="323"/>
    </row>
  </sheetData>
  <mergeCells count="57">
    <mergeCell ref="A10:C10"/>
    <mergeCell ref="D9:AG9"/>
    <mergeCell ref="AX1:AY1"/>
    <mergeCell ref="AX2:AY2"/>
    <mergeCell ref="AX3:AY3"/>
    <mergeCell ref="AX4:AY4"/>
    <mergeCell ref="A1:AW1"/>
    <mergeCell ref="A2:AW2"/>
    <mergeCell ref="A3:AW4"/>
    <mergeCell ref="AD22:AO22"/>
    <mergeCell ref="AH5:AU10"/>
    <mergeCell ref="K6:U8"/>
    <mergeCell ref="AV5:AV12"/>
    <mergeCell ref="A5:AG5"/>
    <mergeCell ref="A6:C8"/>
    <mergeCell ref="D6:E8"/>
    <mergeCell ref="AT11:AU11"/>
    <mergeCell ref="AH11:AS11"/>
    <mergeCell ref="I11:I12"/>
    <mergeCell ref="J11:J12"/>
    <mergeCell ref="K11:K12"/>
    <mergeCell ref="U11:U12"/>
    <mergeCell ref="O11:S11"/>
    <mergeCell ref="V22:AC22"/>
    <mergeCell ref="A9:C9"/>
    <mergeCell ref="A20:AY20"/>
    <mergeCell ref="V11:AG11"/>
    <mergeCell ref="D10:AG10"/>
    <mergeCell ref="L11:L12"/>
    <mergeCell ref="AX5:AX12"/>
    <mergeCell ref="AY5:AY12"/>
    <mergeCell ref="H7:I7"/>
    <mergeCell ref="H8:I8"/>
    <mergeCell ref="A11:F11"/>
    <mergeCell ref="G11:H11"/>
    <mergeCell ref="T11:T12"/>
    <mergeCell ref="N11:N12"/>
    <mergeCell ref="M11:M12"/>
    <mergeCell ref="AW5:AW12"/>
    <mergeCell ref="F6:G8"/>
    <mergeCell ref="H6:I6"/>
    <mergeCell ref="AT23:AY23"/>
    <mergeCell ref="D21:I21"/>
    <mergeCell ref="AP21:AS23"/>
    <mergeCell ref="V23:AC23"/>
    <mergeCell ref="A21:C23"/>
    <mergeCell ref="J21:O23"/>
    <mergeCell ref="P22:U22"/>
    <mergeCell ref="P23:U23"/>
    <mergeCell ref="V21:AC21"/>
    <mergeCell ref="D22:I22"/>
    <mergeCell ref="D23:I23"/>
    <mergeCell ref="AD21:AO21"/>
    <mergeCell ref="AT22:AY22"/>
    <mergeCell ref="AT21:AY21"/>
    <mergeCell ref="AD23:AO23"/>
    <mergeCell ref="P21:U21"/>
  </mergeCells>
  <pageMargins left="0.7" right="0.7" top="0.75" bottom="0.75" header="0.3" footer="0.3"/>
  <pageSetup scale="14" orientation="landscape" r:id="rId1"/>
  <customProperties>
    <customPr name="_pios_id" r:id="rId2"/>
  </customPropertie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60"/>
  <sheetViews>
    <sheetView topLeftCell="A34" zoomScale="60" zoomScaleNormal="60" workbookViewId="0">
      <selection activeCell="I62" sqref="I62"/>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991" t="s">
        <v>0</v>
      </c>
      <c r="B1" s="991"/>
      <c r="C1" s="991"/>
      <c r="D1" s="991"/>
      <c r="E1" s="991"/>
      <c r="F1" s="991"/>
      <c r="G1" s="991"/>
      <c r="H1" s="991"/>
      <c r="I1" s="991"/>
      <c r="J1" s="991"/>
      <c r="K1" s="991"/>
      <c r="L1" s="991"/>
      <c r="M1" s="991"/>
      <c r="N1" s="991"/>
      <c r="O1" s="991"/>
      <c r="P1" s="991"/>
      <c r="Q1" s="991"/>
      <c r="R1" s="991"/>
      <c r="S1" s="991"/>
      <c r="T1" s="991"/>
      <c r="U1" s="991"/>
      <c r="V1" s="991"/>
      <c r="W1" s="991"/>
      <c r="X1" s="991"/>
      <c r="Y1" s="991"/>
      <c r="Z1" s="991"/>
      <c r="AA1" s="991"/>
      <c r="AB1" s="991"/>
      <c r="AC1" s="991"/>
      <c r="AD1" s="991"/>
      <c r="AE1" s="991"/>
      <c r="AF1" s="991"/>
      <c r="AG1" s="991"/>
      <c r="AH1" s="991"/>
      <c r="AI1" s="991"/>
      <c r="AJ1" s="991"/>
      <c r="AK1" s="991"/>
      <c r="AL1" s="991"/>
      <c r="AM1" s="991"/>
      <c r="AN1" s="991"/>
      <c r="AO1" s="991"/>
      <c r="AP1" s="991"/>
      <c r="AQ1" s="991"/>
      <c r="AR1" s="991"/>
      <c r="AS1" s="991"/>
      <c r="AT1" s="991"/>
      <c r="AU1" s="991"/>
      <c r="AV1" s="991"/>
      <c r="AW1" s="991"/>
      <c r="AX1" s="991"/>
      <c r="AY1" s="991"/>
      <c r="AZ1" s="991"/>
      <c r="BA1" s="991"/>
      <c r="BB1" s="991"/>
      <c r="BC1" s="991"/>
      <c r="BD1" s="991"/>
      <c r="BE1" s="991"/>
      <c r="BF1" s="991"/>
      <c r="BG1" s="991"/>
      <c r="BH1" s="991"/>
      <c r="BI1" s="992" t="s">
        <v>161</v>
      </c>
      <c r="BJ1" s="992"/>
      <c r="BK1" s="992"/>
    </row>
    <row r="2" spans="1:63" ht="15.95" customHeight="1" x14ac:dyDescent="0.25">
      <c r="A2" s="991" t="s">
        <v>97</v>
      </c>
      <c r="B2" s="991"/>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1"/>
      <c r="AE2" s="991"/>
      <c r="AF2" s="991"/>
      <c r="AG2" s="991"/>
      <c r="AH2" s="991"/>
      <c r="AI2" s="991"/>
      <c r="AJ2" s="991"/>
      <c r="AK2" s="991"/>
      <c r="AL2" s="991"/>
      <c r="AM2" s="991"/>
      <c r="AN2" s="991"/>
      <c r="AO2" s="991"/>
      <c r="AP2" s="991"/>
      <c r="AQ2" s="991"/>
      <c r="AR2" s="991"/>
      <c r="AS2" s="991"/>
      <c r="AT2" s="991"/>
      <c r="AU2" s="991"/>
      <c r="AV2" s="991"/>
      <c r="AW2" s="991"/>
      <c r="AX2" s="991"/>
      <c r="AY2" s="991"/>
      <c r="AZ2" s="991"/>
      <c r="BA2" s="991"/>
      <c r="BB2" s="991"/>
      <c r="BC2" s="991"/>
      <c r="BD2" s="991"/>
      <c r="BE2" s="991"/>
      <c r="BF2" s="991"/>
      <c r="BG2" s="991"/>
      <c r="BH2" s="991"/>
      <c r="BI2" s="992" t="s">
        <v>3</v>
      </c>
      <c r="BJ2" s="992"/>
      <c r="BK2" s="992"/>
    </row>
    <row r="3" spans="1:63" ht="26.1" customHeight="1" x14ac:dyDescent="0.25">
      <c r="A3" s="991" t="s">
        <v>271</v>
      </c>
      <c r="B3" s="991"/>
      <c r="C3" s="991"/>
      <c r="D3" s="991"/>
      <c r="E3" s="991"/>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991"/>
      <c r="AF3" s="991"/>
      <c r="AG3" s="991"/>
      <c r="AH3" s="991"/>
      <c r="AI3" s="991"/>
      <c r="AJ3" s="991"/>
      <c r="AK3" s="991"/>
      <c r="AL3" s="991"/>
      <c r="AM3" s="991"/>
      <c r="AN3" s="991"/>
      <c r="AO3" s="991"/>
      <c r="AP3" s="991"/>
      <c r="AQ3" s="991"/>
      <c r="AR3" s="991"/>
      <c r="AS3" s="991"/>
      <c r="AT3" s="991"/>
      <c r="AU3" s="991"/>
      <c r="AV3" s="991"/>
      <c r="AW3" s="991"/>
      <c r="AX3" s="991"/>
      <c r="AY3" s="991"/>
      <c r="AZ3" s="991"/>
      <c r="BA3" s="991"/>
      <c r="BB3" s="991"/>
      <c r="BC3" s="991"/>
      <c r="BD3" s="991"/>
      <c r="BE3" s="991"/>
      <c r="BF3" s="991"/>
      <c r="BG3" s="991"/>
      <c r="BH3" s="991"/>
      <c r="BI3" s="992" t="s">
        <v>5</v>
      </c>
      <c r="BJ3" s="992"/>
      <c r="BK3" s="992"/>
    </row>
    <row r="4" spans="1:63" ht="15.95" customHeight="1" x14ac:dyDescent="0.25">
      <c r="A4" s="991" t="s">
        <v>272</v>
      </c>
      <c r="B4" s="991"/>
      <c r="C4" s="991"/>
      <c r="D4" s="991"/>
      <c r="E4" s="991"/>
      <c r="F4" s="991"/>
      <c r="G4" s="991"/>
      <c r="H4" s="991"/>
      <c r="I4" s="991"/>
      <c r="J4" s="991"/>
      <c r="K4" s="991"/>
      <c r="L4" s="991"/>
      <c r="M4" s="991"/>
      <c r="N4" s="991"/>
      <c r="O4" s="991"/>
      <c r="P4" s="991"/>
      <c r="Q4" s="991"/>
      <c r="R4" s="991"/>
      <c r="S4" s="991"/>
      <c r="T4" s="991"/>
      <c r="U4" s="991"/>
      <c r="V4" s="991"/>
      <c r="W4" s="991"/>
      <c r="X4" s="991"/>
      <c r="Y4" s="991"/>
      <c r="Z4" s="991"/>
      <c r="AA4" s="991"/>
      <c r="AB4" s="991"/>
      <c r="AC4" s="991"/>
      <c r="AD4" s="991"/>
      <c r="AE4" s="991"/>
      <c r="AF4" s="991"/>
      <c r="AG4" s="991"/>
      <c r="AH4" s="991"/>
      <c r="AI4" s="991"/>
      <c r="AJ4" s="991"/>
      <c r="AK4" s="991"/>
      <c r="AL4" s="991"/>
      <c r="AM4" s="991"/>
      <c r="AN4" s="991"/>
      <c r="AO4" s="991"/>
      <c r="AP4" s="991"/>
      <c r="AQ4" s="991"/>
      <c r="AR4" s="991"/>
      <c r="AS4" s="991"/>
      <c r="AT4" s="991"/>
      <c r="AU4" s="991"/>
      <c r="AV4" s="991"/>
      <c r="AW4" s="991"/>
      <c r="AX4" s="991"/>
      <c r="AY4" s="991"/>
      <c r="AZ4" s="991"/>
      <c r="BA4" s="991"/>
      <c r="BB4" s="991"/>
      <c r="BC4" s="991"/>
      <c r="BD4" s="991"/>
      <c r="BE4" s="991"/>
      <c r="BF4" s="991"/>
      <c r="BG4" s="991"/>
      <c r="BH4" s="991"/>
      <c r="BI4" s="988" t="s">
        <v>273</v>
      </c>
      <c r="BJ4" s="989"/>
      <c r="BK4" s="990"/>
    </row>
    <row r="5" spans="1:63" ht="26.1" customHeight="1" x14ac:dyDescent="0.25">
      <c r="A5" s="986" t="s">
        <v>182</v>
      </c>
      <c r="B5" s="986"/>
      <c r="C5" s="986"/>
      <c r="D5" s="986"/>
      <c r="E5" s="986"/>
      <c r="F5" s="986"/>
      <c r="G5" s="986"/>
      <c r="H5" s="986"/>
      <c r="I5" s="986"/>
      <c r="J5" s="986"/>
      <c r="K5" s="986"/>
      <c r="L5" s="986"/>
      <c r="M5" s="986"/>
      <c r="N5" s="986"/>
      <c r="O5" s="986"/>
      <c r="P5" s="986"/>
      <c r="Q5" s="986"/>
      <c r="R5" s="986"/>
      <c r="S5" s="986"/>
      <c r="T5" s="986"/>
      <c r="U5" s="986"/>
      <c r="V5" s="986"/>
      <c r="W5" s="986"/>
      <c r="X5" s="986"/>
      <c r="Y5" s="986"/>
      <c r="Z5" s="986"/>
      <c r="AA5" s="986"/>
      <c r="AB5" s="986"/>
      <c r="AC5" s="986"/>
      <c r="AD5" s="986"/>
      <c r="AE5" s="986"/>
      <c r="AG5" s="986" t="s">
        <v>274</v>
      </c>
      <c r="AH5" s="986"/>
      <c r="AI5" s="986"/>
      <c r="AJ5" s="986"/>
      <c r="AK5" s="986"/>
      <c r="AL5" s="986"/>
      <c r="AM5" s="986"/>
      <c r="AN5" s="986"/>
      <c r="AO5" s="986"/>
      <c r="AP5" s="986"/>
      <c r="AQ5" s="986"/>
      <c r="AR5" s="986"/>
      <c r="AS5" s="986"/>
      <c r="AT5" s="986"/>
      <c r="AU5" s="986"/>
      <c r="AV5" s="986"/>
      <c r="AW5" s="986"/>
      <c r="AX5" s="986"/>
      <c r="AY5" s="986"/>
      <c r="AZ5" s="986"/>
      <c r="BA5" s="986"/>
      <c r="BB5" s="986"/>
      <c r="BC5" s="986"/>
      <c r="BD5" s="986"/>
      <c r="BE5" s="986"/>
      <c r="BF5" s="986"/>
      <c r="BG5" s="986"/>
      <c r="BH5" s="986"/>
      <c r="BI5" s="987"/>
      <c r="BJ5" s="987"/>
      <c r="BK5" s="987"/>
    </row>
    <row r="6" spans="1:63" ht="31.5" customHeight="1" x14ac:dyDescent="0.25">
      <c r="A6" s="154" t="s">
        <v>275</v>
      </c>
      <c r="B6" s="985"/>
      <c r="C6" s="985"/>
      <c r="D6" s="985"/>
      <c r="E6" s="985"/>
      <c r="F6" s="985"/>
      <c r="G6" s="985"/>
      <c r="H6" s="985"/>
      <c r="I6" s="985"/>
      <c r="J6" s="985"/>
      <c r="K6" s="985"/>
      <c r="L6" s="985"/>
      <c r="M6" s="985"/>
      <c r="N6" s="985"/>
      <c r="O6" s="985"/>
      <c r="P6" s="985"/>
      <c r="Q6" s="985"/>
      <c r="R6" s="985"/>
      <c r="S6" s="985"/>
      <c r="T6" s="985"/>
      <c r="U6" s="985"/>
      <c r="V6" s="985"/>
      <c r="W6" s="985"/>
      <c r="X6" s="985"/>
      <c r="Y6" s="985"/>
      <c r="Z6" s="985"/>
      <c r="AA6" s="985"/>
      <c r="AB6" s="985"/>
      <c r="AC6" s="985"/>
      <c r="AD6" s="985"/>
      <c r="AE6" s="985"/>
      <c r="AF6" s="985"/>
      <c r="AG6" s="985"/>
      <c r="AH6" s="985"/>
      <c r="AI6" s="985"/>
      <c r="AJ6" s="985"/>
      <c r="AK6" s="985"/>
      <c r="AL6" s="985"/>
      <c r="AM6" s="985"/>
      <c r="AN6" s="985"/>
      <c r="AO6" s="985"/>
      <c r="AP6" s="985"/>
      <c r="AQ6" s="985"/>
      <c r="AR6" s="985"/>
      <c r="AS6" s="985"/>
      <c r="AT6" s="985"/>
      <c r="AU6" s="985"/>
      <c r="AV6" s="985"/>
      <c r="AW6" s="985"/>
      <c r="AX6" s="985"/>
      <c r="AY6" s="985"/>
      <c r="AZ6" s="985"/>
      <c r="BA6" s="985"/>
      <c r="BB6" s="985"/>
      <c r="BC6" s="985"/>
      <c r="BD6" s="985"/>
      <c r="BE6" s="985"/>
      <c r="BF6" s="985"/>
      <c r="BG6" s="985"/>
      <c r="BH6" s="985"/>
      <c r="BI6" s="985"/>
      <c r="BJ6" s="985"/>
      <c r="BK6" s="985"/>
    </row>
    <row r="7" spans="1:63" ht="31.5" customHeight="1" x14ac:dyDescent="0.25">
      <c r="A7" s="155" t="s">
        <v>276</v>
      </c>
      <c r="B7" s="980" t="s">
        <v>277</v>
      </c>
      <c r="C7" s="982"/>
      <c r="D7" s="982"/>
      <c r="E7" s="982"/>
      <c r="F7" s="982"/>
      <c r="G7" s="982"/>
      <c r="H7" s="982"/>
      <c r="I7" s="982"/>
      <c r="J7" s="982"/>
      <c r="K7" s="982"/>
      <c r="L7" s="982"/>
      <c r="M7" s="982"/>
      <c r="N7" s="982"/>
      <c r="O7" s="982"/>
      <c r="P7" s="982"/>
      <c r="Q7" s="982"/>
      <c r="R7" s="982"/>
      <c r="S7" s="982"/>
      <c r="T7" s="982"/>
      <c r="U7" s="982"/>
      <c r="V7" s="982"/>
      <c r="W7" s="982"/>
      <c r="X7" s="982"/>
      <c r="Y7" s="982"/>
      <c r="Z7" s="982"/>
      <c r="AA7" s="982"/>
      <c r="AB7" s="982"/>
      <c r="AC7" s="982"/>
      <c r="AD7" s="982"/>
      <c r="AE7" s="982"/>
      <c r="AF7" s="982"/>
      <c r="AG7" s="982"/>
      <c r="AH7" s="982"/>
      <c r="AI7" s="982"/>
      <c r="AJ7" s="982"/>
      <c r="AK7" s="982"/>
      <c r="AL7" s="982"/>
      <c r="AM7" s="982"/>
      <c r="AN7" s="982"/>
      <c r="AO7" s="982"/>
      <c r="AP7" s="982"/>
      <c r="AQ7" s="982"/>
      <c r="AR7" s="982"/>
      <c r="AS7" s="982"/>
      <c r="AT7" s="982"/>
      <c r="AU7" s="982"/>
      <c r="AV7" s="982"/>
      <c r="AW7" s="982"/>
      <c r="AX7" s="982"/>
      <c r="AY7" s="982"/>
      <c r="AZ7" s="982"/>
      <c r="BA7" s="982"/>
      <c r="BB7" s="982"/>
      <c r="BC7" s="982"/>
      <c r="BD7" s="982"/>
      <c r="BE7" s="982"/>
      <c r="BF7" s="982"/>
      <c r="BG7" s="982"/>
      <c r="BH7" s="982"/>
      <c r="BI7" s="982"/>
      <c r="BJ7" s="982"/>
      <c r="BK7" s="981"/>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983" t="s">
        <v>278</v>
      </c>
      <c r="B9" s="193" t="s">
        <v>31</v>
      </c>
      <c r="C9" s="193" t="s">
        <v>32</v>
      </c>
      <c r="D9" s="980" t="s">
        <v>33</v>
      </c>
      <c r="E9" s="981"/>
      <c r="F9" s="193" t="s">
        <v>34</v>
      </c>
      <c r="G9" s="193" t="s">
        <v>35</v>
      </c>
      <c r="H9" s="980" t="s">
        <v>8</v>
      </c>
      <c r="I9" s="981"/>
      <c r="J9" s="193" t="s">
        <v>36</v>
      </c>
      <c r="K9" s="193" t="s">
        <v>37</v>
      </c>
      <c r="L9" s="980" t="s">
        <v>38</v>
      </c>
      <c r="M9" s="981"/>
      <c r="N9" s="193" t="s">
        <v>39</v>
      </c>
      <c r="O9" s="193" t="s">
        <v>40</v>
      </c>
      <c r="P9" s="980" t="s">
        <v>41</v>
      </c>
      <c r="Q9" s="981"/>
      <c r="R9" s="980" t="s">
        <v>279</v>
      </c>
      <c r="S9" s="981"/>
      <c r="T9" s="980" t="s">
        <v>280</v>
      </c>
      <c r="U9" s="982"/>
      <c r="V9" s="982"/>
      <c r="W9" s="982"/>
      <c r="X9" s="982"/>
      <c r="Y9" s="981"/>
      <c r="Z9" s="980" t="s">
        <v>281</v>
      </c>
      <c r="AA9" s="982"/>
      <c r="AB9" s="982"/>
      <c r="AC9" s="982"/>
      <c r="AD9" s="982"/>
      <c r="AE9" s="981"/>
      <c r="AG9" s="983" t="s">
        <v>278</v>
      </c>
      <c r="AH9" s="193" t="s">
        <v>31</v>
      </c>
      <c r="AI9" s="193" t="s">
        <v>32</v>
      </c>
      <c r="AJ9" s="980" t="s">
        <v>33</v>
      </c>
      <c r="AK9" s="981"/>
      <c r="AL9" s="193" t="s">
        <v>34</v>
      </c>
      <c r="AM9" s="193" t="s">
        <v>35</v>
      </c>
      <c r="AN9" s="980" t="s">
        <v>8</v>
      </c>
      <c r="AO9" s="981"/>
      <c r="AP9" s="193" t="s">
        <v>36</v>
      </c>
      <c r="AQ9" s="193" t="s">
        <v>37</v>
      </c>
      <c r="AR9" s="980" t="s">
        <v>38</v>
      </c>
      <c r="AS9" s="981"/>
      <c r="AT9" s="193" t="s">
        <v>39</v>
      </c>
      <c r="AU9" s="193" t="s">
        <v>40</v>
      </c>
      <c r="AV9" s="980" t="s">
        <v>41</v>
      </c>
      <c r="AW9" s="981"/>
      <c r="AX9" s="980" t="s">
        <v>279</v>
      </c>
      <c r="AY9" s="981"/>
      <c r="AZ9" s="980" t="s">
        <v>280</v>
      </c>
      <c r="BA9" s="982"/>
      <c r="BB9" s="982"/>
      <c r="BC9" s="982"/>
      <c r="BD9" s="982"/>
      <c r="BE9" s="981"/>
      <c r="BF9" s="980" t="s">
        <v>281</v>
      </c>
      <c r="BG9" s="982"/>
      <c r="BH9" s="982"/>
      <c r="BI9" s="982"/>
      <c r="BJ9" s="982"/>
      <c r="BK9" s="981"/>
    </row>
    <row r="10" spans="1:63" ht="36" customHeight="1" x14ac:dyDescent="0.25">
      <c r="A10" s="984"/>
      <c r="B10" s="119" t="s">
        <v>282</v>
      </c>
      <c r="C10" s="119" t="s">
        <v>282</v>
      </c>
      <c r="D10" s="119" t="s">
        <v>282</v>
      </c>
      <c r="E10" s="119" t="s">
        <v>283</v>
      </c>
      <c r="F10" s="119" t="s">
        <v>282</v>
      </c>
      <c r="G10" s="119" t="s">
        <v>282</v>
      </c>
      <c r="H10" s="119" t="s">
        <v>282</v>
      </c>
      <c r="I10" s="119" t="s">
        <v>283</v>
      </c>
      <c r="J10" s="119" t="s">
        <v>282</v>
      </c>
      <c r="K10" s="119" t="s">
        <v>282</v>
      </c>
      <c r="L10" s="119" t="s">
        <v>282</v>
      </c>
      <c r="M10" s="119" t="s">
        <v>283</v>
      </c>
      <c r="N10" s="119" t="s">
        <v>282</v>
      </c>
      <c r="O10" s="119" t="s">
        <v>282</v>
      </c>
      <c r="P10" s="119" t="s">
        <v>282</v>
      </c>
      <c r="Q10" s="119" t="s">
        <v>283</v>
      </c>
      <c r="R10" s="119" t="s">
        <v>282</v>
      </c>
      <c r="S10" s="119" t="s">
        <v>283</v>
      </c>
      <c r="T10" s="187" t="s">
        <v>284</v>
      </c>
      <c r="U10" s="187" t="s">
        <v>285</v>
      </c>
      <c r="V10" s="187" t="s">
        <v>286</v>
      </c>
      <c r="W10" s="187" t="s">
        <v>287</v>
      </c>
      <c r="X10" s="188" t="s">
        <v>288</v>
      </c>
      <c r="Y10" s="187" t="s">
        <v>289</v>
      </c>
      <c r="Z10" s="119" t="s">
        <v>290</v>
      </c>
      <c r="AA10" s="148" t="s">
        <v>291</v>
      </c>
      <c r="AB10" s="119" t="s">
        <v>292</v>
      </c>
      <c r="AC10" s="119" t="s">
        <v>293</v>
      </c>
      <c r="AD10" s="119" t="s">
        <v>294</v>
      </c>
      <c r="AE10" s="119" t="s">
        <v>295</v>
      </c>
      <c r="AG10" s="984"/>
      <c r="AH10" s="119" t="s">
        <v>282</v>
      </c>
      <c r="AI10" s="119" t="s">
        <v>282</v>
      </c>
      <c r="AJ10" s="119" t="s">
        <v>282</v>
      </c>
      <c r="AK10" s="119" t="s">
        <v>283</v>
      </c>
      <c r="AL10" s="119" t="s">
        <v>282</v>
      </c>
      <c r="AM10" s="119" t="s">
        <v>282</v>
      </c>
      <c r="AN10" s="119" t="s">
        <v>282</v>
      </c>
      <c r="AO10" s="119" t="s">
        <v>283</v>
      </c>
      <c r="AP10" s="119" t="s">
        <v>282</v>
      </c>
      <c r="AQ10" s="119" t="s">
        <v>282</v>
      </c>
      <c r="AR10" s="119" t="s">
        <v>282</v>
      </c>
      <c r="AS10" s="119" t="s">
        <v>283</v>
      </c>
      <c r="AT10" s="119" t="s">
        <v>282</v>
      </c>
      <c r="AU10" s="119" t="s">
        <v>282</v>
      </c>
      <c r="AV10" s="119" t="s">
        <v>282</v>
      </c>
      <c r="AW10" s="119" t="s">
        <v>283</v>
      </c>
      <c r="AX10" s="119" t="s">
        <v>282</v>
      </c>
      <c r="AY10" s="119" t="s">
        <v>283</v>
      </c>
      <c r="AZ10" s="187" t="s">
        <v>284</v>
      </c>
      <c r="BA10" s="187" t="s">
        <v>285</v>
      </c>
      <c r="BB10" s="187" t="s">
        <v>286</v>
      </c>
      <c r="BC10" s="187" t="s">
        <v>287</v>
      </c>
      <c r="BD10" s="188" t="s">
        <v>288</v>
      </c>
      <c r="BE10" s="187" t="s">
        <v>289</v>
      </c>
      <c r="BF10" s="185" t="s">
        <v>290</v>
      </c>
      <c r="BG10" s="186" t="s">
        <v>291</v>
      </c>
      <c r="BH10" s="185" t="s">
        <v>292</v>
      </c>
      <c r="BI10" s="185" t="s">
        <v>293</v>
      </c>
      <c r="BJ10" s="185" t="s">
        <v>294</v>
      </c>
      <c r="BK10" s="185" t="s">
        <v>295</v>
      </c>
    </row>
    <row r="11" spans="1:63" x14ac:dyDescent="0.25">
      <c r="A11" s="149" t="s">
        <v>296</v>
      </c>
      <c r="B11" s="149"/>
      <c r="C11" s="149"/>
      <c r="D11" s="149">
        <v>37</v>
      </c>
      <c r="E11" s="199"/>
      <c r="F11" s="149">
        <v>43</v>
      </c>
      <c r="G11" s="149">
        <v>208</v>
      </c>
      <c r="H11" s="399">
        <v>107</v>
      </c>
      <c r="I11" s="199"/>
      <c r="J11" s="149"/>
      <c r="K11" s="149"/>
      <c r="L11" s="149"/>
      <c r="M11" s="199"/>
      <c r="N11" s="149"/>
      <c r="O11" s="149"/>
      <c r="P11" s="149"/>
      <c r="Q11" s="199"/>
      <c r="R11" s="190">
        <f t="shared" ref="R11:R31" si="0">B11+C11+D11+F11+G11+H11+J11+K11+L11+N11+O11+P11</f>
        <v>395</v>
      </c>
      <c r="S11" s="156">
        <f>+E11+I11+M11+Q11</f>
        <v>0</v>
      </c>
      <c r="T11" s="189"/>
      <c r="U11" s="189"/>
      <c r="V11" s="189"/>
      <c r="W11" s="189"/>
      <c r="X11" s="189"/>
      <c r="Y11" s="151"/>
      <c r="Z11" s="151"/>
      <c r="AA11" s="151"/>
      <c r="AB11" s="151"/>
      <c r="AC11" s="151"/>
      <c r="AD11" s="151"/>
      <c r="AE11" s="152"/>
      <c r="AG11" s="149" t="s">
        <v>296</v>
      </c>
      <c r="AH11" s="149"/>
      <c r="AI11" s="149"/>
      <c r="AJ11" s="149"/>
      <c r="AK11" s="199"/>
      <c r="AL11" s="149"/>
      <c r="AM11" s="149"/>
      <c r="AN11" s="149"/>
      <c r="AO11" s="199"/>
      <c r="AP11" s="149"/>
      <c r="AQ11" s="149"/>
      <c r="AR11" s="149"/>
      <c r="AS11" s="199"/>
      <c r="AT11" s="149"/>
      <c r="AU11" s="149"/>
      <c r="AV11" s="149"/>
      <c r="AW11" s="199"/>
      <c r="AX11" s="190">
        <f t="shared" ref="AX11:AX31" si="1">AH11+AI11+AJ11+AL11+AM11+AN11+AP11+AQ11+AR11+AT11+AU11+AV11</f>
        <v>0</v>
      </c>
      <c r="AY11" s="156">
        <f>+AK11+AO11+AS11+AW11</f>
        <v>0</v>
      </c>
      <c r="AZ11" s="151"/>
      <c r="BA11" s="151"/>
      <c r="BB11" s="151"/>
      <c r="BC11" s="151"/>
      <c r="BD11" s="151"/>
      <c r="BE11" s="151"/>
      <c r="BF11" s="151"/>
      <c r="BG11" s="151"/>
      <c r="BH11" s="151"/>
      <c r="BI11" s="151"/>
      <c r="BJ11" s="151"/>
      <c r="BK11" s="152"/>
    </row>
    <row r="12" spans="1:63" x14ac:dyDescent="0.25">
      <c r="A12" s="149" t="s">
        <v>297</v>
      </c>
      <c r="B12" s="149"/>
      <c r="C12" s="149"/>
      <c r="D12" s="149">
        <v>3</v>
      </c>
      <c r="E12" s="199"/>
      <c r="F12" s="149">
        <v>19</v>
      </c>
      <c r="G12" s="149">
        <v>8</v>
      </c>
      <c r="H12" s="399">
        <v>15</v>
      </c>
      <c r="I12" s="199"/>
      <c r="J12" s="149"/>
      <c r="K12" s="149"/>
      <c r="L12" s="149"/>
      <c r="M12" s="199"/>
      <c r="N12" s="149"/>
      <c r="O12" s="149"/>
      <c r="P12" s="149"/>
      <c r="Q12" s="199"/>
      <c r="R12" s="190">
        <f t="shared" si="0"/>
        <v>45</v>
      </c>
      <c r="S12" s="156">
        <f t="shared" ref="S12:S31" si="2">+E12+I12+M12+Q12</f>
        <v>0</v>
      </c>
      <c r="T12" s="189"/>
      <c r="U12" s="189"/>
      <c r="V12" s="189"/>
      <c r="W12" s="189"/>
      <c r="X12" s="189"/>
      <c r="Y12" s="151"/>
      <c r="Z12" s="151"/>
      <c r="AA12" s="151"/>
      <c r="AB12" s="151"/>
      <c r="AC12" s="151"/>
      <c r="AD12" s="151"/>
      <c r="AE12" s="151"/>
      <c r="AG12" s="149" t="s">
        <v>297</v>
      </c>
      <c r="AH12" s="149"/>
      <c r="AI12" s="149"/>
      <c r="AJ12" s="149"/>
      <c r="AK12" s="199"/>
      <c r="AL12" s="149"/>
      <c r="AM12" s="149"/>
      <c r="AN12" s="149"/>
      <c r="AO12" s="199"/>
      <c r="AP12" s="149"/>
      <c r="AQ12" s="149"/>
      <c r="AR12" s="149"/>
      <c r="AS12" s="199"/>
      <c r="AT12" s="149"/>
      <c r="AU12" s="149"/>
      <c r="AV12" s="149"/>
      <c r="AW12" s="199"/>
      <c r="AX12" s="190">
        <f t="shared" si="1"/>
        <v>0</v>
      </c>
      <c r="AY12" s="156">
        <f t="shared" ref="AY12:AY31" si="3">+AK12+AO12+AS12+AW12</f>
        <v>0</v>
      </c>
      <c r="AZ12" s="151"/>
      <c r="BA12" s="151"/>
      <c r="BB12" s="151"/>
      <c r="BC12" s="151"/>
      <c r="BD12" s="151"/>
      <c r="BE12" s="151"/>
      <c r="BF12" s="151"/>
      <c r="BG12" s="151"/>
      <c r="BH12" s="151"/>
      <c r="BI12" s="151"/>
      <c r="BJ12" s="151"/>
      <c r="BK12" s="151"/>
    </row>
    <row r="13" spans="1:63" x14ac:dyDescent="0.25">
      <c r="A13" s="149" t="s">
        <v>298</v>
      </c>
      <c r="B13" s="149"/>
      <c r="C13" s="149"/>
      <c r="D13" s="149">
        <v>8</v>
      </c>
      <c r="E13" s="199"/>
      <c r="F13" s="149">
        <v>14</v>
      </c>
      <c r="G13" s="149">
        <v>12</v>
      </c>
      <c r="H13" s="399">
        <v>15</v>
      </c>
      <c r="I13" s="199"/>
      <c r="J13" s="149"/>
      <c r="K13" s="149"/>
      <c r="L13" s="149"/>
      <c r="M13" s="199"/>
      <c r="N13" s="149"/>
      <c r="O13" s="149"/>
      <c r="P13" s="149"/>
      <c r="Q13" s="199"/>
      <c r="R13" s="190">
        <f t="shared" si="0"/>
        <v>49</v>
      </c>
      <c r="S13" s="156">
        <f t="shared" si="2"/>
        <v>0</v>
      </c>
      <c r="T13" s="189"/>
      <c r="U13" s="189"/>
      <c r="V13" s="189"/>
      <c r="W13" s="189"/>
      <c r="X13" s="189"/>
      <c r="Y13" s="151"/>
      <c r="Z13" s="151"/>
      <c r="AA13" s="151"/>
      <c r="AB13" s="151"/>
      <c r="AC13" s="151"/>
      <c r="AD13" s="151"/>
      <c r="AE13" s="151"/>
      <c r="AG13" s="149" t="s">
        <v>298</v>
      </c>
      <c r="AH13" s="149"/>
      <c r="AI13" s="149"/>
      <c r="AJ13" s="149"/>
      <c r="AK13" s="199"/>
      <c r="AL13" s="149"/>
      <c r="AM13" s="149"/>
      <c r="AN13" s="149"/>
      <c r="AO13" s="199"/>
      <c r="AP13" s="149"/>
      <c r="AQ13" s="149"/>
      <c r="AR13" s="149"/>
      <c r="AS13" s="199"/>
      <c r="AT13" s="149"/>
      <c r="AU13" s="149"/>
      <c r="AV13" s="149"/>
      <c r="AW13" s="199"/>
      <c r="AX13" s="190">
        <f t="shared" si="1"/>
        <v>0</v>
      </c>
      <c r="AY13" s="156">
        <f t="shared" si="3"/>
        <v>0</v>
      </c>
      <c r="AZ13" s="151"/>
      <c r="BA13" s="151"/>
      <c r="BB13" s="151"/>
      <c r="BC13" s="151"/>
      <c r="BD13" s="151"/>
      <c r="BE13" s="151"/>
      <c r="BF13" s="151"/>
      <c r="BG13" s="151"/>
      <c r="BH13" s="151"/>
      <c r="BI13" s="151"/>
      <c r="BJ13" s="151"/>
      <c r="BK13" s="151"/>
    </row>
    <row r="14" spans="1:63" x14ac:dyDescent="0.25">
      <c r="A14" s="149" t="s">
        <v>299</v>
      </c>
      <c r="B14" s="149"/>
      <c r="C14" s="149"/>
      <c r="D14" s="149"/>
      <c r="E14" s="199"/>
      <c r="F14" s="149">
        <v>18</v>
      </c>
      <c r="G14" s="149"/>
      <c r="H14" s="399"/>
      <c r="I14" s="199"/>
      <c r="J14" s="149"/>
      <c r="K14" s="149"/>
      <c r="L14" s="149"/>
      <c r="M14" s="199"/>
      <c r="N14" s="149"/>
      <c r="O14" s="149"/>
      <c r="P14" s="149"/>
      <c r="Q14" s="199"/>
      <c r="R14" s="190">
        <f t="shared" si="0"/>
        <v>18</v>
      </c>
      <c r="S14" s="156">
        <f t="shared" si="2"/>
        <v>0</v>
      </c>
      <c r="T14" s="189"/>
      <c r="U14" s="189"/>
      <c r="V14" s="189"/>
      <c r="W14" s="189"/>
      <c r="X14" s="189"/>
      <c r="Y14" s="151"/>
      <c r="Z14" s="151"/>
      <c r="AA14" s="151"/>
      <c r="AB14" s="151"/>
      <c r="AC14" s="151"/>
      <c r="AD14" s="151"/>
      <c r="AE14" s="151"/>
      <c r="AG14" s="149" t="s">
        <v>299</v>
      </c>
      <c r="AH14" s="149"/>
      <c r="AI14" s="149"/>
      <c r="AJ14" s="149"/>
      <c r="AK14" s="199"/>
      <c r="AL14" s="149"/>
      <c r="AM14" s="149"/>
      <c r="AN14" s="149"/>
      <c r="AO14" s="199"/>
      <c r="AP14" s="149"/>
      <c r="AQ14" s="149"/>
      <c r="AR14" s="149"/>
      <c r="AS14" s="199"/>
      <c r="AT14" s="149"/>
      <c r="AU14" s="149"/>
      <c r="AV14" s="149"/>
      <c r="AW14" s="199"/>
      <c r="AX14" s="190">
        <f t="shared" si="1"/>
        <v>0</v>
      </c>
      <c r="AY14" s="156">
        <f t="shared" si="3"/>
        <v>0</v>
      </c>
      <c r="AZ14" s="151"/>
      <c r="BA14" s="151"/>
      <c r="BB14" s="151"/>
      <c r="BC14" s="151"/>
      <c r="BD14" s="151"/>
      <c r="BE14" s="151"/>
      <c r="BF14" s="151"/>
      <c r="BG14" s="151"/>
      <c r="BH14" s="151"/>
      <c r="BI14" s="151"/>
      <c r="BJ14" s="151"/>
      <c r="BK14" s="151"/>
    </row>
    <row r="15" spans="1:63" x14ac:dyDescent="0.25">
      <c r="A15" s="149" t="s">
        <v>300</v>
      </c>
      <c r="B15" s="149"/>
      <c r="C15" s="149"/>
      <c r="D15" s="149"/>
      <c r="E15" s="199"/>
      <c r="F15" s="149">
        <v>22</v>
      </c>
      <c r="G15" s="149">
        <v>42</v>
      </c>
      <c r="H15" s="399"/>
      <c r="I15" s="199"/>
      <c r="J15" s="149"/>
      <c r="K15" s="149"/>
      <c r="L15" s="149"/>
      <c r="M15" s="199"/>
      <c r="N15" s="149"/>
      <c r="O15" s="149"/>
      <c r="P15" s="149"/>
      <c r="Q15" s="199"/>
      <c r="R15" s="190">
        <f t="shared" si="0"/>
        <v>64</v>
      </c>
      <c r="S15" s="156">
        <f t="shared" si="2"/>
        <v>0</v>
      </c>
      <c r="T15" s="189"/>
      <c r="U15" s="189"/>
      <c r="V15" s="189"/>
      <c r="W15" s="189"/>
      <c r="X15" s="189"/>
      <c r="Y15" s="151"/>
      <c r="Z15" s="151"/>
      <c r="AA15" s="151"/>
      <c r="AB15" s="151"/>
      <c r="AC15" s="151"/>
      <c r="AD15" s="151"/>
      <c r="AE15" s="151"/>
      <c r="AG15" s="149" t="s">
        <v>300</v>
      </c>
      <c r="AH15" s="149"/>
      <c r="AI15" s="149"/>
      <c r="AJ15" s="149"/>
      <c r="AK15" s="199"/>
      <c r="AL15" s="149"/>
      <c r="AM15" s="149"/>
      <c r="AN15" s="149"/>
      <c r="AO15" s="199"/>
      <c r="AP15" s="149"/>
      <c r="AQ15" s="149"/>
      <c r="AR15" s="149"/>
      <c r="AS15" s="199"/>
      <c r="AT15" s="149"/>
      <c r="AU15" s="149"/>
      <c r="AV15" s="149"/>
      <c r="AW15" s="199"/>
      <c r="AX15" s="190">
        <f t="shared" si="1"/>
        <v>0</v>
      </c>
      <c r="AY15" s="156">
        <f t="shared" si="3"/>
        <v>0</v>
      </c>
      <c r="AZ15" s="151"/>
      <c r="BA15" s="151"/>
      <c r="BB15" s="151"/>
      <c r="BC15" s="151"/>
      <c r="BD15" s="151"/>
      <c r="BE15" s="151"/>
      <c r="BF15" s="151"/>
      <c r="BG15" s="151"/>
      <c r="BH15" s="151"/>
      <c r="BI15" s="151"/>
      <c r="BJ15" s="151"/>
      <c r="BK15" s="151"/>
    </row>
    <row r="16" spans="1:63" x14ac:dyDescent="0.25">
      <c r="A16" s="149" t="s">
        <v>301</v>
      </c>
      <c r="B16" s="149"/>
      <c r="C16" s="149"/>
      <c r="D16" s="149">
        <v>16</v>
      </c>
      <c r="E16" s="199"/>
      <c r="F16" s="149">
        <v>11</v>
      </c>
      <c r="G16" s="149"/>
      <c r="H16" s="399">
        <v>27</v>
      </c>
      <c r="I16" s="199"/>
      <c r="J16" s="149"/>
      <c r="K16" s="149"/>
      <c r="L16" s="149"/>
      <c r="M16" s="199"/>
      <c r="N16" s="149"/>
      <c r="O16" s="149"/>
      <c r="P16" s="149"/>
      <c r="Q16" s="199"/>
      <c r="R16" s="190">
        <f t="shared" si="0"/>
        <v>54</v>
      </c>
      <c r="S16" s="156">
        <f t="shared" si="2"/>
        <v>0</v>
      </c>
      <c r="T16" s="189"/>
      <c r="U16" s="189"/>
      <c r="V16" s="189"/>
      <c r="W16" s="189"/>
      <c r="X16" s="189"/>
      <c r="Y16" s="151"/>
      <c r="Z16" s="151"/>
      <c r="AA16" s="151"/>
      <c r="AB16" s="151"/>
      <c r="AC16" s="151"/>
      <c r="AD16" s="151"/>
      <c r="AE16" s="151"/>
      <c r="AG16" s="149" t="s">
        <v>301</v>
      </c>
      <c r="AH16" s="149"/>
      <c r="AI16" s="149"/>
      <c r="AJ16" s="149"/>
      <c r="AK16" s="199"/>
      <c r="AL16" s="149"/>
      <c r="AM16" s="149"/>
      <c r="AN16" s="149"/>
      <c r="AO16" s="199"/>
      <c r="AP16" s="149"/>
      <c r="AQ16" s="149"/>
      <c r="AR16" s="149"/>
      <c r="AS16" s="199"/>
      <c r="AT16" s="149"/>
      <c r="AU16" s="149"/>
      <c r="AV16" s="149"/>
      <c r="AW16" s="199"/>
      <c r="AX16" s="190">
        <f t="shared" si="1"/>
        <v>0</v>
      </c>
      <c r="AY16" s="156">
        <f t="shared" si="3"/>
        <v>0</v>
      </c>
      <c r="AZ16" s="151"/>
      <c r="BA16" s="151"/>
      <c r="BB16" s="151"/>
      <c r="BC16" s="151"/>
      <c r="BD16" s="151"/>
      <c r="BE16" s="151"/>
      <c r="BF16" s="151"/>
      <c r="BG16" s="151"/>
      <c r="BH16" s="151"/>
      <c r="BI16" s="151"/>
      <c r="BJ16" s="151"/>
      <c r="BK16" s="151"/>
    </row>
    <row r="17" spans="1:63" x14ac:dyDescent="0.25">
      <c r="A17" s="149" t="s">
        <v>302</v>
      </c>
      <c r="B17" s="149"/>
      <c r="C17" s="149"/>
      <c r="D17" s="149"/>
      <c r="E17" s="199"/>
      <c r="F17" s="149">
        <v>0</v>
      </c>
      <c r="G17" s="149">
        <v>31</v>
      </c>
      <c r="H17" s="399"/>
      <c r="I17" s="199"/>
      <c r="J17" s="149"/>
      <c r="K17" s="149"/>
      <c r="L17" s="149"/>
      <c r="M17" s="199"/>
      <c r="N17" s="149"/>
      <c r="O17" s="149"/>
      <c r="P17" s="149"/>
      <c r="Q17" s="199"/>
      <c r="R17" s="190">
        <f t="shared" si="0"/>
        <v>31</v>
      </c>
      <c r="S17" s="156">
        <f t="shared" si="2"/>
        <v>0</v>
      </c>
      <c r="T17" s="189"/>
      <c r="U17" s="189"/>
      <c r="V17" s="189"/>
      <c r="W17" s="189"/>
      <c r="X17" s="189"/>
      <c r="Y17" s="151"/>
      <c r="Z17" s="151"/>
      <c r="AA17" s="151"/>
      <c r="AB17" s="151"/>
      <c r="AC17" s="151"/>
      <c r="AD17" s="151"/>
      <c r="AE17" s="151"/>
      <c r="AG17" s="149" t="s">
        <v>302</v>
      </c>
      <c r="AH17" s="149"/>
      <c r="AI17" s="149"/>
      <c r="AJ17" s="149"/>
      <c r="AK17" s="199"/>
      <c r="AL17" s="149"/>
      <c r="AM17" s="149"/>
      <c r="AN17" s="149"/>
      <c r="AO17" s="199"/>
      <c r="AP17" s="149"/>
      <c r="AQ17" s="149"/>
      <c r="AR17" s="149"/>
      <c r="AS17" s="199"/>
      <c r="AT17" s="149"/>
      <c r="AU17" s="149"/>
      <c r="AV17" s="149"/>
      <c r="AW17" s="199"/>
      <c r="AX17" s="190">
        <f t="shared" si="1"/>
        <v>0</v>
      </c>
      <c r="AY17" s="156">
        <f t="shared" si="3"/>
        <v>0</v>
      </c>
      <c r="AZ17" s="151"/>
      <c r="BA17" s="151"/>
      <c r="BB17" s="151"/>
      <c r="BC17" s="151"/>
      <c r="BD17" s="151"/>
      <c r="BE17" s="151"/>
      <c r="BF17" s="151"/>
      <c r="BG17" s="151"/>
      <c r="BH17" s="151"/>
      <c r="BI17" s="151"/>
      <c r="BJ17" s="151"/>
      <c r="BK17" s="151"/>
    </row>
    <row r="18" spans="1:63" x14ac:dyDescent="0.25">
      <c r="A18" s="149" t="s">
        <v>303</v>
      </c>
      <c r="B18" s="149"/>
      <c r="C18" s="149"/>
      <c r="D18" s="149">
        <v>10</v>
      </c>
      <c r="E18" s="199"/>
      <c r="F18" s="149">
        <v>22</v>
      </c>
      <c r="G18" s="149">
        <v>27</v>
      </c>
      <c r="H18" s="399">
        <v>20</v>
      </c>
      <c r="I18" s="199"/>
      <c r="J18" s="149"/>
      <c r="K18" s="149"/>
      <c r="L18" s="149"/>
      <c r="M18" s="199"/>
      <c r="N18" s="149"/>
      <c r="O18" s="149"/>
      <c r="P18" s="149"/>
      <c r="Q18" s="199"/>
      <c r="R18" s="190">
        <f t="shared" si="0"/>
        <v>79</v>
      </c>
      <c r="S18" s="156">
        <f t="shared" si="2"/>
        <v>0</v>
      </c>
      <c r="T18" s="189"/>
      <c r="U18" s="189"/>
      <c r="V18" s="189"/>
      <c r="W18" s="189"/>
      <c r="X18" s="189"/>
      <c r="Y18" s="151"/>
      <c r="Z18" s="151"/>
      <c r="AA18" s="151"/>
      <c r="AB18" s="151"/>
      <c r="AC18" s="151"/>
      <c r="AD18" s="151"/>
      <c r="AE18" s="151"/>
      <c r="AG18" s="149" t="s">
        <v>303</v>
      </c>
      <c r="AH18" s="149"/>
      <c r="AI18" s="149"/>
      <c r="AJ18" s="149"/>
      <c r="AK18" s="199"/>
      <c r="AL18" s="149"/>
      <c r="AM18" s="149"/>
      <c r="AN18" s="149"/>
      <c r="AO18" s="199"/>
      <c r="AP18" s="149"/>
      <c r="AQ18" s="149"/>
      <c r="AR18" s="149"/>
      <c r="AS18" s="199"/>
      <c r="AT18" s="149"/>
      <c r="AU18" s="149"/>
      <c r="AV18" s="149"/>
      <c r="AW18" s="199"/>
      <c r="AX18" s="190">
        <f t="shared" si="1"/>
        <v>0</v>
      </c>
      <c r="AY18" s="156">
        <f t="shared" si="3"/>
        <v>0</v>
      </c>
      <c r="AZ18" s="151"/>
      <c r="BA18" s="151"/>
      <c r="BB18" s="151"/>
      <c r="BC18" s="151"/>
      <c r="BD18" s="151"/>
      <c r="BE18" s="151"/>
      <c r="BF18" s="151"/>
      <c r="BG18" s="151"/>
      <c r="BH18" s="151"/>
      <c r="BI18" s="151"/>
      <c r="BJ18" s="151"/>
      <c r="BK18" s="151"/>
    </row>
    <row r="19" spans="1:63" x14ac:dyDescent="0.25">
      <c r="A19" s="149" t="s">
        <v>304</v>
      </c>
      <c r="B19" s="149"/>
      <c r="C19" s="149"/>
      <c r="D19" s="149">
        <v>27</v>
      </c>
      <c r="E19" s="199"/>
      <c r="F19" s="149">
        <v>47</v>
      </c>
      <c r="G19" s="149">
        <v>28</v>
      </c>
      <c r="H19" s="399">
        <v>28</v>
      </c>
      <c r="I19" s="199"/>
      <c r="J19" s="149"/>
      <c r="K19" s="149"/>
      <c r="L19" s="149"/>
      <c r="M19" s="199"/>
      <c r="N19" s="149"/>
      <c r="O19" s="149"/>
      <c r="P19" s="149"/>
      <c r="Q19" s="199"/>
      <c r="R19" s="190">
        <f t="shared" si="0"/>
        <v>130</v>
      </c>
      <c r="S19" s="156">
        <f t="shared" si="2"/>
        <v>0</v>
      </c>
      <c r="T19" s="189"/>
      <c r="U19" s="189"/>
      <c r="V19" s="189"/>
      <c r="W19" s="189"/>
      <c r="X19" s="189"/>
      <c r="Y19" s="151"/>
      <c r="Z19" s="151"/>
      <c r="AA19" s="151"/>
      <c r="AB19" s="151"/>
      <c r="AC19" s="151"/>
      <c r="AD19" s="151"/>
      <c r="AE19" s="151"/>
      <c r="AG19" s="149" t="s">
        <v>304</v>
      </c>
      <c r="AH19" s="149"/>
      <c r="AI19" s="149"/>
      <c r="AJ19" s="149"/>
      <c r="AK19" s="199"/>
      <c r="AL19" s="149"/>
      <c r="AM19" s="149"/>
      <c r="AN19" s="149"/>
      <c r="AO19" s="199"/>
      <c r="AP19" s="149"/>
      <c r="AQ19" s="149"/>
      <c r="AR19" s="149"/>
      <c r="AS19" s="199"/>
      <c r="AT19" s="149"/>
      <c r="AU19" s="149"/>
      <c r="AV19" s="149"/>
      <c r="AW19" s="199"/>
      <c r="AX19" s="190">
        <f t="shared" si="1"/>
        <v>0</v>
      </c>
      <c r="AY19" s="156">
        <f t="shared" si="3"/>
        <v>0</v>
      </c>
      <c r="AZ19" s="151"/>
      <c r="BA19" s="151"/>
      <c r="BB19" s="151"/>
      <c r="BC19" s="151"/>
      <c r="BD19" s="151"/>
      <c r="BE19" s="151"/>
      <c r="BF19" s="151"/>
      <c r="BG19" s="151"/>
      <c r="BH19" s="151"/>
      <c r="BI19" s="149"/>
      <c r="BJ19" s="149"/>
      <c r="BK19" s="149"/>
    </row>
    <row r="20" spans="1:63" x14ac:dyDescent="0.25">
      <c r="A20" s="149" t="s">
        <v>305</v>
      </c>
      <c r="B20" s="149"/>
      <c r="C20" s="149"/>
      <c r="D20" s="149">
        <v>15</v>
      </c>
      <c r="E20" s="199"/>
      <c r="F20" s="149">
        <v>18</v>
      </c>
      <c r="G20" s="149">
        <v>9</v>
      </c>
      <c r="H20" s="399">
        <v>13</v>
      </c>
      <c r="I20" s="199"/>
      <c r="J20" s="149"/>
      <c r="K20" s="149"/>
      <c r="L20" s="149"/>
      <c r="M20" s="199"/>
      <c r="N20" s="149"/>
      <c r="O20" s="149"/>
      <c r="P20" s="149"/>
      <c r="Q20" s="199"/>
      <c r="R20" s="190">
        <f t="shared" si="0"/>
        <v>55</v>
      </c>
      <c r="S20" s="156">
        <f t="shared" si="2"/>
        <v>0</v>
      </c>
      <c r="T20" s="189"/>
      <c r="U20" s="189"/>
      <c r="V20" s="189"/>
      <c r="W20" s="189"/>
      <c r="X20" s="189"/>
      <c r="Y20" s="151"/>
      <c r="Z20" s="151"/>
      <c r="AA20" s="151"/>
      <c r="AB20" s="151"/>
      <c r="AC20" s="151"/>
      <c r="AD20" s="151"/>
      <c r="AE20" s="151"/>
      <c r="AG20" s="149" t="s">
        <v>305</v>
      </c>
      <c r="AH20" s="149"/>
      <c r="AI20" s="149"/>
      <c r="AJ20" s="149"/>
      <c r="AK20" s="199"/>
      <c r="AL20" s="149"/>
      <c r="AM20" s="149"/>
      <c r="AN20" s="149"/>
      <c r="AO20" s="199"/>
      <c r="AP20" s="149"/>
      <c r="AQ20" s="149"/>
      <c r="AR20" s="149"/>
      <c r="AS20" s="199"/>
      <c r="AT20" s="149"/>
      <c r="AU20" s="149"/>
      <c r="AV20" s="149"/>
      <c r="AW20" s="199"/>
      <c r="AX20" s="190">
        <f t="shared" si="1"/>
        <v>0</v>
      </c>
      <c r="AY20" s="156">
        <f t="shared" si="3"/>
        <v>0</v>
      </c>
      <c r="AZ20" s="151"/>
      <c r="BA20" s="151"/>
      <c r="BB20" s="151"/>
      <c r="BC20" s="151"/>
      <c r="BD20" s="151"/>
      <c r="BE20" s="151"/>
      <c r="BF20" s="151"/>
      <c r="BG20" s="151"/>
      <c r="BH20" s="151"/>
      <c r="BI20" s="149"/>
      <c r="BJ20" s="149"/>
      <c r="BK20" s="149"/>
    </row>
    <row r="21" spans="1:63" x14ac:dyDescent="0.25">
      <c r="A21" s="149" t="s">
        <v>306</v>
      </c>
      <c r="B21" s="149"/>
      <c r="C21" s="149"/>
      <c r="D21" s="149">
        <v>12</v>
      </c>
      <c r="E21" s="199"/>
      <c r="F21" s="149">
        <v>7</v>
      </c>
      <c r="G21" s="149">
        <v>18</v>
      </c>
      <c r="H21" s="399">
        <v>13</v>
      </c>
      <c r="I21" s="199"/>
      <c r="J21" s="149"/>
      <c r="K21" s="149"/>
      <c r="L21" s="149"/>
      <c r="M21" s="199"/>
      <c r="N21" s="149"/>
      <c r="O21" s="149"/>
      <c r="P21" s="149"/>
      <c r="Q21" s="199"/>
      <c r="R21" s="190">
        <f t="shared" si="0"/>
        <v>50</v>
      </c>
      <c r="S21" s="156">
        <f t="shared" si="2"/>
        <v>0</v>
      </c>
      <c r="T21" s="189"/>
      <c r="U21" s="189"/>
      <c r="V21" s="189"/>
      <c r="W21" s="189"/>
      <c r="X21" s="189"/>
      <c r="Y21" s="151"/>
      <c r="Z21" s="151"/>
      <c r="AA21" s="151"/>
      <c r="AB21" s="151"/>
      <c r="AC21" s="151"/>
      <c r="AD21" s="151"/>
      <c r="AE21" s="151"/>
      <c r="AG21" s="149" t="s">
        <v>306</v>
      </c>
      <c r="AH21" s="149"/>
      <c r="AI21" s="149"/>
      <c r="AJ21" s="149"/>
      <c r="AK21" s="199"/>
      <c r="AL21" s="149"/>
      <c r="AM21" s="149"/>
      <c r="AN21" s="149"/>
      <c r="AO21" s="199"/>
      <c r="AP21" s="149"/>
      <c r="AQ21" s="149"/>
      <c r="AR21" s="149"/>
      <c r="AS21" s="199"/>
      <c r="AT21" s="149"/>
      <c r="AU21" s="149"/>
      <c r="AV21" s="149"/>
      <c r="AW21" s="199"/>
      <c r="AX21" s="190">
        <f t="shared" si="1"/>
        <v>0</v>
      </c>
      <c r="AY21" s="156">
        <f t="shared" si="3"/>
        <v>0</v>
      </c>
      <c r="AZ21" s="151"/>
      <c r="BA21" s="151"/>
      <c r="BB21" s="151"/>
      <c r="BC21" s="151"/>
      <c r="BD21" s="151"/>
      <c r="BE21" s="151"/>
      <c r="BF21" s="151"/>
      <c r="BG21" s="151"/>
      <c r="BH21" s="151"/>
      <c r="BI21" s="149"/>
      <c r="BJ21" s="149"/>
      <c r="BK21" s="149"/>
    </row>
    <row r="22" spans="1:63" x14ac:dyDescent="0.25">
      <c r="A22" s="149" t="s">
        <v>307</v>
      </c>
      <c r="B22" s="149"/>
      <c r="C22" s="149"/>
      <c r="D22" s="149">
        <v>14</v>
      </c>
      <c r="E22" s="199"/>
      <c r="F22" s="149">
        <v>20</v>
      </c>
      <c r="G22" s="149">
        <v>29</v>
      </c>
      <c r="H22" s="399">
        <v>16</v>
      </c>
      <c r="I22" s="199"/>
      <c r="J22" s="149"/>
      <c r="K22" s="149"/>
      <c r="L22" s="149"/>
      <c r="M22" s="199"/>
      <c r="N22" s="149"/>
      <c r="O22" s="149"/>
      <c r="P22" s="149"/>
      <c r="Q22" s="199"/>
      <c r="R22" s="190">
        <f t="shared" si="0"/>
        <v>79</v>
      </c>
      <c r="S22" s="156">
        <f t="shared" si="2"/>
        <v>0</v>
      </c>
      <c r="T22" s="189"/>
      <c r="U22" s="189"/>
      <c r="V22" s="189"/>
      <c r="W22" s="189"/>
      <c r="X22" s="189"/>
      <c r="Y22" s="151"/>
      <c r="Z22" s="151"/>
      <c r="AA22" s="151"/>
      <c r="AB22" s="151"/>
      <c r="AC22" s="151"/>
      <c r="AD22" s="151"/>
      <c r="AE22" s="151"/>
      <c r="AG22" s="149" t="s">
        <v>307</v>
      </c>
      <c r="AH22" s="149"/>
      <c r="AI22" s="149"/>
      <c r="AJ22" s="149"/>
      <c r="AK22" s="199"/>
      <c r="AL22" s="149"/>
      <c r="AM22" s="149"/>
      <c r="AN22" s="149"/>
      <c r="AO22" s="199"/>
      <c r="AP22" s="149"/>
      <c r="AQ22" s="149"/>
      <c r="AR22" s="149"/>
      <c r="AS22" s="199"/>
      <c r="AT22" s="149"/>
      <c r="AU22" s="149"/>
      <c r="AV22" s="149"/>
      <c r="AW22" s="199"/>
      <c r="AX22" s="190">
        <f t="shared" si="1"/>
        <v>0</v>
      </c>
      <c r="AY22" s="156">
        <f t="shared" si="3"/>
        <v>0</v>
      </c>
      <c r="AZ22" s="151"/>
      <c r="BA22" s="151"/>
      <c r="BB22" s="151"/>
      <c r="BC22" s="151"/>
      <c r="BD22" s="151"/>
      <c r="BE22" s="151"/>
      <c r="BF22" s="151"/>
      <c r="BG22" s="151"/>
      <c r="BH22" s="151"/>
      <c r="BI22" s="151"/>
      <c r="BJ22" s="151"/>
      <c r="BK22" s="151"/>
    </row>
    <row r="23" spans="1:63" x14ac:dyDescent="0.25">
      <c r="A23" s="149" t="s">
        <v>308</v>
      </c>
      <c r="B23" s="149"/>
      <c r="C23" s="149"/>
      <c r="D23" s="149">
        <v>18</v>
      </c>
      <c r="E23" s="199"/>
      <c r="F23" s="149">
        <v>24</v>
      </c>
      <c r="G23" s="149"/>
      <c r="H23" s="399">
        <v>2</v>
      </c>
      <c r="I23" s="199"/>
      <c r="J23" s="149"/>
      <c r="K23" s="149"/>
      <c r="L23" s="149"/>
      <c r="M23" s="199"/>
      <c r="N23" s="149"/>
      <c r="O23" s="149"/>
      <c r="P23" s="149"/>
      <c r="Q23" s="199"/>
      <c r="R23" s="190">
        <f t="shared" si="0"/>
        <v>44</v>
      </c>
      <c r="S23" s="156">
        <f t="shared" si="2"/>
        <v>0</v>
      </c>
      <c r="T23" s="189"/>
      <c r="U23" s="189"/>
      <c r="V23" s="189"/>
      <c r="W23" s="189"/>
      <c r="X23" s="189"/>
      <c r="Y23" s="151"/>
      <c r="Z23" s="151"/>
      <c r="AA23" s="151"/>
      <c r="AB23" s="151"/>
      <c r="AC23" s="151"/>
      <c r="AD23" s="151"/>
      <c r="AE23" s="151"/>
      <c r="AG23" s="149" t="s">
        <v>308</v>
      </c>
      <c r="AH23" s="149"/>
      <c r="AI23" s="149"/>
      <c r="AJ23" s="149"/>
      <c r="AK23" s="199"/>
      <c r="AL23" s="149"/>
      <c r="AM23" s="149"/>
      <c r="AN23" s="149"/>
      <c r="AO23" s="199"/>
      <c r="AP23" s="149"/>
      <c r="AQ23" s="149"/>
      <c r="AR23" s="149"/>
      <c r="AS23" s="199"/>
      <c r="AT23" s="149"/>
      <c r="AU23" s="149"/>
      <c r="AV23" s="149"/>
      <c r="AW23" s="199"/>
      <c r="AX23" s="190">
        <f t="shared" si="1"/>
        <v>0</v>
      </c>
      <c r="AY23" s="156">
        <f t="shared" si="3"/>
        <v>0</v>
      </c>
      <c r="AZ23" s="151"/>
      <c r="BA23" s="151"/>
      <c r="BB23" s="151"/>
      <c r="BC23" s="151"/>
      <c r="BD23" s="151"/>
      <c r="BE23" s="151"/>
      <c r="BF23" s="151"/>
      <c r="BG23" s="151"/>
      <c r="BH23" s="151"/>
      <c r="BI23" s="151"/>
      <c r="BJ23" s="151"/>
      <c r="BK23" s="151"/>
    </row>
    <row r="24" spans="1:63" x14ac:dyDescent="0.25">
      <c r="A24" s="149" t="s">
        <v>309</v>
      </c>
      <c r="B24" s="149"/>
      <c r="C24" s="149"/>
      <c r="D24" s="149"/>
      <c r="E24" s="199"/>
      <c r="F24" s="149">
        <v>0</v>
      </c>
      <c r="G24" s="149">
        <v>9</v>
      </c>
      <c r="H24" s="399"/>
      <c r="I24" s="199"/>
      <c r="J24" s="149"/>
      <c r="K24" s="149"/>
      <c r="L24" s="149"/>
      <c r="M24" s="199"/>
      <c r="N24" s="149"/>
      <c r="O24" s="149"/>
      <c r="P24" s="149"/>
      <c r="Q24" s="199"/>
      <c r="R24" s="190">
        <f t="shared" si="0"/>
        <v>9</v>
      </c>
      <c r="S24" s="156">
        <f t="shared" si="2"/>
        <v>0</v>
      </c>
      <c r="T24" s="189"/>
      <c r="U24" s="189"/>
      <c r="V24" s="189"/>
      <c r="W24" s="189"/>
      <c r="X24" s="189"/>
      <c r="Y24" s="151"/>
      <c r="Z24" s="151"/>
      <c r="AA24" s="151"/>
      <c r="AB24" s="151"/>
      <c r="AC24" s="151"/>
      <c r="AD24" s="151"/>
      <c r="AE24" s="151"/>
      <c r="AG24" s="149" t="s">
        <v>309</v>
      </c>
      <c r="AH24" s="149"/>
      <c r="AI24" s="149"/>
      <c r="AJ24" s="149"/>
      <c r="AK24" s="199"/>
      <c r="AL24" s="149"/>
      <c r="AM24" s="149"/>
      <c r="AN24" s="149"/>
      <c r="AO24" s="199"/>
      <c r="AP24" s="149"/>
      <c r="AQ24" s="149"/>
      <c r="AR24" s="149"/>
      <c r="AS24" s="199"/>
      <c r="AT24" s="149"/>
      <c r="AU24" s="149"/>
      <c r="AV24" s="149"/>
      <c r="AW24" s="199"/>
      <c r="AX24" s="190">
        <f t="shared" si="1"/>
        <v>0</v>
      </c>
      <c r="AY24" s="156">
        <f t="shared" si="3"/>
        <v>0</v>
      </c>
      <c r="AZ24" s="151"/>
      <c r="BA24" s="151"/>
      <c r="BB24" s="151"/>
      <c r="BC24" s="151"/>
      <c r="BD24" s="151"/>
      <c r="BE24" s="151"/>
      <c r="BF24" s="151"/>
      <c r="BG24" s="151"/>
      <c r="BH24" s="151"/>
      <c r="BI24" s="151"/>
      <c r="BJ24" s="151"/>
      <c r="BK24" s="151"/>
    </row>
    <row r="25" spans="1:63" x14ac:dyDescent="0.25">
      <c r="A25" s="149" t="s">
        <v>310</v>
      </c>
      <c r="B25" s="149"/>
      <c r="C25" s="149"/>
      <c r="D25" s="149">
        <v>15</v>
      </c>
      <c r="E25" s="199"/>
      <c r="F25" s="149">
        <v>15</v>
      </c>
      <c r="G25" s="149">
        <v>15</v>
      </c>
      <c r="H25" s="399">
        <v>12</v>
      </c>
      <c r="I25" s="199"/>
      <c r="J25" s="149"/>
      <c r="K25" s="149"/>
      <c r="L25" s="149"/>
      <c r="M25" s="199"/>
      <c r="N25" s="149"/>
      <c r="O25" s="149"/>
      <c r="P25" s="149"/>
      <c r="Q25" s="199"/>
      <c r="R25" s="190">
        <f t="shared" si="0"/>
        <v>57</v>
      </c>
      <c r="S25" s="156">
        <f t="shared" si="2"/>
        <v>0</v>
      </c>
      <c r="T25" s="189"/>
      <c r="U25" s="189"/>
      <c r="V25" s="189"/>
      <c r="W25" s="189"/>
      <c r="X25" s="189"/>
      <c r="Y25" s="151"/>
      <c r="Z25" s="151"/>
      <c r="AA25" s="151"/>
      <c r="AB25" s="151"/>
      <c r="AC25" s="151"/>
      <c r="AD25" s="151"/>
      <c r="AE25" s="151"/>
      <c r="AG25" s="149" t="s">
        <v>310</v>
      </c>
      <c r="AH25" s="149"/>
      <c r="AI25" s="149"/>
      <c r="AJ25" s="149"/>
      <c r="AK25" s="199"/>
      <c r="AL25" s="149"/>
      <c r="AM25" s="149"/>
      <c r="AN25" s="149"/>
      <c r="AO25" s="199"/>
      <c r="AP25" s="149"/>
      <c r="AQ25" s="149"/>
      <c r="AR25" s="149"/>
      <c r="AS25" s="199"/>
      <c r="AT25" s="149"/>
      <c r="AU25" s="149"/>
      <c r="AV25" s="149"/>
      <c r="AW25" s="199"/>
      <c r="AX25" s="190">
        <f t="shared" si="1"/>
        <v>0</v>
      </c>
      <c r="AY25" s="156">
        <f t="shared" si="3"/>
        <v>0</v>
      </c>
      <c r="AZ25" s="151"/>
      <c r="BA25" s="151"/>
      <c r="BB25" s="151"/>
      <c r="BC25" s="151"/>
      <c r="BD25" s="151"/>
      <c r="BE25" s="151"/>
      <c r="BF25" s="151"/>
      <c r="BG25" s="151"/>
      <c r="BH25" s="151"/>
      <c r="BI25" s="151"/>
      <c r="BJ25" s="151"/>
      <c r="BK25" s="151"/>
    </row>
    <row r="26" spans="1:63" x14ac:dyDescent="0.25">
      <c r="A26" s="149" t="s">
        <v>311</v>
      </c>
      <c r="B26" s="149"/>
      <c r="C26" s="149"/>
      <c r="D26" s="149">
        <v>24</v>
      </c>
      <c r="E26" s="199"/>
      <c r="F26" s="149">
        <v>0</v>
      </c>
      <c r="G26" s="149">
        <v>20</v>
      </c>
      <c r="H26" s="399">
        <v>15</v>
      </c>
      <c r="I26" s="199"/>
      <c r="J26" s="149"/>
      <c r="K26" s="149"/>
      <c r="L26" s="149"/>
      <c r="M26" s="199"/>
      <c r="N26" s="149"/>
      <c r="O26" s="149"/>
      <c r="P26" s="149"/>
      <c r="Q26" s="199"/>
      <c r="R26" s="190">
        <f t="shared" si="0"/>
        <v>59</v>
      </c>
      <c r="S26" s="156">
        <f t="shared" si="2"/>
        <v>0</v>
      </c>
      <c r="T26" s="189"/>
      <c r="U26" s="189"/>
      <c r="V26" s="189"/>
      <c r="W26" s="189"/>
      <c r="X26" s="189"/>
      <c r="Y26" s="151"/>
      <c r="Z26" s="151"/>
      <c r="AA26" s="151"/>
      <c r="AB26" s="151"/>
      <c r="AC26" s="151"/>
      <c r="AD26" s="151"/>
      <c r="AE26" s="151"/>
      <c r="AG26" s="149" t="s">
        <v>311</v>
      </c>
      <c r="AH26" s="149"/>
      <c r="AI26" s="149"/>
      <c r="AJ26" s="149"/>
      <c r="AK26" s="199"/>
      <c r="AL26" s="149"/>
      <c r="AM26" s="149"/>
      <c r="AN26" s="149"/>
      <c r="AO26" s="199"/>
      <c r="AP26" s="149"/>
      <c r="AQ26" s="149"/>
      <c r="AR26" s="149"/>
      <c r="AS26" s="199"/>
      <c r="AT26" s="149"/>
      <c r="AU26" s="149"/>
      <c r="AV26" s="149"/>
      <c r="AW26" s="199"/>
      <c r="AX26" s="190">
        <f t="shared" si="1"/>
        <v>0</v>
      </c>
      <c r="AY26" s="156">
        <f t="shared" si="3"/>
        <v>0</v>
      </c>
      <c r="AZ26" s="151"/>
      <c r="BA26" s="151"/>
      <c r="BB26" s="151"/>
      <c r="BC26" s="151"/>
      <c r="BD26" s="151"/>
      <c r="BE26" s="151"/>
      <c r="BF26" s="151"/>
      <c r="BG26" s="151"/>
      <c r="BH26" s="151"/>
      <c r="BI26" s="151"/>
      <c r="BJ26" s="151"/>
      <c r="BK26" s="151"/>
    </row>
    <row r="27" spans="1:63" x14ac:dyDescent="0.25">
      <c r="A27" s="149" t="s">
        <v>312</v>
      </c>
      <c r="B27" s="149"/>
      <c r="C27" s="149"/>
      <c r="D27" s="149"/>
      <c r="E27" s="199"/>
      <c r="F27" s="149">
        <v>0</v>
      </c>
      <c r="G27" s="149">
        <v>59</v>
      </c>
      <c r="H27" s="399">
        <v>17</v>
      </c>
      <c r="I27" s="199"/>
      <c r="J27" s="149"/>
      <c r="K27" s="149"/>
      <c r="L27" s="149"/>
      <c r="M27" s="199"/>
      <c r="N27" s="149"/>
      <c r="O27" s="149"/>
      <c r="P27" s="149"/>
      <c r="Q27" s="199"/>
      <c r="R27" s="190">
        <f t="shared" si="0"/>
        <v>76</v>
      </c>
      <c r="S27" s="156">
        <f t="shared" si="2"/>
        <v>0</v>
      </c>
      <c r="T27" s="189"/>
      <c r="U27" s="189"/>
      <c r="V27" s="189"/>
      <c r="W27" s="189"/>
      <c r="X27" s="189"/>
      <c r="Y27" s="151"/>
      <c r="Z27" s="151"/>
      <c r="AA27" s="151"/>
      <c r="AB27" s="151"/>
      <c r="AC27" s="151"/>
      <c r="AD27" s="151"/>
      <c r="AE27" s="151"/>
      <c r="AG27" s="149" t="s">
        <v>312</v>
      </c>
      <c r="AH27" s="149"/>
      <c r="AI27" s="149"/>
      <c r="AJ27" s="149"/>
      <c r="AK27" s="199"/>
      <c r="AL27" s="149"/>
      <c r="AM27" s="149"/>
      <c r="AN27" s="149"/>
      <c r="AO27" s="199"/>
      <c r="AP27" s="149"/>
      <c r="AQ27" s="149"/>
      <c r="AR27" s="149"/>
      <c r="AS27" s="199"/>
      <c r="AT27" s="149"/>
      <c r="AU27" s="149"/>
      <c r="AV27" s="149"/>
      <c r="AW27" s="199"/>
      <c r="AX27" s="190">
        <f t="shared" si="1"/>
        <v>0</v>
      </c>
      <c r="AY27" s="156">
        <f t="shared" si="3"/>
        <v>0</v>
      </c>
      <c r="AZ27" s="151"/>
      <c r="BA27" s="151"/>
      <c r="BB27" s="151"/>
      <c r="BC27" s="151"/>
      <c r="BD27" s="151"/>
      <c r="BE27" s="151"/>
      <c r="BF27" s="151"/>
      <c r="BG27" s="151"/>
      <c r="BH27" s="151"/>
      <c r="BI27" s="151"/>
      <c r="BJ27" s="151"/>
      <c r="BK27" s="151"/>
    </row>
    <row r="28" spans="1:63" x14ac:dyDescent="0.25">
      <c r="A28" s="149" t="s">
        <v>313</v>
      </c>
      <c r="B28" s="149"/>
      <c r="C28" s="149"/>
      <c r="D28" s="149">
        <v>6</v>
      </c>
      <c r="E28" s="199"/>
      <c r="F28" s="149">
        <v>0</v>
      </c>
      <c r="G28" s="149">
        <v>13</v>
      </c>
      <c r="H28" s="399"/>
      <c r="I28" s="199"/>
      <c r="J28" s="149"/>
      <c r="K28" s="149"/>
      <c r="L28" s="149"/>
      <c r="M28" s="199"/>
      <c r="N28" s="149"/>
      <c r="O28" s="149"/>
      <c r="P28" s="149"/>
      <c r="Q28" s="199"/>
      <c r="R28" s="190">
        <f t="shared" si="0"/>
        <v>19</v>
      </c>
      <c r="S28" s="156">
        <f t="shared" si="2"/>
        <v>0</v>
      </c>
      <c r="T28" s="189"/>
      <c r="U28" s="189"/>
      <c r="V28" s="189"/>
      <c r="W28" s="189"/>
      <c r="X28" s="189"/>
      <c r="Y28" s="151"/>
      <c r="Z28" s="151"/>
      <c r="AA28" s="151"/>
      <c r="AB28" s="151"/>
      <c r="AC28" s="151"/>
      <c r="AD28" s="151"/>
      <c r="AE28" s="151"/>
      <c r="AG28" s="149" t="s">
        <v>313</v>
      </c>
      <c r="AH28" s="149"/>
      <c r="AI28" s="149"/>
      <c r="AJ28" s="149"/>
      <c r="AK28" s="199"/>
      <c r="AL28" s="149"/>
      <c r="AM28" s="149"/>
      <c r="AN28" s="149"/>
      <c r="AO28" s="199"/>
      <c r="AP28" s="149"/>
      <c r="AQ28" s="149"/>
      <c r="AR28" s="149"/>
      <c r="AS28" s="199"/>
      <c r="AT28" s="149"/>
      <c r="AU28" s="149"/>
      <c r="AV28" s="149"/>
      <c r="AW28" s="199"/>
      <c r="AX28" s="190">
        <f t="shared" si="1"/>
        <v>0</v>
      </c>
      <c r="AY28" s="156">
        <f t="shared" si="3"/>
        <v>0</v>
      </c>
      <c r="AZ28" s="151"/>
      <c r="BA28" s="151"/>
      <c r="BB28" s="151"/>
      <c r="BC28" s="151"/>
      <c r="BD28" s="151"/>
      <c r="BE28" s="151"/>
      <c r="BF28" s="151"/>
      <c r="BG28" s="151"/>
      <c r="BH28" s="151"/>
      <c r="BI28" s="151"/>
      <c r="BJ28" s="151"/>
      <c r="BK28" s="151"/>
    </row>
    <row r="29" spans="1:63" x14ac:dyDescent="0.25">
      <c r="A29" s="149" t="s">
        <v>314</v>
      </c>
      <c r="B29" s="149"/>
      <c r="C29" s="149"/>
      <c r="D29" s="149"/>
      <c r="E29" s="199"/>
      <c r="F29" s="149">
        <v>0</v>
      </c>
      <c r="G29" s="149">
        <v>39</v>
      </c>
      <c r="H29" s="399">
        <v>31</v>
      </c>
      <c r="I29" s="199"/>
      <c r="J29" s="149"/>
      <c r="K29" s="149"/>
      <c r="L29" s="149"/>
      <c r="M29" s="199"/>
      <c r="N29" s="149"/>
      <c r="O29" s="149"/>
      <c r="P29" s="149"/>
      <c r="Q29" s="199"/>
      <c r="R29" s="190">
        <f t="shared" si="0"/>
        <v>70</v>
      </c>
      <c r="S29" s="156">
        <f t="shared" si="2"/>
        <v>0</v>
      </c>
      <c r="T29" s="189"/>
      <c r="U29" s="189"/>
      <c r="V29" s="189"/>
      <c r="W29" s="189"/>
      <c r="X29" s="189"/>
      <c r="Y29" s="151"/>
      <c r="Z29" s="151"/>
      <c r="AA29" s="151"/>
      <c r="AB29" s="151"/>
      <c r="AC29" s="151"/>
      <c r="AD29" s="151"/>
      <c r="AE29" s="151"/>
      <c r="AG29" s="149" t="s">
        <v>314</v>
      </c>
      <c r="AH29" s="149"/>
      <c r="AI29" s="149"/>
      <c r="AJ29" s="149"/>
      <c r="AK29" s="199"/>
      <c r="AL29" s="149"/>
      <c r="AM29" s="149"/>
      <c r="AN29" s="149"/>
      <c r="AO29" s="199"/>
      <c r="AP29" s="149"/>
      <c r="AQ29" s="149"/>
      <c r="AR29" s="149"/>
      <c r="AS29" s="199"/>
      <c r="AT29" s="149"/>
      <c r="AU29" s="149"/>
      <c r="AV29" s="149"/>
      <c r="AW29" s="199"/>
      <c r="AX29" s="190">
        <f t="shared" si="1"/>
        <v>0</v>
      </c>
      <c r="AY29" s="156">
        <f t="shared" si="3"/>
        <v>0</v>
      </c>
      <c r="AZ29" s="151"/>
      <c r="BA29" s="151"/>
      <c r="BB29" s="151"/>
      <c r="BC29" s="151"/>
      <c r="BD29" s="151"/>
      <c r="BE29" s="151"/>
      <c r="BF29" s="151"/>
      <c r="BG29" s="151"/>
      <c r="BH29" s="151"/>
      <c r="BI29" s="151"/>
      <c r="BJ29" s="151"/>
      <c r="BK29" s="151"/>
    </row>
    <row r="30" spans="1:63" x14ac:dyDescent="0.25">
      <c r="A30" s="149" t="s">
        <v>315</v>
      </c>
      <c r="B30" s="149"/>
      <c r="C30" s="149"/>
      <c r="D30" s="149">
        <v>15</v>
      </c>
      <c r="E30" s="199"/>
      <c r="F30" s="149">
        <v>17</v>
      </c>
      <c r="G30" s="149">
        <v>29</v>
      </c>
      <c r="H30" s="399">
        <v>40</v>
      </c>
      <c r="I30" s="199"/>
      <c r="J30" s="149"/>
      <c r="K30" s="149"/>
      <c r="L30" s="149"/>
      <c r="M30" s="199"/>
      <c r="N30" s="149"/>
      <c r="O30" s="149"/>
      <c r="P30" s="149"/>
      <c r="Q30" s="199"/>
      <c r="R30" s="190">
        <f t="shared" si="0"/>
        <v>101</v>
      </c>
      <c r="S30" s="156">
        <f t="shared" si="2"/>
        <v>0</v>
      </c>
      <c r="T30" s="189"/>
      <c r="U30" s="189"/>
      <c r="V30" s="189"/>
      <c r="W30" s="189"/>
      <c r="X30" s="189"/>
      <c r="Y30" s="151"/>
      <c r="Z30" s="151"/>
      <c r="AA30" s="151"/>
      <c r="AB30" s="151"/>
      <c r="AC30" s="151"/>
      <c r="AD30" s="151"/>
      <c r="AE30" s="151"/>
      <c r="AG30" s="149" t="s">
        <v>315</v>
      </c>
      <c r="AH30" s="149"/>
      <c r="AI30" s="149"/>
      <c r="AJ30" s="149"/>
      <c r="AK30" s="199"/>
      <c r="AL30" s="149"/>
      <c r="AM30" s="149"/>
      <c r="AN30" s="149"/>
      <c r="AO30" s="199"/>
      <c r="AP30" s="149"/>
      <c r="AQ30" s="149"/>
      <c r="AR30" s="149"/>
      <c r="AS30" s="199"/>
      <c r="AT30" s="149"/>
      <c r="AU30" s="149"/>
      <c r="AV30" s="149"/>
      <c r="AW30" s="199"/>
      <c r="AX30" s="190">
        <f t="shared" si="1"/>
        <v>0</v>
      </c>
      <c r="AY30" s="156">
        <f t="shared" si="3"/>
        <v>0</v>
      </c>
      <c r="AZ30" s="151"/>
      <c r="BA30" s="151"/>
      <c r="BB30" s="151"/>
      <c r="BC30" s="151"/>
      <c r="BD30" s="151"/>
      <c r="BE30" s="151"/>
      <c r="BF30" s="151"/>
      <c r="BG30" s="151"/>
      <c r="BH30" s="151"/>
      <c r="BI30" s="151"/>
      <c r="BJ30" s="151"/>
      <c r="BK30" s="151"/>
    </row>
    <row r="31" spans="1:63" x14ac:dyDescent="0.25">
      <c r="A31" s="149" t="s">
        <v>316</v>
      </c>
      <c r="B31" s="149"/>
      <c r="C31" s="149"/>
      <c r="D31" s="149"/>
      <c r="E31" s="199"/>
      <c r="F31" s="149">
        <v>0</v>
      </c>
      <c r="G31" s="149"/>
      <c r="H31" s="399"/>
      <c r="I31" s="199"/>
      <c r="J31" s="149"/>
      <c r="K31" s="149"/>
      <c r="L31" s="149"/>
      <c r="M31" s="199"/>
      <c r="N31" s="149"/>
      <c r="O31" s="149"/>
      <c r="P31" s="149"/>
      <c r="Q31" s="199"/>
      <c r="R31" s="190">
        <f t="shared" si="0"/>
        <v>0</v>
      </c>
      <c r="S31" s="156">
        <f t="shared" si="2"/>
        <v>0</v>
      </c>
      <c r="T31" s="189"/>
      <c r="U31" s="189"/>
      <c r="V31" s="189"/>
      <c r="W31" s="189"/>
      <c r="X31" s="189"/>
      <c r="Y31" s="151"/>
      <c r="Z31" s="151"/>
      <c r="AA31" s="151"/>
      <c r="AB31" s="151"/>
      <c r="AC31" s="151"/>
      <c r="AD31" s="151"/>
      <c r="AE31" s="151"/>
      <c r="AG31" s="149" t="s">
        <v>316</v>
      </c>
      <c r="AH31" s="149"/>
      <c r="AI31" s="149"/>
      <c r="AJ31" s="149"/>
      <c r="AK31" s="199"/>
      <c r="AL31" s="149"/>
      <c r="AM31" s="149"/>
      <c r="AN31" s="149"/>
      <c r="AO31" s="199"/>
      <c r="AP31" s="149"/>
      <c r="AQ31" s="149"/>
      <c r="AR31" s="149"/>
      <c r="AS31" s="199"/>
      <c r="AT31" s="149"/>
      <c r="AU31" s="149"/>
      <c r="AV31" s="149"/>
      <c r="AW31" s="199"/>
      <c r="AX31" s="190">
        <f t="shared" si="1"/>
        <v>0</v>
      </c>
      <c r="AY31" s="156">
        <f t="shared" si="3"/>
        <v>0</v>
      </c>
      <c r="AZ31" s="151"/>
      <c r="BA31" s="151"/>
      <c r="BB31" s="151"/>
      <c r="BC31" s="151"/>
      <c r="BD31" s="151"/>
      <c r="BE31" s="151"/>
      <c r="BF31" s="151"/>
      <c r="BG31" s="151"/>
      <c r="BH31" s="151"/>
      <c r="BI31" s="151"/>
      <c r="BJ31" s="151"/>
      <c r="BK31" s="151"/>
    </row>
    <row r="32" spans="1:63" x14ac:dyDescent="0.25">
      <c r="A32" s="153" t="s">
        <v>317</v>
      </c>
      <c r="B32" s="150">
        <f>SUM(B11:B31)</f>
        <v>0</v>
      </c>
      <c r="C32" s="150">
        <f t="shared" ref="C32:AE32" si="4">SUM(C11:C31)</f>
        <v>0</v>
      </c>
      <c r="D32" s="150">
        <f t="shared" si="4"/>
        <v>220</v>
      </c>
      <c r="E32" s="200">
        <f>SUM(E11:E31)</f>
        <v>0</v>
      </c>
      <c r="F32" s="150">
        <f t="shared" si="4"/>
        <v>297</v>
      </c>
      <c r="G32" s="150">
        <f t="shared" si="4"/>
        <v>596</v>
      </c>
      <c r="H32" s="150">
        <f t="shared" si="4"/>
        <v>371</v>
      </c>
      <c r="I32" s="200">
        <f>SUM(I11:I31)</f>
        <v>0</v>
      </c>
      <c r="J32" s="150">
        <f t="shared" si="4"/>
        <v>0</v>
      </c>
      <c r="K32" s="150">
        <f t="shared" si="4"/>
        <v>0</v>
      </c>
      <c r="L32" s="150">
        <f t="shared" si="4"/>
        <v>0</v>
      </c>
      <c r="M32" s="200">
        <f>SUM(M11:M31)</f>
        <v>0</v>
      </c>
      <c r="N32" s="150">
        <f t="shared" si="4"/>
        <v>0</v>
      </c>
      <c r="O32" s="150">
        <f t="shared" si="4"/>
        <v>0</v>
      </c>
      <c r="P32" s="150">
        <f t="shared" si="4"/>
        <v>0</v>
      </c>
      <c r="Q32" s="200">
        <f>SUM(Q11:Q31)</f>
        <v>0</v>
      </c>
      <c r="R32" s="408">
        <f t="shared" si="4"/>
        <v>1484</v>
      </c>
      <c r="S32" s="156">
        <f t="shared" si="4"/>
        <v>0</v>
      </c>
      <c r="T32" s="150">
        <f t="shared" si="4"/>
        <v>0</v>
      </c>
      <c r="U32" s="150">
        <f t="shared" si="4"/>
        <v>0</v>
      </c>
      <c r="V32" s="150">
        <f t="shared" si="4"/>
        <v>0</v>
      </c>
      <c r="W32" s="150">
        <f t="shared" si="4"/>
        <v>0</v>
      </c>
      <c r="X32" s="150">
        <f t="shared" si="4"/>
        <v>0</v>
      </c>
      <c r="Y32" s="150">
        <f t="shared" si="4"/>
        <v>0</v>
      </c>
      <c r="Z32" s="150">
        <f t="shared" si="4"/>
        <v>0</v>
      </c>
      <c r="AA32" s="150">
        <f t="shared" si="4"/>
        <v>0</v>
      </c>
      <c r="AB32" s="150">
        <f t="shared" si="4"/>
        <v>0</v>
      </c>
      <c r="AC32" s="150">
        <f t="shared" si="4"/>
        <v>0</v>
      </c>
      <c r="AD32" s="150">
        <f t="shared" si="4"/>
        <v>0</v>
      </c>
      <c r="AE32" s="150">
        <f t="shared" si="4"/>
        <v>0</v>
      </c>
      <c r="AG32" s="153" t="s">
        <v>317</v>
      </c>
      <c r="AH32" s="150">
        <f t="shared" ref="AH32:AW32" si="5">SUM(AH11:AH31)</f>
        <v>0</v>
      </c>
      <c r="AI32" s="150">
        <f t="shared" si="5"/>
        <v>0</v>
      </c>
      <c r="AJ32" s="150">
        <f t="shared" si="5"/>
        <v>0</v>
      </c>
      <c r="AK32" s="200">
        <f t="shared" si="5"/>
        <v>0</v>
      </c>
      <c r="AL32" s="150">
        <f t="shared" si="5"/>
        <v>0</v>
      </c>
      <c r="AM32" s="150">
        <f t="shared" si="5"/>
        <v>0</v>
      </c>
      <c r="AN32" s="150">
        <f t="shared" si="5"/>
        <v>0</v>
      </c>
      <c r="AO32" s="200">
        <f t="shared" si="5"/>
        <v>0</v>
      </c>
      <c r="AP32" s="150">
        <f t="shared" si="5"/>
        <v>0</v>
      </c>
      <c r="AQ32" s="150">
        <f t="shared" si="5"/>
        <v>0</v>
      </c>
      <c r="AR32" s="150">
        <f t="shared" si="5"/>
        <v>0</v>
      </c>
      <c r="AS32" s="200">
        <f t="shared" si="5"/>
        <v>0</v>
      </c>
      <c r="AT32" s="150">
        <f t="shared" si="5"/>
        <v>0</v>
      </c>
      <c r="AU32" s="150">
        <f t="shared" si="5"/>
        <v>0</v>
      </c>
      <c r="AV32" s="150">
        <f t="shared" si="5"/>
        <v>0</v>
      </c>
      <c r="AW32" s="200">
        <f t="shared" si="5"/>
        <v>0</v>
      </c>
      <c r="AX32" s="191">
        <f t="shared" ref="AX32:BK32" si="6">SUM(AX11:AX31)</f>
        <v>0</v>
      </c>
      <c r="AY32" s="157">
        <f t="shared" si="6"/>
        <v>0</v>
      </c>
      <c r="AZ32" s="150">
        <f t="shared" si="6"/>
        <v>0</v>
      </c>
      <c r="BA32" s="150">
        <f t="shared" si="6"/>
        <v>0</v>
      </c>
      <c r="BB32" s="150">
        <f t="shared" si="6"/>
        <v>0</v>
      </c>
      <c r="BC32" s="150">
        <f t="shared" si="6"/>
        <v>0</v>
      </c>
      <c r="BD32" s="150">
        <f t="shared" si="6"/>
        <v>0</v>
      </c>
      <c r="BE32" s="150">
        <f t="shared" si="6"/>
        <v>0</v>
      </c>
      <c r="BF32" s="150">
        <f t="shared" si="6"/>
        <v>0</v>
      </c>
      <c r="BG32" s="150">
        <f t="shared" si="6"/>
        <v>0</v>
      </c>
      <c r="BH32" s="150">
        <f t="shared" si="6"/>
        <v>0</v>
      </c>
      <c r="BI32" s="150">
        <f t="shared" si="6"/>
        <v>0</v>
      </c>
      <c r="BJ32" s="150">
        <f t="shared" si="6"/>
        <v>0</v>
      </c>
      <c r="BK32" s="150">
        <f t="shared" si="6"/>
        <v>0</v>
      </c>
    </row>
    <row r="34" spans="1:63" ht="33.75" customHeight="1" x14ac:dyDescent="0.25">
      <c r="A34" s="154" t="s">
        <v>275</v>
      </c>
      <c r="B34" s="985"/>
      <c r="C34" s="985"/>
      <c r="D34" s="985"/>
      <c r="E34" s="985"/>
      <c r="F34" s="985"/>
      <c r="G34" s="985"/>
      <c r="H34" s="985"/>
      <c r="I34" s="985"/>
      <c r="J34" s="985"/>
      <c r="K34" s="985"/>
      <c r="L34" s="985"/>
      <c r="M34" s="985"/>
      <c r="N34" s="985"/>
      <c r="O34" s="985"/>
      <c r="P34" s="985"/>
      <c r="Q34" s="985"/>
      <c r="R34" s="985"/>
      <c r="S34" s="985"/>
      <c r="T34" s="985"/>
      <c r="U34" s="985"/>
      <c r="V34" s="985"/>
      <c r="W34" s="985"/>
      <c r="X34" s="985"/>
      <c r="Y34" s="985"/>
      <c r="Z34" s="985"/>
      <c r="AA34" s="985"/>
      <c r="AB34" s="985"/>
      <c r="AC34" s="985"/>
      <c r="AD34" s="985"/>
      <c r="AE34" s="985"/>
      <c r="AF34" s="985"/>
      <c r="AG34" s="985"/>
      <c r="AH34" s="985"/>
      <c r="AI34" s="985"/>
      <c r="AJ34" s="985"/>
      <c r="AK34" s="985"/>
      <c r="AL34" s="985"/>
      <c r="AM34" s="985"/>
      <c r="AN34" s="985"/>
      <c r="AO34" s="985"/>
      <c r="AP34" s="985"/>
      <c r="AQ34" s="985"/>
      <c r="AR34" s="985"/>
      <c r="AS34" s="985"/>
      <c r="AT34" s="985"/>
      <c r="AU34" s="985"/>
      <c r="AV34" s="985"/>
      <c r="AW34" s="985"/>
      <c r="AX34" s="985"/>
      <c r="AY34" s="985"/>
      <c r="AZ34" s="985"/>
      <c r="BA34" s="985"/>
      <c r="BB34" s="985"/>
      <c r="BC34" s="985"/>
      <c r="BD34" s="985"/>
      <c r="BE34" s="985"/>
      <c r="BF34" s="985"/>
      <c r="BG34" s="985"/>
      <c r="BH34" s="985"/>
      <c r="BI34" s="985"/>
      <c r="BJ34" s="985"/>
      <c r="BK34" s="985"/>
    </row>
    <row r="35" spans="1:63" ht="33.75" customHeight="1" x14ac:dyDescent="0.25">
      <c r="A35" s="155" t="s">
        <v>276</v>
      </c>
      <c r="B35" s="980" t="s">
        <v>318</v>
      </c>
      <c r="C35" s="982"/>
      <c r="D35" s="982"/>
      <c r="E35" s="982"/>
      <c r="F35" s="982"/>
      <c r="G35" s="982"/>
      <c r="H35" s="982"/>
      <c r="I35" s="982"/>
      <c r="J35" s="982"/>
      <c r="K35" s="982"/>
      <c r="L35" s="982"/>
      <c r="M35" s="982"/>
      <c r="N35" s="982"/>
      <c r="O35" s="982"/>
      <c r="P35" s="982"/>
      <c r="Q35" s="982"/>
      <c r="R35" s="982"/>
      <c r="S35" s="982"/>
      <c r="T35" s="982"/>
      <c r="U35" s="982"/>
      <c r="V35" s="982"/>
      <c r="W35" s="982"/>
      <c r="X35" s="982"/>
      <c r="Y35" s="982"/>
      <c r="Z35" s="982"/>
      <c r="AA35" s="982"/>
      <c r="AB35" s="982"/>
      <c r="AC35" s="982"/>
      <c r="AD35" s="982"/>
      <c r="AE35" s="982"/>
      <c r="AF35" s="982"/>
      <c r="AG35" s="982"/>
      <c r="AH35" s="982"/>
      <c r="AI35" s="982"/>
      <c r="AJ35" s="982"/>
      <c r="AK35" s="982"/>
      <c r="AL35" s="982"/>
      <c r="AM35" s="982"/>
      <c r="AN35" s="982"/>
      <c r="AO35" s="982"/>
      <c r="AP35" s="982"/>
      <c r="AQ35" s="982"/>
      <c r="AR35" s="982"/>
      <c r="AS35" s="982"/>
      <c r="AT35" s="982"/>
      <c r="AU35" s="982"/>
      <c r="AV35" s="982"/>
      <c r="AW35" s="982"/>
      <c r="AX35" s="982"/>
      <c r="AY35" s="982"/>
      <c r="AZ35" s="982"/>
      <c r="BA35" s="982"/>
      <c r="BB35" s="982"/>
      <c r="BC35" s="982"/>
      <c r="BD35" s="982"/>
      <c r="BE35" s="982"/>
      <c r="BF35" s="982"/>
      <c r="BG35" s="982"/>
      <c r="BH35" s="982"/>
      <c r="BI35" s="982"/>
      <c r="BJ35" s="982"/>
      <c r="BK35" s="981"/>
    </row>
    <row r="37" spans="1:63" ht="30" customHeight="1" x14ac:dyDescent="0.25">
      <c r="A37" s="983" t="s">
        <v>278</v>
      </c>
      <c r="B37" s="193" t="s">
        <v>31</v>
      </c>
      <c r="C37" s="193" t="s">
        <v>32</v>
      </c>
      <c r="D37" s="980" t="s">
        <v>33</v>
      </c>
      <c r="E37" s="981"/>
      <c r="F37" s="193" t="s">
        <v>34</v>
      </c>
      <c r="G37" s="193" t="s">
        <v>35</v>
      </c>
      <c r="H37" s="980" t="s">
        <v>8</v>
      </c>
      <c r="I37" s="981"/>
      <c r="J37" s="193" t="s">
        <v>36</v>
      </c>
      <c r="K37" s="193" t="s">
        <v>37</v>
      </c>
      <c r="L37" s="980" t="s">
        <v>38</v>
      </c>
      <c r="M37" s="981"/>
      <c r="N37" s="193" t="s">
        <v>39</v>
      </c>
      <c r="O37" s="193" t="s">
        <v>40</v>
      </c>
      <c r="P37" s="980" t="s">
        <v>41</v>
      </c>
      <c r="Q37" s="981"/>
      <c r="R37" s="980" t="s">
        <v>279</v>
      </c>
      <c r="S37" s="981"/>
      <c r="T37" s="980" t="s">
        <v>280</v>
      </c>
      <c r="U37" s="982"/>
      <c r="V37" s="982"/>
      <c r="W37" s="982"/>
      <c r="X37" s="982"/>
      <c r="Y37" s="981"/>
      <c r="Z37" s="980" t="s">
        <v>281</v>
      </c>
      <c r="AA37" s="982"/>
      <c r="AB37" s="982"/>
      <c r="AC37" s="982"/>
      <c r="AD37" s="982"/>
      <c r="AE37" s="981"/>
      <c r="AG37" s="983" t="s">
        <v>278</v>
      </c>
      <c r="AH37" s="193" t="s">
        <v>31</v>
      </c>
      <c r="AI37" s="193" t="s">
        <v>32</v>
      </c>
      <c r="AJ37" s="980" t="s">
        <v>33</v>
      </c>
      <c r="AK37" s="981"/>
      <c r="AL37" s="193" t="s">
        <v>34</v>
      </c>
      <c r="AM37" s="193" t="s">
        <v>35</v>
      </c>
      <c r="AN37" s="980" t="s">
        <v>8</v>
      </c>
      <c r="AO37" s="981"/>
      <c r="AP37" s="193" t="s">
        <v>36</v>
      </c>
      <c r="AQ37" s="193" t="s">
        <v>37</v>
      </c>
      <c r="AR37" s="980" t="s">
        <v>38</v>
      </c>
      <c r="AS37" s="981"/>
      <c r="AT37" s="193" t="s">
        <v>39</v>
      </c>
      <c r="AU37" s="193" t="s">
        <v>40</v>
      </c>
      <c r="AV37" s="980" t="s">
        <v>41</v>
      </c>
      <c r="AW37" s="981"/>
      <c r="AX37" s="980" t="s">
        <v>279</v>
      </c>
      <c r="AY37" s="981"/>
      <c r="AZ37" s="980" t="s">
        <v>280</v>
      </c>
      <c r="BA37" s="982"/>
      <c r="BB37" s="982"/>
      <c r="BC37" s="982"/>
      <c r="BD37" s="982"/>
      <c r="BE37" s="981"/>
      <c r="BF37" s="980" t="s">
        <v>281</v>
      </c>
      <c r="BG37" s="982"/>
      <c r="BH37" s="982"/>
      <c r="BI37" s="982"/>
      <c r="BJ37" s="982"/>
      <c r="BK37" s="981"/>
    </row>
    <row r="38" spans="1:63" ht="36" customHeight="1" x14ac:dyDescent="0.25">
      <c r="A38" s="984"/>
      <c r="B38" s="119" t="s">
        <v>282</v>
      </c>
      <c r="C38" s="119" t="s">
        <v>282</v>
      </c>
      <c r="D38" s="119" t="s">
        <v>282</v>
      </c>
      <c r="E38" s="119" t="s">
        <v>283</v>
      </c>
      <c r="F38" s="119" t="s">
        <v>282</v>
      </c>
      <c r="G38" s="119" t="s">
        <v>282</v>
      </c>
      <c r="H38" s="119" t="s">
        <v>282</v>
      </c>
      <c r="I38" s="119" t="s">
        <v>283</v>
      </c>
      <c r="J38" s="119" t="s">
        <v>282</v>
      </c>
      <c r="K38" s="119" t="s">
        <v>282</v>
      </c>
      <c r="L38" s="119" t="s">
        <v>282</v>
      </c>
      <c r="M38" s="119" t="s">
        <v>283</v>
      </c>
      <c r="N38" s="119" t="s">
        <v>282</v>
      </c>
      <c r="O38" s="119" t="s">
        <v>282</v>
      </c>
      <c r="P38" s="119" t="s">
        <v>282</v>
      </c>
      <c r="Q38" s="119" t="s">
        <v>283</v>
      </c>
      <c r="R38" s="119" t="s">
        <v>282</v>
      </c>
      <c r="S38" s="119" t="s">
        <v>283</v>
      </c>
      <c r="T38" s="187" t="s">
        <v>284</v>
      </c>
      <c r="U38" s="187" t="s">
        <v>285</v>
      </c>
      <c r="V38" s="187" t="s">
        <v>286</v>
      </c>
      <c r="W38" s="187" t="s">
        <v>287</v>
      </c>
      <c r="X38" s="188" t="s">
        <v>288</v>
      </c>
      <c r="Y38" s="187" t="s">
        <v>289</v>
      </c>
      <c r="Z38" s="119" t="s">
        <v>290</v>
      </c>
      <c r="AA38" s="148" t="s">
        <v>291</v>
      </c>
      <c r="AB38" s="119" t="s">
        <v>292</v>
      </c>
      <c r="AC38" s="119" t="s">
        <v>293</v>
      </c>
      <c r="AD38" s="119" t="s">
        <v>294</v>
      </c>
      <c r="AE38" s="119" t="s">
        <v>295</v>
      </c>
      <c r="AG38" s="984"/>
      <c r="AH38" s="119" t="s">
        <v>282</v>
      </c>
      <c r="AI38" s="119" t="s">
        <v>282</v>
      </c>
      <c r="AJ38" s="119" t="s">
        <v>282</v>
      </c>
      <c r="AK38" s="119" t="s">
        <v>283</v>
      </c>
      <c r="AL38" s="119" t="s">
        <v>282</v>
      </c>
      <c r="AM38" s="119" t="s">
        <v>282</v>
      </c>
      <c r="AN38" s="119" t="s">
        <v>282</v>
      </c>
      <c r="AO38" s="119" t="s">
        <v>283</v>
      </c>
      <c r="AP38" s="119" t="s">
        <v>282</v>
      </c>
      <c r="AQ38" s="119" t="s">
        <v>282</v>
      </c>
      <c r="AR38" s="119" t="s">
        <v>282</v>
      </c>
      <c r="AS38" s="119" t="s">
        <v>283</v>
      </c>
      <c r="AT38" s="119" t="s">
        <v>282</v>
      </c>
      <c r="AU38" s="119" t="s">
        <v>282</v>
      </c>
      <c r="AV38" s="119" t="s">
        <v>282</v>
      </c>
      <c r="AW38" s="119" t="s">
        <v>283</v>
      </c>
      <c r="AX38" s="119" t="s">
        <v>282</v>
      </c>
      <c r="AY38" s="119" t="s">
        <v>283</v>
      </c>
      <c r="AZ38" s="187" t="s">
        <v>284</v>
      </c>
      <c r="BA38" s="187" t="s">
        <v>285</v>
      </c>
      <c r="BB38" s="187" t="s">
        <v>286</v>
      </c>
      <c r="BC38" s="187" t="s">
        <v>287</v>
      </c>
      <c r="BD38" s="188" t="s">
        <v>288</v>
      </c>
      <c r="BE38" s="187" t="s">
        <v>289</v>
      </c>
      <c r="BF38" s="185" t="s">
        <v>290</v>
      </c>
      <c r="BG38" s="186" t="s">
        <v>291</v>
      </c>
      <c r="BH38" s="185" t="s">
        <v>292</v>
      </c>
      <c r="BI38" s="185" t="s">
        <v>293</v>
      </c>
      <c r="BJ38" s="185" t="s">
        <v>294</v>
      </c>
      <c r="BK38" s="185" t="s">
        <v>295</v>
      </c>
    </row>
    <row r="39" spans="1:63" x14ac:dyDescent="0.25">
      <c r="A39" s="149" t="s">
        <v>296</v>
      </c>
      <c r="B39" s="149"/>
      <c r="C39" s="149"/>
      <c r="D39" s="345">
        <v>15</v>
      </c>
      <c r="E39" s="199"/>
      <c r="F39" s="149">
        <v>34</v>
      </c>
      <c r="G39" s="149">
        <v>12</v>
      </c>
      <c r="H39" s="399">
        <v>16</v>
      </c>
      <c r="I39" s="199"/>
      <c r="J39" s="149"/>
      <c r="K39" s="149"/>
      <c r="L39" s="149"/>
      <c r="M39" s="199"/>
      <c r="N39" s="149"/>
      <c r="O39" s="149"/>
      <c r="P39" s="149"/>
      <c r="Q39" s="199"/>
      <c r="R39" s="190">
        <f t="shared" ref="R39:R59" si="7">B39+C39+D39+F39+G39+H39+J39+K39+L39+N39+O39+P39</f>
        <v>77</v>
      </c>
      <c r="S39" s="156">
        <f>+E39+I39+M39+Q39</f>
        <v>0</v>
      </c>
      <c r="T39" s="189"/>
      <c r="U39" s="189"/>
      <c r="V39" s="189"/>
      <c r="W39" s="189"/>
      <c r="X39" s="189"/>
      <c r="Y39" s="151"/>
      <c r="Z39" s="151"/>
      <c r="AA39" s="151"/>
      <c r="AB39" s="151"/>
      <c r="AC39" s="151"/>
      <c r="AD39" s="151"/>
      <c r="AE39" s="152"/>
      <c r="AG39" s="149" t="s">
        <v>296</v>
      </c>
      <c r="AH39" s="149"/>
      <c r="AI39" s="149"/>
      <c r="AJ39" s="149"/>
      <c r="AK39" s="199"/>
      <c r="AL39" s="149"/>
      <c r="AM39" s="149"/>
      <c r="AN39" s="149"/>
      <c r="AO39" s="199"/>
      <c r="AP39" s="149"/>
      <c r="AQ39" s="149"/>
      <c r="AR39" s="149"/>
      <c r="AS39" s="199"/>
      <c r="AT39" s="149"/>
      <c r="AU39" s="149"/>
      <c r="AV39" s="149"/>
      <c r="AW39" s="199"/>
      <c r="AX39" s="190">
        <f t="shared" ref="AX39:AX59" si="8">AH39+AI39+AJ39+AL39+AM39+AN39+AP39+AQ39+AR39+AT39+AU39+AV39</f>
        <v>0</v>
      </c>
      <c r="AY39" s="156">
        <f>+AK39+AO39+AS39+AW39</f>
        <v>0</v>
      </c>
      <c r="AZ39" s="151"/>
      <c r="BA39" s="151"/>
      <c r="BB39" s="151"/>
      <c r="BC39" s="151"/>
      <c r="BD39" s="151"/>
      <c r="BE39" s="151"/>
      <c r="BF39" s="151"/>
      <c r="BG39" s="151"/>
      <c r="BH39" s="151"/>
      <c r="BI39" s="151"/>
      <c r="BJ39" s="151"/>
      <c r="BK39" s="152"/>
    </row>
    <row r="40" spans="1:63" x14ac:dyDescent="0.25">
      <c r="A40" s="149" t="s">
        <v>297</v>
      </c>
      <c r="B40" s="149"/>
      <c r="C40" s="149">
        <v>9</v>
      </c>
      <c r="D40" s="346">
        <v>62</v>
      </c>
      <c r="E40" s="199"/>
      <c r="F40" s="149">
        <v>55</v>
      </c>
      <c r="G40" s="149">
        <v>52</v>
      </c>
      <c r="H40" s="399">
        <v>35</v>
      </c>
      <c r="I40" s="199"/>
      <c r="J40" s="149"/>
      <c r="K40" s="149"/>
      <c r="L40" s="149"/>
      <c r="M40" s="199"/>
      <c r="N40" s="149"/>
      <c r="O40" s="149"/>
      <c r="P40" s="149"/>
      <c r="Q40" s="199"/>
      <c r="R40" s="190">
        <f t="shared" si="7"/>
        <v>213</v>
      </c>
      <c r="S40" s="156">
        <f t="shared" ref="S40:S59" si="9">+E40+I40+M40+Q40</f>
        <v>0</v>
      </c>
      <c r="T40" s="189"/>
      <c r="U40" s="189"/>
      <c r="V40" s="189"/>
      <c r="W40" s="189"/>
      <c r="X40" s="189"/>
      <c r="Y40" s="151"/>
      <c r="Z40" s="151"/>
      <c r="AA40" s="151"/>
      <c r="AB40" s="151"/>
      <c r="AC40" s="151"/>
      <c r="AD40" s="151"/>
      <c r="AE40" s="151"/>
      <c r="AG40" s="149" t="s">
        <v>297</v>
      </c>
      <c r="AH40" s="149"/>
      <c r="AI40" s="149"/>
      <c r="AJ40" s="149"/>
      <c r="AK40" s="199"/>
      <c r="AL40" s="149"/>
      <c r="AM40" s="149"/>
      <c r="AN40" s="149"/>
      <c r="AO40" s="199"/>
      <c r="AP40" s="149"/>
      <c r="AQ40" s="149"/>
      <c r="AR40" s="149"/>
      <c r="AS40" s="199"/>
      <c r="AT40" s="149"/>
      <c r="AU40" s="149"/>
      <c r="AV40" s="149"/>
      <c r="AW40" s="199"/>
      <c r="AX40" s="190">
        <f t="shared" si="8"/>
        <v>0</v>
      </c>
      <c r="AY40" s="156">
        <f t="shared" ref="AY40:AY59" si="10">+AK40+AO40+AS40+AW40</f>
        <v>0</v>
      </c>
      <c r="AZ40" s="151"/>
      <c r="BA40" s="151"/>
      <c r="BB40" s="151"/>
      <c r="BC40" s="151"/>
      <c r="BD40" s="151"/>
      <c r="BE40" s="151"/>
      <c r="BF40" s="151"/>
      <c r="BG40" s="151"/>
      <c r="BH40" s="151"/>
      <c r="BI40" s="151"/>
      <c r="BJ40" s="151"/>
      <c r="BK40" s="151"/>
    </row>
    <row r="41" spans="1:63" x14ac:dyDescent="0.25">
      <c r="A41" s="149" t="s">
        <v>298</v>
      </c>
      <c r="B41" s="149"/>
      <c r="C41" s="149"/>
      <c r="D41" s="346">
        <v>41</v>
      </c>
      <c r="E41" s="199"/>
      <c r="F41" s="149">
        <v>45</v>
      </c>
      <c r="G41" s="149">
        <v>50</v>
      </c>
      <c r="H41" s="399">
        <v>39</v>
      </c>
      <c r="I41" s="199"/>
      <c r="J41" s="149"/>
      <c r="K41" s="149"/>
      <c r="L41" s="149"/>
      <c r="M41" s="199"/>
      <c r="N41" s="149"/>
      <c r="O41" s="149"/>
      <c r="P41" s="149"/>
      <c r="Q41" s="199"/>
      <c r="R41" s="190">
        <f t="shared" si="7"/>
        <v>175</v>
      </c>
      <c r="S41" s="156">
        <f t="shared" si="9"/>
        <v>0</v>
      </c>
      <c r="T41" s="189"/>
      <c r="U41" s="189"/>
      <c r="V41" s="189"/>
      <c r="W41" s="189"/>
      <c r="X41" s="189"/>
      <c r="Y41" s="151"/>
      <c r="Z41" s="151"/>
      <c r="AA41" s="151"/>
      <c r="AB41" s="151"/>
      <c r="AC41" s="151"/>
      <c r="AD41" s="151"/>
      <c r="AE41" s="151"/>
      <c r="AG41" s="149" t="s">
        <v>298</v>
      </c>
      <c r="AH41" s="149"/>
      <c r="AI41" s="149"/>
      <c r="AJ41" s="149"/>
      <c r="AK41" s="199"/>
      <c r="AL41" s="149"/>
      <c r="AM41" s="149"/>
      <c r="AN41" s="149"/>
      <c r="AO41" s="199"/>
      <c r="AP41" s="149"/>
      <c r="AQ41" s="149"/>
      <c r="AR41" s="149"/>
      <c r="AS41" s="199"/>
      <c r="AT41" s="149"/>
      <c r="AU41" s="149"/>
      <c r="AV41" s="149"/>
      <c r="AW41" s="199"/>
      <c r="AX41" s="190">
        <f t="shared" si="8"/>
        <v>0</v>
      </c>
      <c r="AY41" s="156">
        <f t="shared" si="10"/>
        <v>0</v>
      </c>
      <c r="AZ41" s="151"/>
      <c r="BA41" s="151"/>
      <c r="BB41" s="151"/>
      <c r="BC41" s="151"/>
      <c r="BD41" s="151"/>
      <c r="BE41" s="151"/>
      <c r="BF41" s="151"/>
      <c r="BG41" s="151"/>
      <c r="BH41" s="151"/>
      <c r="BI41" s="151"/>
      <c r="BJ41" s="151"/>
      <c r="BK41" s="151"/>
    </row>
    <row r="42" spans="1:63" x14ac:dyDescent="0.25">
      <c r="A42" s="149" t="s">
        <v>299</v>
      </c>
      <c r="B42" s="149"/>
      <c r="C42" s="149"/>
      <c r="D42" s="346">
        <v>8</v>
      </c>
      <c r="E42" s="199"/>
      <c r="F42" s="149">
        <v>43</v>
      </c>
      <c r="G42" s="149">
        <v>10</v>
      </c>
      <c r="H42" s="399">
        <v>9</v>
      </c>
      <c r="I42" s="199"/>
      <c r="J42" s="149"/>
      <c r="K42" s="149"/>
      <c r="L42" s="149"/>
      <c r="M42" s="199"/>
      <c r="N42" s="149"/>
      <c r="O42" s="149"/>
      <c r="P42" s="149"/>
      <c r="Q42" s="199"/>
      <c r="R42" s="190">
        <f t="shared" si="7"/>
        <v>70</v>
      </c>
      <c r="S42" s="156">
        <f t="shared" si="9"/>
        <v>0</v>
      </c>
      <c r="T42" s="189"/>
      <c r="U42" s="189"/>
      <c r="V42" s="189"/>
      <c r="W42" s="189"/>
      <c r="X42" s="189"/>
      <c r="Y42" s="151"/>
      <c r="Z42" s="151"/>
      <c r="AA42" s="151"/>
      <c r="AB42" s="151"/>
      <c r="AC42" s="151"/>
      <c r="AD42" s="151"/>
      <c r="AE42" s="151"/>
      <c r="AG42" s="149" t="s">
        <v>299</v>
      </c>
      <c r="AH42" s="149"/>
      <c r="AI42" s="149"/>
      <c r="AJ42" s="149"/>
      <c r="AK42" s="199"/>
      <c r="AL42" s="149"/>
      <c r="AM42" s="149"/>
      <c r="AN42" s="149"/>
      <c r="AO42" s="199"/>
      <c r="AP42" s="149"/>
      <c r="AQ42" s="149"/>
      <c r="AR42" s="149"/>
      <c r="AS42" s="199"/>
      <c r="AT42" s="149"/>
      <c r="AU42" s="149"/>
      <c r="AV42" s="149"/>
      <c r="AW42" s="199"/>
      <c r="AX42" s="190">
        <f t="shared" si="8"/>
        <v>0</v>
      </c>
      <c r="AY42" s="156">
        <f t="shared" si="10"/>
        <v>0</v>
      </c>
      <c r="AZ42" s="151"/>
      <c r="BA42" s="151"/>
      <c r="BB42" s="151"/>
      <c r="BC42" s="151"/>
      <c r="BD42" s="151"/>
      <c r="BE42" s="151"/>
      <c r="BF42" s="151"/>
      <c r="BG42" s="151"/>
      <c r="BH42" s="151"/>
      <c r="BI42" s="151"/>
      <c r="BJ42" s="151"/>
      <c r="BK42" s="151"/>
    </row>
    <row r="43" spans="1:63" x14ac:dyDescent="0.25">
      <c r="A43" s="149" t="s">
        <v>300</v>
      </c>
      <c r="B43" s="149"/>
      <c r="C43" s="149"/>
      <c r="D43" s="346">
        <v>35</v>
      </c>
      <c r="E43" s="199"/>
      <c r="F43" s="149">
        <v>31</v>
      </c>
      <c r="G43" s="149">
        <v>110</v>
      </c>
      <c r="H43" s="399">
        <v>13</v>
      </c>
      <c r="I43" s="199"/>
      <c r="J43" s="149"/>
      <c r="K43" s="149"/>
      <c r="L43" s="149"/>
      <c r="M43" s="199"/>
      <c r="N43" s="149"/>
      <c r="O43" s="149"/>
      <c r="P43" s="149"/>
      <c r="Q43" s="199"/>
      <c r="R43" s="190">
        <f t="shared" si="7"/>
        <v>189</v>
      </c>
      <c r="S43" s="156">
        <f t="shared" si="9"/>
        <v>0</v>
      </c>
      <c r="T43" s="189"/>
      <c r="U43" s="189"/>
      <c r="V43" s="189"/>
      <c r="W43" s="189"/>
      <c r="X43" s="189"/>
      <c r="Y43" s="151"/>
      <c r="Z43" s="151"/>
      <c r="AA43" s="151"/>
      <c r="AB43" s="151"/>
      <c r="AC43" s="151"/>
      <c r="AD43" s="151"/>
      <c r="AE43" s="151"/>
      <c r="AG43" s="149" t="s">
        <v>300</v>
      </c>
      <c r="AH43" s="149"/>
      <c r="AI43" s="149"/>
      <c r="AJ43" s="149"/>
      <c r="AK43" s="199"/>
      <c r="AL43" s="149"/>
      <c r="AM43" s="149"/>
      <c r="AN43" s="149"/>
      <c r="AO43" s="199"/>
      <c r="AP43" s="149"/>
      <c r="AQ43" s="149"/>
      <c r="AR43" s="149"/>
      <c r="AS43" s="199"/>
      <c r="AT43" s="149"/>
      <c r="AU43" s="149"/>
      <c r="AV43" s="149"/>
      <c r="AW43" s="199"/>
      <c r="AX43" s="190">
        <f t="shared" si="8"/>
        <v>0</v>
      </c>
      <c r="AY43" s="156">
        <f t="shared" si="10"/>
        <v>0</v>
      </c>
      <c r="AZ43" s="151"/>
      <c r="BA43" s="151"/>
      <c r="BB43" s="151"/>
      <c r="BC43" s="151"/>
      <c r="BD43" s="151"/>
      <c r="BE43" s="151"/>
      <c r="BF43" s="151"/>
      <c r="BG43" s="151"/>
      <c r="BH43" s="151"/>
      <c r="BI43" s="151"/>
      <c r="BJ43" s="151"/>
      <c r="BK43" s="151"/>
    </row>
    <row r="44" spans="1:63" x14ac:dyDescent="0.25">
      <c r="A44" s="149" t="s">
        <v>301</v>
      </c>
      <c r="B44" s="149"/>
      <c r="C44" s="149">
        <v>9</v>
      </c>
      <c r="D44" s="346">
        <v>12</v>
      </c>
      <c r="E44" s="199"/>
      <c r="F44" s="149">
        <v>128</v>
      </c>
      <c r="G44" s="149">
        <v>163</v>
      </c>
      <c r="H44" s="399">
        <v>0</v>
      </c>
      <c r="I44" s="199"/>
      <c r="J44" s="149"/>
      <c r="K44" s="149"/>
      <c r="L44" s="149"/>
      <c r="M44" s="199"/>
      <c r="N44" s="149"/>
      <c r="O44" s="149"/>
      <c r="P44" s="149"/>
      <c r="Q44" s="199"/>
      <c r="R44" s="190">
        <f t="shared" si="7"/>
        <v>312</v>
      </c>
      <c r="S44" s="156">
        <f t="shared" si="9"/>
        <v>0</v>
      </c>
      <c r="T44" s="189"/>
      <c r="U44" s="189"/>
      <c r="V44" s="189"/>
      <c r="W44" s="189"/>
      <c r="X44" s="189"/>
      <c r="Y44" s="151"/>
      <c r="Z44" s="151"/>
      <c r="AA44" s="151"/>
      <c r="AB44" s="151"/>
      <c r="AC44" s="151"/>
      <c r="AD44" s="151"/>
      <c r="AE44" s="151"/>
      <c r="AG44" s="149" t="s">
        <v>301</v>
      </c>
      <c r="AH44" s="149"/>
      <c r="AI44" s="149"/>
      <c r="AJ44" s="149"/>
      <c r="AK44" s="199"/>
      <c r="AL44" s="149"/>
      <c r="AM44" s="149"/>
      <c r="AN44" s="149"/>
      <c r="AO44" s="199"/>
      <c r="AP44" s="149"/>
      <c r="AQ44" s="149"/>
      <c r="AR44" s="149"/>
      <c r="AS44" s="199"/>
      <c r="AT44" s="149"/>
      <c r="AU44" s="149"/>
      <c r="AV44" s="149"/>
      <c r="AW44" s="199"/>
      <c r="AX44" s="190">
        <f t="shared" si="8"/>
        <v>0</v>
      </c>
      <c r="AY44" s="156">
        <f t="shared" si="10"/>
        <v>0</v>
      </c>
      <c r="AZ44" s="151"/>
      <c r="BA44" s="151"/>
      <c r="BB44" s="151"/>
      <c r="BC44" s="151"/>
      <c r="BD44" s="151"/>
      <c r="BE44" s="151"/>
      <c r="BF44" s="151"/>
      <c r="BG44" s="151"/>
      <c r="BH44" s="151"/>
      <c r="BI44" s="151"/>
      <c r="BJ44" s="151"/>
      <c r="BK44" s="151"/>
    </row>
    <row r="45" spans="1:63" x14ac:dyDescent="0.25">
      <c r="A45" s="149" t="s">
        <v>302</v>
      </c>
      <c r="B45" s="149"/>
      <c r="C45" s="149">
        <v>13</v>
      </c>
      <c r="D45" s="346">
        <v>10</v>
      </c>
      <c r="E45" s="199"/>
      <c r="F45" s="149">
        <v>5</v>
      </c>
      <c r="G45" s="149">
        <v>1</v>
      </c>
      <c r="H45" s="399">
        <v>42</v>
      </c>
      <c r="I45" s="199"/>
      <c r="J45" s="149"/>
      <c r="K45" s="149"/>
      <c r="L45" s="149"/>
      <c r="M45" s="199"/>
      <c r="N45" s="149"/>
      <c r="O45" s="149"/>
      <c r="P45" s="149"/>
      <c r="Q45" s="199"/>
      <c r="R45" s="190">
        <f t="shared" si="7"/>
        <v>71</v>
      </c>
      <c r="S45" s="156">
        <f t="shared" si="9"/>
        <v>0</v>
      </c>
      <c r="T45" s="189"/>
      <c r="U45" s="189"/>
      <c r="V45" s="189"/>
      <c r="W45" s="189"/>
      <c r="X45" s="189"/>
      <c r="Y45" s="151"/>
      <c r="Z45" s="151"/>
      <c r="AA45" s="151"/>
      <c r="AB45" s="151"/>
      <c r="AC45" s="151"/>
      <c r="AD45" s="151"/>
      <c r="AE45" s="151"/>
      <c r="AG45" s="149" t="s">
        <v>302</v>
      </c>
      <c r="AH45" s="149"/>
      <c r="AI45" s="149"/>
      <c r="AJ45" s="149"/>
      <c r="AK45" s="199"/>
      <c r="AL45" s="149"/>
      <c r="AM45" s="149"/>
      <c r="AN45" s="149"/>
      <c r="AO45" s="199"/>
      <c r="AP45" s="149"/>
      <c r="AQ45" s="149"/>
      <c r="AR45" s="149"/>
      <c r="AS45" s="199"/>
      <c r="AT45" s="149"/>
      <c r="AU45" s="149"/>
      <c r="AV45" s="149"/>
      <c r="AW45" s="199"/>
      <c r="AX45" s="190">
        <f t="shared" si="8"/>
        <v>0</v>
      </c>
      <c r="AY45" s="156">
        <f t="shared" si="10"/>
        <v>0</v>
      </c>
      <c r="AZ45" s="151"/>
      <c r="BA45" s="151"/>
      <c r="BB45" s="151"/>
      <c r="BC45" s="151"/>
      <c r="BD45" s="151"/>
      <c r="BE45" s="151"/>
      <c r="BF45" s="151"/>
      <c r="BG45" s="151"/>
      <c r="BH45" s="151"/>
      <c r="BI45" s="151"/>
      <c r="BJ45" s="151"/>
      <c r="BK45" s="151"/>
    </row>
    <row r="46" spans="1:63" x14ac:dyDescent="0.25">
      <c r="A46" s="149" t="s">
        <v>303</v>
      </c>
      <c r="B46" s="149"/>
      <c r="C46" s="149"/>
      <c r="D46" s="346">
        <v>18</v>
      </c>
      <c r="E46" s="199"/>
      <c r="F46" s="149">
        <v>50</v>
      </c>
      <c r="G46" s="149">
        <v>73</v>
      </c>
      <c r="H46" s="399">
        <v>22</v>
      </c>
      <c r="I46" s="199"/>
      <c r="J46" s="149"/>
      <c r="K46" s="149"/>
      <c r="L46" s="149"/>
      <c r="M46" s="199"/>
      <c r="N46" s="149"/>
      <c r="O46" s="149"/>
      <c r="P46" s="149"/>
      <c r="Q46" s="199"/>
      <c r="R46" s="190">
        <f t="shared" si="7"/>
        <v>163</v>
      </c>
      <c r="S46" s="156">
        <f t="shared" si="9"/>
        <v>0</v>
      </c>
      <c r="T46" s="189"/>
      <c r="U46" s="189"/>
      <c r="V46" s="189"/>
      <c r="W46" s="189"/>
      <c r="X46" s="189"/>
      <c r="Y46" s="151"/>
      <c r="Z46" s="151"/>
      <c r="AA46" s="151"/>
      <c r="AB46" s="151"/>
      <c r="AC46" s="151"/>
      <c r="AD46" s="151"/>
      <c r="AE46" s="151"/>
      <c r="AG46" s="149" t="s">
        <v>303</v>
      </c>
      <c r="AH46" s="149"/>
      <c r="AI46" s="149"/>
      <c r="AJ46" s="149"/>
      <c r="AK46" s="199"/>
      <c r="AL46" s="149"/>
      <c r="AM46" s="149"/>
      <c r="AN46" s="149"/>
      <c r="AO46" s="199"/>
      <c r="AP46" s="149"/>
      <c r="AQ46" s="149"/>
      <c r="AR46" s="149"/>
      <c r="AS46" s="199"/>
      <c r="AT46" s="149"/>
      <c r="AU46" s="149"/>
      <c r="AV46" s="149"/>
      <c r="AW46" s="199"/>
      <c r="AX46" s="190">
        <f t="shared" si="8"/>
        <v>0</v>
      </c>
      <c r="AY46" s="156">
        <f t="shared" si="10"/>
        <v>0</v>
      </c>
      <c r="AZ46" s="151"/>
      <c r="BA46" s="151"/>
      <c r="BB46" s="151"/>
      <c r="BC46" s="151"/>
      <c r="BD46" s="151"/>
      <c r="BE46" s="151"/>
      <c r="BF46" s="151"/>
      <c r="BG46" s="151"/>
      <c r="BH46" s="151"/>
      <c r="BI46" s="151"/>
      <c r="BJ46" s="151"/>
      <c r="BK46" s="151"/>
    </row>
    <row r="47" spans="1:63" x14ac:dyDescent="0.25">
      <c r="A47" s="149" t="s">
        <v>304</v>
      </c>
      <c r="B47" s="149"/>
      <c r="C47" s="149"/>
      <c r="D47" s="346">
        <v>22</v>
      </c>
      <c r="E47" s="199"/>
      <c r="F47" s="149">
        <v>13</v>
      </c>
      <c r="G47" s="149">
        <v>75</v>
      </c>
      <c r="H47" s="399">
        <v>43</v>
      </c>
      <c r="I47" s="199"/>
      <c r="J47" s="149"/>
      <c r="K47" s="149"/>
      <c r="L47" s="149"/>
      <c r="M47" s="199"/>
      <c r="N47" s="149"/>
      <c r="O47" s="149"/>
      <c r="P47" s="149"/>
      <c r="Q47" s="199"/>
      <c r="R47" s="190">
        <f t="shared" si="7"/>
        <v>153</v>
      </c>
      <c r="S47" s="156">
        <f t="shared" si="9"/>
        <v>0</v>
      </c>
      <c r="T47" s="189"/>
      <c r="U47" s="189"/>
      <c r="V47" s="189"/>
      <c r="W47" s="189"/>
      <c r="X47" s="189"/>
      <c r="Y47" s="151"/>
      <c r="Z47" s="151"/>
      <c r="AA47" s="151"/>
      <c r="AB47" s="151"/>
      <c r="AC47" s="151"/>
      <c r="AD47" s="151"/>
      <c r="AE47" s="151"/>
      <c r="AG47" s="149" t="s">
        <v>304</v>
      </c>
      <c r="AH47" s="149"/>
      <c r="AI47" s="149"/>
      <c r="AJ47" s="149"/>
      <c r="AK47" s="199"/>
      <c r="AL47" s="149"/>
      <c r="AM47" s="149"/>
      <c r="AN47" s="149"/>
      <c r="AO47" s="199"/>
      <c r="AP47" s="149"/>
      <c r="AQ47" s="149"/>
      <c r="AR47" s="149"/>
      <c r="AS47" s="199"/>
      <c r="AT47" s="149"/>
      <c r="AU47" s="149"/>
      <c r="AV47" s="149"/>
      <c r="AW47" s="199"/>
      <c r="AX47" s="190">
        <f t="shared" si="8"/>
        <v>0</v>
      </c>
      <c r="AY47" s="156">
        <f t="shared" si="10"/>
        <v>0</v>
      </c>
      <c r="AZ47" s="151"/>
      <c r="BA47" s="151"/>
      <c r="BB47" s="151"/>
      <c r="BC47" s="151"/>
      <c r="BD47" s="151"/>
      <c r="BE47" s="151"/>
      <c r="BF47" s="151"/>
      <c r="BG47" s="151"/>
      <c r="BH47" s="151"/>
      <c r="BI47" s="149"/>
      <c r="BJ47" s="149"/>
      <c r="BK47" s="149"/>
    </row>
    <row r="48" spans="1:63" x14ac:dyDescent="0.25">
      <c r="A48" s="149" t="s">
        <v>305</v>
      </c>
      <c r="B48" s="149"/>
      <c r="C48" s="149">
        <v>64</v>
      </c>
      <c r="D48" s="346">
        <v>34</v>
      </c>
      <c r="E48" s="199"/>
      <c r="F48" s="149">
        <v>65</v>
      </c>
      <c r="G48" s="149">
        <v>17</v>
      </c>
      <c r="H48" s="399">
        <v>26</v>
      </c>
      <c r="I48" s="199"/>
      <c r="J48" s="149"/>
      <c r="K48" s="149"/>
      <c r="L48" s="149"/>
      <c r="M48" s="199"/>
      <c r="N48" s="149"/>
      <c r="O48" s="149"/>
      <c r="P48" s="149"/>
      <c r="Q48" s="199"/>
      <c r="R48" s="190">
        <f t="shared" si="7"/>
        <v>206</v>
      </c>
      <c r="S48" s="156">
        <f t="shared" si="9"/>
        <v>0</v>
      </c>
      <c r="T48" s="189"/>
      <c r="U48" s="189"/>
      <c r="V48" s="189"/>
      <c r="W48" s="189"/>
      <c r="X48" s="189"/>
      <c r="Y48" s="151"/>
      <c r="Z48" s="151"/>
      <c r="AA48" s="151"/>
      <c r="AB48" s="151"/>
      <c r="AC48" s="151"/>
      <c r="AD48" s="151"/>
      <c r="AE48" s="151"/>
      <c r="AG48" s="149" t="s">
        <v>305</v>
      </c>
      <c r="AH48" s="149"/>
      <c r="AI48" s="149"/>
      <c r="AJ48" s="149"/>
      <c r="AK48" s="199"/>
      <c r="AL48" s="149"/>
      <c r="AM48" s="149"/>
      <c r="AN48" s="149"/>
      <c r="AO48" s="199"/>
      <c r="AP48" s="149"/>
      <c r="AQ48" s="149"/>
      <c r="AR48" s="149"/>
      <c r="AS48" s="199"/>
      <c r="AT48" s="149"/>
      <c r="AU48" s="149"/>
      <c r="AV48" s="149"/>
      <c r="AW48" s="199"/>
      <c r="AX48" s="190">
        <f t="shared" si="8"/>
        <v>0</v>
      </c>
      <c r="AY48" s="156">
        <f t="shared" si="10"/>
        <v>0</v>
      </c>
      <c r="AZ48" s="151"/>
      <c r="BA48" s="151"/>
      <c r="BB48" s="151"/>
      <c r="BC48" s="151"/>
      <c r="BD48" s="151"/>
      <c r="BE48" s="151"/>
      <c r="BF48" s="151"/>
      <c r="BG48" s="151"/>
      <c r="BH48" s="151"/>
      <c r="BI48" s="149"/>
      <c r="BJ48" s="149"/>
      <c r="BK48" s="149"/>
    </row>
    <row r="49" spans="1:63" x14ac:dyDescent="0.25">
      <c r="A49" s="149" t="s">
        <v>306</v>
      </c>
      <c r="B49" s="149"/>
      <c r="C49" s="149">
        <v>10</v>
      </c>
      <c r="D49" s="346">
        <v>120</v>
      </c>
      <c r="E49" s="199"/>
      <c r="F49" s="149">
        <v>130</v>
      </c>
      <c r="G49" s="149">
        <v>65</v>
      </c>
      <c r="H49" s="399">
        <v>30</v>
      </c>
      <c r="I49" s="199"/>
      <c r="J49" s="149"/>
      <c r="K49" s="149"/>
      <c r="L49" s="149"/>
      <c r="M49" s="199"/>
      <c r="N49" s="149"/>
      <c r="O49" s="149"/>
      <c r="P49" s="149"/>
      <c r="Q49" s="199"/>
      <c r="R49" s="190">
        <f t="shared" si="7"/>
        <v>355</v>
      </c>
      <c r="S49" s="156">
        <f t="shared" si="9"/>
        <v>0</v>
      </c>
      <c r="T49" s="189"/>
      <c r="U49" s="189"/>
      <c r="V49" s="189"/>
      <c r="W49" s="189"/>
      <c r="X49" s="189"/>
      <c r="Y49" s="151"/>
      <c r="Z49" s="151"/>
      <c r="AA49" s="151"/>
      <c r="AB49" s="151"/>
      <c r="AC49" s="151"/>
      <c r="AD49" s="151"/>
      <c r="AE49" s="151"/>
      <c r="AG49" s="149" t="s">
        <v>306</v>
      </c>
      <c r="AH49" s="149"/>
      <c r="AI49" s="149"/>
      <c r="AJ49" s="149"/>
      <c r="AK49" s="199"/>
      <c r="AL49" s="149"/>
      <c r="AM49" s="149"/>
      <c r="AN49" s="149"/>
      <c r="AO49" s="199"/>
      <c r="AP49" s="149"/>
      <c r="AQ49" s="149"/>
      <c r="AR49" s="149"/>
      <c r="AS49" s="199"/>
      <c r="AT49" s="149"/>
      <c r="AU49" s="149"/>
      <c r="AV49" s="149"/>
      <c r="AW49" s="199"/>
      <c r="AX49" s="190">
        <f t="shared" si="8"/>
        <v>0</v>
      </c>
      <c r="AY49" s="156">
        <f t="shared" si="10"/>
        <v>0</v>
      </c>
      <c r="AZ49" s="151"/>
      <c r="BA49" s="151"/>
      <c r="BB49" s="151"/>
      <c r="BC49" s="151"/>
      <c r="BD49" s="151"/>
      <c r="BE49" s="151"/>
      <c r="BF49" s="151"/>
      <c r="BG49" s="151"/>
      <c r="BH49" s="151"/>
      <c r="BI49" s="149"/>
      <c r="BJ49" s="149"/>
      <c r="BK49" s="149"/>
    </row>
    <row r="50" spans="1:63" x14ac:dyDescent="0.25">
      <c r="A50" s="149" t="s">
        <v>307</v>
      </c>
      <c r="B50" s="149"/>
      <c r="C50" s="149">
        <v>9</v>
      </c>
      <c r="D50" s="346">
        <v>48</v>
      </c>
      <c r="E50" s="199"/>
      <c r="F50" s="149">
        <v>108</v>
      </c>
      <c r="G50" s="149">
        <v>20</v>
      </c>
      <c r="H50" s="399">
        <v>19</v>
      </c>
      <c r="I50" s="199"/>
      <c r="J50" s="149"/>
      <c r="K50" s="149"/>
      <c r="L50" s="149"/>
      <c r="M50" s="199"/>
      <c r="N50" s="149"/>
      <c r="O50" s="149"/>
      <c r="P50" s="149"/>
      <c r="Q50" s="199"/>
      <c r="R50" s="190">
        <f t="shared" si="7"/>
        <v>204</v>
      </c>
      <c r="S50" s="156">
        <f t="shared" si="9"/>
        <v>0</v>
      </c>
      <c r="T50" s="189"/>
      <c r="U50" s="189"/>
      <c r="V50" s="189"/>
      <c r="W50" s="189"/>
      <c r="X50" s="189"/>
      <c r="Y50" s="151"/>
      <c r="Z50" s="151"/>
      <c r="AA50" s="151"/>
      <c r="AB50" s="151"/>
      <c r="AC50" s="151"/>
      <c r="AD50" s="151"/>
      <c r="AE50" s="151"/>
      <c r="AG50" s="149" t="s">
        <v>307</v>
      </c>
      <c r="AH50" s="149"/>
      <c r="AI50" s="149"/>
      <c r="AJ50" s="149"/>
      <c r="AK50" s="199"/>
      <c r="AL50" s="149"/>
      <c r="AM50" s="149"/>
      <c r="AN50" s="149"/>
      <c r="AO50" s="199"/>
      <c r="AP50" s="149"/>
      <c r="AQ50" s="149"/>
      <c r="AR50" s="149"/>
      <c r="AS50" s="199"/>
      <c r="AT50" s="149"/>
      <c r="AU50" s="149"/>
      <c r="AV50" s="149"/>
      <c r="AW50" s="199"/>
      <c r="AX50" s="190">
        <f t="shared" si="8"/>
        <v>0</v>
      </c>
      <c r="AY50" s="156">
        <f t="shared" si="10"/>
        <v>0</v>
      </c>
      <c r="AZ50" s="151"/>
      <c r="BA50" s="151"/>
      <c r="BB50" s="151"/>
      <c r="BC50" s="151"/>
      <c r="BD50" s="151"/>
      <c r="BE50" s="151"/>
      <c r="BF50" s="151"/>
      <c r="BG50" s="151"/>
      <c r="BH50" s="151"/>
      <c r="BI50" s="151"/>
      <c r="BJ50" s="151"/>
      <c r="BK50" s="151"/>
    </row>
    <row r="51" spans="1:63" x14ac:dyDescent="0.25">
      <c r="A51" s="149" t="s">
        <v>308</v>
      </c>
      <c r="B51" s="149"/>
      <c r="C51" s="149"/>
      <c r="D51" s="346">
        <v>0</v>
      </c>
      <c r="E51" s="199"/>
      <c r="F51" s="149">
        <v>0</v>
      </c>
      <c r="G51" s="149">
        <v>0</v>
      </c>
      <c r="H51" s="399">
        <v>0</v>
      </c>
      <c r="I51" s="199"/>
      <c r="J51" s="149"/>
      <c r="K51" s="149"/>
      <c r="L51" s="149"/>
      <c r="M51" s="199"/>
      <c r="N51" s="149"/>
      <c r="O51" s="149"/>
      <c r="P51" s="149"/>
      <c r="Q51" s="199"/>
      <c r="R51" s="190">
        <f t="shared" si="7"/>
        <v>0</v>
      </c>
      <c r="S51" s="156">
        <f t="shared" si="9"/>
        <v>0</v>
      </c>
      <c r="T51" s="189"/>
      <c r="U51" s="189"/>
      <c r="V51" s="189"/>
      <c r="W51" s="189"/>
      <c r="X51" s="189"/>
      <c r="Y51" s="151"/>
      <c r="Z51" s="151"/>
      <c r="AA51" s="151"/>
      <c r="AB51" s="151"/>
      <c r="AC51" s="151"/>
      <c r="AD51" s="151"/>
      <c r="AE51" s="151"/>
      <c r="AG51" s="149" t="s">
        <v>308</v>
      </c>
      <c r="AH51" s="149"/>
      <c r="AI51" s="149"/>
      <c r="AJ51" s="149"/>
      <c r="AK51" s="199"/>
      <c r="AL51" s="149"/>
      <c r="AM51" s="149"/>
      <c r="AN51" s="149"/>
      <c r="AO51" s="199"/>
      <c r="AP51" s="149"/>
      <c r="AQ51" s="149"/>
      <c r="AR51" s="149"/>
      <c r="AS51" s="199"/>
      <c r="AT51" s="149"/>
      <c r="AU51" s="149"/>
      <c r="AV51" s="149"/>
      <c r="AW51" s="199"/>
      <c r="AX51" s="190">
        <f t="shared" si="8"/>
        <v>0</v>
      </c>
      <c r="AY51" s="156">
        <f t="shared" si="10"/>
        <v>0</v>
      </c>
      <c r="AZ51" s="151"/>
      <c r="BA51" s="151"/>
      <c r="BB51" s="151"/>
      <c r="BC51" s="151"/>
      <c r="BD51" s="151"/>
      <c r="BE51" s="151"/>
      <c r="BF51" s="151"/>
      <c r="BG51" s="151"/>
      <c r="BH51" s="151"/>
      <c r="BI51" s="151"/>
      <c r="BJ51" s="151"/>
      <c r="BK51" s="151"/>
    </row>
    <row r="52" spans="1:63" x14ac:dyDescent="0.25">
      <c r="A52" s="149" t="s">
        <v>309</v>
      </c>
      <c r="B52" s="149"/>
      <c r="C52" s="149"/>
      <c r="D52" s="346">
        <v>0</v>
      </c>
      <c r="E52" s="199"/>
      <c r="F52" s="149">
        <v>0</v>
      </c>
      <c r="G52" s="149">
        <v>9</v>
      </c>
      <c r="H52" s="399">
        <v>12</v>
      </c>
      <c r="I52" s="199"/>
      <c r="J52" s="149"/>
      <c r="K52" s="149"/>
      <c r="L52" s="149"/>
      <c r="M52" s="199"/>
      <c r="N52" s="149"/>
      <c r="O52" s="149"/>
      <c r="P52" s="149"/>
      <c r="Q52" s="199"/>
      <c r="R52" s="190">
        <f t="shared" si="7"/>
        <v>21</v>
      </c>
      <c r="S52" s="156">
        <f t="shared" si="9"/>
        <v>0</v>
      </c>
      <c r="T52" s="189"/>
      <c r="U52" s="189"/>
      <c r="V52" s="189"/>
      <c r="W52" s="189"/>
      <c r="X52" s="189"/>
      <c r="Y52" s="151"/>
      <c r="Z52" s="151"/>
      <c r="AA52" s="151"/>
      <c r="AB52" s="151"/>
      <c r="AC52" s="151"/>
      <c r="AD52" s="151"/>
      <c r="AE52" s="151"/>
      <c r="AG52" s="149" t="s">
        <v>309</v>
      </c>
      <c r="AH52" s="149"/>
      <c r="AI52" s="149"/>
      <c r="AJ52" s="149"/>
      <c r="AK52" s="199"/>
      <c r="AL52" s="149"/>
      <c r="AM52" s="149"/>
      <c r="AN52" s="149"/>
      <c r="AO52" s="199"/>
      <c r="AP52" s="149"/>
      <c r="AQ52" s="149"/>
      <c r="AR52" s="149"/>
      <c r="AS52" s="199"/>
      <c r="AT52" s="149"/>
      <c r="AU52" s="149"/>
      <c r="AV52" s="149"/>
      <c r="AW52" s="199"/>
      <c r="AX52" s="190">
        <f t="shared" si="8"/>
        <v>0</v>
      </c>
      <c r="AY52" s="156">
        <f t="shared" si="10"/>
        <v>0</v>
      </c>
      <c r="AZ52" s="151"/>
      <c r="BA52" s="151"/>
      <c r="BB52" s="151"/>
      <c r="BC52" s="151"/>
      <c r="BD52" s="151"/>
      <c r="BE52" s="151"/>
      <c r="BF52" s="151"/>
      <c r="BG52" s="151"/>
      <c r="BH52" s="151"/>
      <c r="BI52" s="151"/>
      <c r="BJ52" s="151"/>
      <c r="BK52" s="151"/>
    </row>
    <row r="53" spans="1:63" x14ac:dyDescent="0.25">
      <c r="A53" s="149" t="s">
        <v>310</v>
      </c>
      <c r="B53" s="149"/>
      <c r="C53" s="149">
        <v>20</v>
      </c>
      <c r="D53" s="346">
        <v>31</v>
      </c>
      <c r="E53" s="199"/>
      <c r="F53" s="149">
        <v>4</v>
      </c>
      <c r="G53" s="149">
        <v>11</v>
      </c>
      <c r="H53" s="399">
        <v>57</v>
      </c>
      <c r="I53" s="199"/>
      <c r="J53" s="149"/>
      <c r="K53" s="149"/>
      <c r="L53" s="149"/>
      <c r="M53" s="199"/>
      <c r="N53" s="149"/>
      <c r="O53" s="149"/>
      <c r="P53" s="149"/>
      <c r="Q53" s="199"/>
      <c r="R53" s="190">
        <f t="shared" si="7"/>
        <v>123</v>
      </c>
      <c r="S53" s="156">
        <f t="shared" si="9"/>
        <v>0</v>
      </c>
      <c r="T53" s="189"/>
      <c r="U53" s="189"/>
      <c r="V53" s="189"/>
      <c r="W53" s="189"/>
      <c r="X53" s="189"/>
      <c r="Y53" s="151"/>
      <c r="Z53" s="151"/>
      <c r="AA53" s="151"/>
      <c r="AB53" s="151"/>
      <c r="AC53" s="151"/>
      <c r="AD53" s="151"/>
      <c r="AE53" s="151"/>
      <c r="AG53" s="149" t="s">
        <v>310</v>
      </c>
      <c r="AH53" s="149"/>
      <c r="AI53" s="149"/>
      <c r="AJ53" s="149"/>
      <c r="AK53" s="199"/>
      <c r="AL53" s="149"/>
      <c r="AM53" s="149"/>
      <c r="AN53" s="149"/>
      <c r="AO53" s="199"/>
      <c r="AP53" s="149"/>
      <c r="AQ53" s="149"/>
      <c r="AR53" s="149"/>
      <c r="AS53" s="199"/>
      <c r="AT53" s="149"/>
      <c r="AU53" s="149"/>
      <c r="AV53" s="149"/>
      <c r="AW53" s="199"/>
      <c r="AX53" s="190">
        <f t="shared" si="8"/>
        <v>0</v>
      </c>
      <c r="AY53" s="156">
        <f t="shared" si="10"/>
        <v>0</v>
      </c>
      <c r="AZ53" s="151"/>
      <c r="BA53" s="151"/>
      <c r="BB53" s="151"/>
      <c r="BC53" s="151"/>
      <c r="BD53" s="151"/>
      <c r="BE53" s="151"/>
      <c r="BF53" s="151"/>
      <c r="BG53" s="151"/>
      <c r="BH53" s="151"/>
      <c r="BI53" s="151"/>
      <c r="BJ53" s="151"/>
      <c r="BK53" s="151"/>
    </row>
    <row r="54" spans="1:63" x14ac:dyDescent="0.25">
      <c r="A54" s="149" t="s">
        <v>311</v>
      </c>
      <c r="B54" s="149"/>
      <c r="C54" s="149"/>
      <c r="D54" s="346">
        <v>0</v>
      </c>
      <c r="E54" s="199"/>
      <c r="F54" s="149">
        <v>38</v>
      </c>
      <c r="G54" s="149">
        <v>0</v>
      </c>
      <c r="H54" s="399">
        <v>3</v>
      </c>
      <c r="I54" s="199"/>
      <c r="J54" s="149"/>
      <c r="K54" s="149"/>
      <c r="L54" s="149"/>
      <c r="M54" s="199"/>
      <c r="N54" s="149"/>
      <c r="O54" s="149"/>
      <c r="P54" s="149"/>
      <c r="Q54" s="199"/>
      <c r="R54" s="190">
        <f t="shared" si="7"/>
        <v>41</v>
      </c>
      <c r="S54" s="156">
        <f t="shared" si="9"/>
        <v>0</v>
      </c>
      <c r="T54" s="189"/>
      <c r="U54" s="189"/>
      <c r="V54" s="189"/>
      <c r="W54" s="189"/>
      <c r="X54" s="189"/>
      <c r="Y54" s="151"/>
      <c r="Z54" s="151"/>
      <c r="AA54" s="151"/>
      <c r="AB54" s="151"/>
      <c r="AC54" s="151"/>
      <c r="AD54" s="151"/>
      <c r="AE54" s="151"/>
      <c r="AG54" s="149" t="s">
        <v>311</v>
      </c>
      <c r="AH54" s="149"/>
      <c r="AI54" s="149"/>
      <c r="AJ54" s="149"/>
      <c r="AK54" s="199"/>
      <c r="AL54" s="149"/>
      <c r="AM54" s="149"/>
      <c r="AN54" s="149"/>
      <c r="AO54" s="199"/>
      <c r="AP54" s="149"/>
      <c r="AQ54" s="149"/>
      <c r="AR54" s="149"/>
      <c r="AS54" s="199"/>
      <c r="AT54" s="149"/>
      <c r="AU54" s="149"/>
      <c r="AV54" s="149"/>
      <c r="AW54" s="199"/>
      <c r="AX54" s="190">
        <f t="shared" si="8"/>
        <v>0</v>
      </c>
      <c r="AY54" s="156">
        <f t="shared" si="10"/>
        <v>0</v>
      </c>
      <c r="AZ54" s="151"/>
      <c r="BA54" s="151"/>
      <c r="BB54" s="151"/>
      <c r="BC54" s="151"/>
      <c r="BD54" s="151"/>
      <c r="BE54" s="151"/>
      <c r="BF54" s="151"/>
      <c r="BG54" s="151"/>
      <c r="BH54" s="151"/>
      <c r="BI54" s="151"/>
      <c r="BJ54" s="151"/>
      <c r="BK54" s="151"/>
    </row>
    <row r="55" spans="1:63" x14ac:dyDescent="0.25">
      <c r="A55" s="149" t="s">
        <v>312</v>
      </c>
      <c r="B55" s="149"/>
      <c r="C55" s="149"/>
      <c r="D55" s="346">
        <v>67</v>
      </c>
      <c r="E55" s="199"/>
      <c r="F55" s="149">
        <v>18</v>
      </c>
      <c r="G55" s="149">
        <v>59</v>
      </c>
      <c r="H55" s="399">
        <v>46</v>
      </c>
      <c r="I55" s="199"/>
      <c r="J55" s="149"/>
      <c r="K55" s="149"/>
      <c r="L55" s="149"/>
      <c r="M55" s="199"/>
      <c r="N55" s="149"/>
      <c r="O55" s="149"/>
      <c r="P55" s="149"/>
      <c r="Q55" s="199"/>
      <c r="R55" s="190">
        <f t="shared" si="7"/>
        <v>190</v>
      </c>
      <c r="S55" s="156">
        <f t="shared" si="9"/>
        <v>0</v>
      </c>
      <c r="T55" s="189"/>
      <c r="U55" s="189"/>
      <c r="V55" s="189"/>
      <c r="W55" s="189"/>
      <c r="X55" s="189"/>
      <c r="Y55" s="151"/>
      <c r="Z55" s="151"/>
      <c r="AA55" s="151"/>
      <c r="AB55" s="151"/>
      <c r="AC55" s="151"/>
      <c r="AD55" s="151"/>
      <c r="AE55" s="151"/>
      <c r="AG55" s="149" t="s">
        <v>312</v>
      </c>
      <c r="AH55" s="149"/>
      <c r="AI55" s="149"/>
      <c r="AJ55" s="149"/>
      <c r="AK55" s="199"/>
      <c r="AL55" s="149"/>
      <c r="AM55" s="149"/>
      <c r="AN55" s="149"/>
      <c r="AO55" s="199"/>
      <c r="AP55" s="149"/>
      <c r="AQ55" s="149"/>
      <c r="AR55" s="149"/>
      <c r="AS55" s="199"/>
      <c r="AT55" s="149"/>
      <c r="AU55" s="149"/>
      <c r="AV55" s="149"/>
      <c r="AW55" s="199"/>
      <c r="AX55" s="190">
        <f t="shared" si="8"/>
        <v>0</v>
      </c>
      <c r="AY55" s="156">
        <f t="shared" si="10"/>
        <v>0</v>
      </c>
      <c r="AZ55" s="151"/>
      <c r="BA55" s="151"/>
      <c r="BB55" s="151"/>
      <c r="BC55" s="151"/>
      <c r="BD55" s="151"/>
      <c r="BE55" s="151"/>
      <c r="BF55" s="151"/>
      <c r="BG55" s="151"/>
      <c r="BH55" s="151"/>
      <c r="BI55" s="151"/>
      <c r="BJ55" s="151"/>
      <c r="BK55" s="151"/>
    </row>
    <row r="56" spans="1:63" x14ac:dyDescent="0.25">
      <c r="A56" s="149" t="s">
        <v>313</v>
      </c>
      <c r="B56" s="149"/>
      <c r="C56" s="149"/>
      <c r="D56" s="346">
        <v>13</v>
      </c>
      <c r="E56" s="199"/>
      <c r="F56" s="149">
        <v>3</v>
      </c>
      <c r="G56" s="149">
        <v>18</v>
      </c>
      <c r="H56" s="399">
        <v>0</v>
      </c>
      <c r="I56" s="199"/>
      <c r="J56" s="149"/>
      <c r="K56" s="149"/>
      <c r="L56" s="149"/>
      <c r="M56" s="199"/>
      <c r="N56" s="149"/>
      <c r="O56" s="149"/>
      <c r="P56" s="149"/>
      <c r="Q56" s="199"/>
      <c r="R56" s="190">
        <f t="shared" si="7"/>
        <v>34</v>
      </c>
      <c r="S56" s="156">
        <f t="shared" si="9"/>
        <v>0</v>
      </c>
      <c r="T56" s="189"/>
      <c r="U56" s="189"/>
      <c r="V56" s="189"/>
      <c r="W56" s="189"/>
      <c r="X56" s="189"/>
      <c r="Y56" s="151"/>
      <c r="Z56" s="151"/>
      <c r="AA56" s="151"/>
      <c r="AB56" s="151"/>
      <c r="AC56" s="151"/>
      <c r="AD56" s="151"/>
      <c r="AE56" s="151"/>
      <c r="AG56" s="149" t="s">
        <v>313</v>
      </c>
      <c r="AH56" s="149"/>
      <c r="AI56" s="149"/>
      <c r="AJ56" s="149"/>
      <c r="AK56" s="199"/>
      <c r="AL56" s="149"/>
      <c r="AM56" s="149"/>
      <c r="AN56" s="149"/>
      <c r="AO56" s="199"/>
      <c r="AP56" s="149"/>
      <c r="AQ56" s="149"/>
      <c r="AR56" s="149"/>
      <c r="AS56" s="199"/>
      <c r="AT56" s="149"/>
      <c r="AU56" s="149"/>
      <c r="AV56" s="149"/>
      <c r="AW56" s="199"/>
      <c r="AX56" s="190">
        <f t="shared" si="8"/>
        <v>0</v>
      </c>
      <c r="AY56" s="156">
        <f t="shared" si="10"/>
        <v>0</v>
      </c>
      <c r="AZ56" s="151"/>
      <c r="BA56" s="151"/>
      <c r="BB56" s="151"/>
      <c r="BC56" s="151"/>
      <c r="BD56" s="151"/>
      <c r="BE56" s="151"/>
      <c r="BF56" s="151"/>
      <c r="BG56" s="151"/>
      <c r="BH56" s="151"/>
      <c r="BI56" s="151"/>
      <c r="BJ56" s="151"/>
      <c r="BK56" s="151"/>
    </row>
    <row r="57" spans="1:63" x14ac:dyDescent="0.25">
      <c r="A57" s="149" t="s">
        <v>314</v>
      </c>
      <c r="B57" s="149"/>
      <c r="C57" s="149"/>
      <c r="D57" s="346">
        <v>6</v>
      </c>
      <c r="E57" s="199"/>
      <c r="F57" s="149">
        <v>7</v>
      </c>
      <c r="G57" s="149">
        <v>3</v>
      </c>
      <c r="H57" s="399">
        <v>37</v>
      </c>
      <c r="I57" s="199"/>
      <c r="J57" s="149"/>
      <c r="K57" s="149"/>
      <c r="L57" s="149"/>
      <c r="M57" s="199"/>
      <c r="N57" s="149"/>
      <c r="O57" s="149"/>
      <c r="P57" s="149"/>
      <c r="Q57" s="199"/>
      <c r="R57" s="190">
        <f t="shared" si="7"/>
        <v>53</v>
      </c>
      <c r="S57" s="156">
        <f t="shared" si="9"/>
        <v>0</v>
      </c>
      <c r="T57" s="189"/>
      <c r="U57" s="189"/>
      <c r="V57" s="189"/>
      <c r="W57" s="189"/>
      <c r="X57" s="189"/>
      <c r="Y57" s="151"/>
      <c r="Z57" s="151"/>
      <c r="AA57" s="151"/>
      <c r="AB57" s="151"/>
      <c r="AC57" s="151"/>
      <c r="AD57" s="151"/>
      <c r="AE57" s="151"/>
      <c r="AG57" s="149" t="s">
        <v>314</v>
      </c>
      <c r="AH57" s="149"/>
      <c r="AI57" s="149"/>
      <c r="AJ57" s="149"/>
      <c r="AK57" s="199"/>
      <c r="AL57" s="149"/>
      <c r="AM57" s="149"/>
      <c r="AN57" s="149"/>
      <c r="AO57" s="199"/>
      <c r="AP57" s="149"/>
      <c r="AQ57" s="149"/>
      <c r="AR57" s="149"/>
      <c r="AS57" s="199"/>
      <c r="AT57" s="149"/>
      <c r="AU57" s="149"/>
      <c r="AV57" s="149"/>
      <c r="AW57" s="199"/>
      <c r="AX57" s="190">
        <f t="shared" si="8"/>
        <v>0</v>
      </c>
      <c r="AY57" s="156">
        <f t="shared" si="10"/>
        <v>0</v>
      </c>
      <c r="AZ57" s="151"/>
      <c r="BA57" s="151"/>
      <c r="BB57" s="151"/>
      <c r="BC57" s="151"/>
      <c r="BD57" s="151"/>
      <c r="BE57" s="151"/>
      <c r="BF57" s="151"/>
      <c r="BG57" s="151"/>
      <c r="BH57" s="151"/>
      <c r="BI57" s="151"/>
      <c r="BJ57" s="151"/>
      <c r="BK57" s="151"/>
    </row>
    <row r="58" spans="1:63" x14ac:dyDescent="0.25">
      <c r="A58" s="149" t="s">
        <v>315</v>
      </c>
      <c r="B58" s="149"/>
      <c r="C58" s="149"/>
      <c r="D58" s="346">
        <v>0</v>
      </c>
      <c r="E58" s="199"/>
      <c r="F58" s="149">
        <v>12</v>
      </c>
      <c r="G58" s="149">
        <v>12</v>
      </c>
      <c r="H58" s="399">
        <v>5</v>
      </c>
      <c r="I58" s="199"/>
      <c r="J58" s="149"/>
      <c r="K58" s="149"/>
      <c r="L58" s="149"/>
      <c r="M58" s="199"/>
      <c r="N58" s="149"/>
      <c r="O58" s="149"/>
      <c r="P58" s="149"/>
      <c r="Q58" s="199"/>
      <c r="R58" s="190">
        <f t="shared" si="7"/>
        <v>29</v>
      </c>
      <c r="S58" s="156">
        <f t="shared" si="9"/>
        <v>0</v>
      </c>
      <c r="T58" s="189"/>
      <c r="U58" s="189"/>
      <c r="V58" s="189"/>
      <c r="W58" s="189"/>
      <c r="X58" s="189"/>
      <c r="Y58" s="151"/>
      <c r="Z58" s="151"/>
      <c r="AA58" s="151"/>
      <c r="AB58" s="151"/>
      <c r="AC58" s="151"/>
      <c r="AD58" s="151"/>
      <c r="AE58" s="151"/>
      <c r="AG58" s="149" t="s">
        <v>315</v>
      </c>
      <c r="AH58" s="149"/>
      <c r="AI58" s="149"/>
      <c r="AJ58" s="149"/>
      <c r="AK58" s="199"/>
      <c r="AL58" s="149"/>
      <c r="AM58" s="149"/>
      <c r="AN58" s="149"/>
      <c r="AO58" s="199"/>
      <c r="AP58" s="149"/>
      <c r="AQ58" s="149"/>
      <c r="AR58" s="149"/>
      <c r="AS58" s="199"/>
      <c r="AT58" s="149"/>
      <c r="AU58" s="149"/>
      <c r="AV58" s="149"/>
      <c r="AW58" s="199"/>
      <c r="AX58" s="190">
        <f t="shared" si="8"/>
        <v>0</v>
      </c>
      <c r="AY58" s="156">
        <f t="shared" si="10"/>
        <v>0</v>
      </c>
      <c r="AZ58" s="151"/>
      <c r="BA58" s="151"/>
      <c r="BB58" s="151"/>
      <c r="BC58" s="151"/>
      <c r="BD58" s="151"/>
      <c r="BE58" s="151"/>
      <c r="BF58" s="151"/>
      <c r="BG58" s="151"/>
      <c r="BH58" s="151"/>
      <c r="BI58" s="151"/>
      <c r="BJ58" s="151"/>
      <c r="BK58" s="151"/>
    </row>
    <row r="59" spans="1:63" x14ac:dyDescent="0.25">
      <c r="A59" s="149" t="s">
        <v>316</v>
      </c>
      <c r="B59" s="149"/>
      <c r="C59" s="149"/>
      <c r="D59" s="346">
        <v>0</v>
      </c>
      <c r="E59" s="199"/>
      <c r="F59" s="149">
        <v>0</v>
      </c>
      <c r="G59" s="149">
        <v>30</v>
      </c>
      <c r="H59" s="399">
        <v>0</v>
      </c>
      <c r="I59" s="199"/>
      <c r="J59" s="149"/>
      <c r="K59" s="149"/>
      <c r="L59" s="149"/>
      <c r="M59" s="199"/>
      <c r="N59" s="149"/>
      <c r="O59" s="149"/>
      <c r="P59" s="149"/>
      <c r="Q59" s="199"/>
      <c r="R59" s="190">
        <f t="shared" si="7"/>
        <v>30</v>
      </c>
      <c r="S59" s="156">
        <f t="shared" si="9"/>
        <v>0</v>
      </c>
      <c r="T59" s="189"/>
      <c r="U59" s="189"/>
      <c r="V59" s="189"/>
      <c r="W59" s="189"/>
      <c r="X59" s="189"/>
      <c r="Y59" s="151"/>
      <c r="Z59" s="151"/>
      <c r="AA59" s="151"/>
      <c r="AB59" s="151"/>
      <c r="AC59" s="151"/>
      <c r="AD59" s="151"/>
      <c r="AE59" s="151"/>
      <c r="AG59" s="149" t="s">
        <v>316</v>
      </c>
      <c r="AH59" s="149"/>
      <c r="AI59" s="149"/>
      <c r="AJ59" s="149"/>
      <c r="AK59" s="199"/>
      <c r="AL59" s="149"/>
      <c r="AM59" s="149"/>
      <c r="AN59" s="149"/>
      <c r="AO59" s="199"/>
      <c r="AP59" s="149"/>
      <c r="AQ59" s="149"/>
      <c r="AR59" s="149"/>
      <c r="AS59" s="199"/>
      <c r="AT59" s="149"/>
      <c r="AU59" s="149"/>
      <c r="AV59" s="149"/>
      <c r="AW59" s="199"/>
      <c r="AX59" s="190">
        <f t="shared" si="8"/>
        <v>0</v>
      </c>
      <c r="AY59" s="156">
        <f t="shared" si="10"/>
        <v>0</v>
      </c>
      <c r="AZ59" s="151"/>
      <c r="BA59" s="151"/>
      <c r="BB59" s="151"/>
      <c r="BC59" s="151"/>
      <c r="BD59" s="151"/>
      <c r="BE59" s="151"/>
      <c r="BF59" s="151"/>
      <c r="BG59" s="151"/>
      <c r="BH59" s="151"/>
      <c r="BI59" s="151"/>
      <c r="BJ59" s="151"/>
      <c r="BK59" s="151"/>
    </row>
    <row r="60" spans="1:63" x14ac:dyDescent="0.25">
      <c r="A60" s="153" t="s">
        <v>317</v>
      </c>
      <c r="B60" s="150">
        <f t="shared" ref="B60:Q60" si="11">SUM(B39:B59)</f>
        <v>0</v>
      </c>
      <c r="C60" s="150">
        <f>SUM(C39:C59)</f>
        <v>134</v>
      </c>
      <c r="D60" s="150">
        <f>SUM(D39:D59)</f>
        <v>542</v>
      </c>
      <c r="E60" s="200">
        <f t="shared" si="11"/>
        <v>0</v>
      </c>
      <c r="F60" s="150">
        <f t="shared" si="11"/>
        <v>789</v>
      </c>
      <c r="G60" s="150">
        <f>SUM(G39:G59)</f>
        <v>790</v>
      </c>
      <c r="H60" s="150">
        <f t="shared" si="11"/>
        <v>454</v>
      </c>
      <c r="I60" s="200">
        <f t="shared" si="11"/>
        <v>0</v>
      </c>
      <c r="J60" s="150">
        <f t="shared" si="11"/>
        <v>0</v>
      </c>
      <c r="K60" s="150">
        <f t="shared" si="11"/>
        <v>0</v>
      </c>
      <c r="L60" s="150">
        <f t="shared" si="11"/>
        <v>0</v>
      </c>
      <c r="M60" s="200">
        <f t="shared" si="11"/>
        <v>0</v>
      </c>
      <c r="N60" s="150">
        <f t="shared" si="11"/>
        <v>0</v>
      </c>
      <c r="O60" s="150">
        <f t="shared" si="11"/>
        <v>0</v>
      </c>
      <c r="P60" s="150">
        <f t="shared" si="11"/>
        <v>0</v>
      </c>
      <c r="Q60" s="200">
        <f t="shared" si="11"/>
        <v>0</v>
      </c>
      <c r="R60" s="408">
        <f t="shared" ref="R60:AE60" si="12">SUM(R39:R59)</f>
        <v>2709</v>
      </c>
      <c r="S60" s="156">
        <f t="shared" si="12"/>
        <v>0</v>
      </c>
      <c r="T60" s="150">
        <f t="shared" si="12"/>
        <v>0</v>
      </c>
      <c r="U60" s="150">
        <f t="shared" si="12"/>
        <v>0</v>
      </c>
      <c r="V60" s="150">
        <f t="shared" si="12"/>
        <v>0</v>
      </c>
      <c r="W60" s="150">
        <f t="shared" si="12"/>
        <v>0</v>
      </c>
      <c r="X60" s="150">
        <f t="shared" si="12"/>
        <v>0</v>
      </c>
      <c r="Y60" s="150">
        <f t="shared" si="12"/>
        <v>0</v>
      </c>
      <c r="Z60" s="150">
        <f t="shared" si="12"/>
        <v>0</v>
      </c>
      <c r="AA60" s="150">
        <f t="shared" si="12"/>
        <v>0</v>
      </c>
      <c r="AB60" s="150">
        <f t="shared" si="12"/>
        <v>0</v>
      </c>
      <c r="AC60" s="150">
        <f t="shared" si="12"/>
        <v>0</v>
      </c>
      <c r="AD60" s="150">
        <f t="shared" si="12"/>
        <v>0</v>
      </c>
      <c r="AE60" s="150">
        <f t="shared" si="12"/>
        <v>0</v>
      </c>
      <c r="AG60" s="153" t="s">
        <v>317</v>
      </c>
      <c r="AH60" s="150">
        <f t="shared" ref="AH60:AW60" si="13">SUM(AH39:AH59)</f>
        <v>0</v>
      </c>
      <c r="AI60" s="150">
        <f t="shared" si="13"/>
        <v>0</v>
      </c>
      <c r="AJ60" s="150">
        <f t="shared" si="13"/>
        <v>0</v>
      </c>
      <c r="AK60" s="200">
        <f t="shared" si="13"/>
        <v>0</v>
      </c>
      <c r="AL60" s="150">
        <f t="shared" si="13"/>
        <v>0</v>
      </c>
      <c r="AM60" s="150">
        <f t="shared" si="13"/>
        <v>0</v>
      </c>
      <c r="AN60" s="150">
        <f t="shared" si="13"/>
        <v>0</v>
      </c>
      <c r="AO60" s="200">
        <f t="shared" si="13"/>
        <v>0</v>
      </c>
      <c r="AP60" s="150">
        <f t="shared" si="13"/>
        <v>0</v>
      </c>
      <c r="AQ60" s="150">
        <f t="shared" si="13"/>
        <v>0</v>
      </c>
      <c r="AR60" s="150">
        <f t="shared" si="13"/>
        <v>0</v>
      </c>
      <c r="AS60" s="200">
        <f t="shared" si="13"/>
        <v>0</v>
      </c>
      <c r="AT60" s="150">
        <f t="shared" si="13"/>
        <v>0</v>
      </c>
      <c r="AU60" s="150">
        <f t="shared" si="13"/>
        <v>0</v>
      </c>
      <c r="AV60" s="150">
        <f t="shared" si="13"/>
        <v>0</v>
      </c>
      <c r="AW60" s="200">
        <f t="shared" si="13"/>
        <v>0</v>
      </c>
      <c r="AX60" s="191">
        <f t="shared" ref="AX60:BK60" si="14">SUM(AX39:AX59)</f>
        <v>0</v>
      </c>
      <c r="AY60" s="157">
        <f t="shared" si="14"/>
        <v>0</v>
      </c>
      <c r="AZ60" s="150">
        <f t="shared" si="14"/>
        <v>0</v>
      </c>
      <c r="BA60" s="150">
        <f t="shared" si="14"/>
        <v>0</v>
      </c>
      <c r="BB60" s="150">
        <f t="shared" si="14"/>
        <v>0</v>
      </c>
      <c r="BC60" s="150">
        <f t="shared" si="14"/>
        <v>0</v>
      </c>
      <c r="BD60" s="150">
        <f t="shared" si="14"/>
        <v>0</v>
      </c>
      <c r="BE60" s="150">
        <f t="shared" si="14"/>
        <v>0</v>
      </c>
      <c r="BF60" s="150">
        <f t="shared" si="14"/>
        <v>0</v>
      </c>
      <c r="BG60" s="150">
        <f t="shared" si="14"/>
        <v>0</v>
      </c>
      <c r="BH60" s="150">
        <f t="shared" si="14"/>
        <v>0</v>
      </c>
      <c r="BI60" s="150">
        <f t="shared" si="14"/>
        <v>0</v>
      </c>
      <c r="BJ60" s="150">
        <f t="shared" si="14"/>
        <v>0</v>
      </c>
      <c r="BK60" s="150">
        <f t="shared" si="14"/>
        <v>0</v>
      </c>
    </row>
  </sheetData>
  <mergeCells count="46">
    <mergeCell ref="BI4:BK4"/>
    <mergeCell ref="A4:BH4"/>
    <mergeCell ref="BI1:BK1"/>
    <mergeCell ref="BI2:BK2"/>
    <mergeCell ref="BI3:BK3"/>
    <mergeCell ref="A1:BH1"/>
    <mergeCell ref="A2:BH2"/>
    <mergeCell ref="A3:BH3"/>
    <mergeCell ref="A5:AE5"/>
    <mergeCell ref="AJ9:AK9"/>
    <mergeCell ref="AN9:AO9"/>
    <mergeCell ref="Z9:AE9"/>
    <mergeCell ref="AG9:AG10"/>
    <mergeCell ref="L9:M9"/>
    <mergeCell ref="P9:Q9"/>
    <mergeCell ref="B7:BK7"/>
    <mergeCell ref="T9:Y9"/>
    <mergeCell ref="AG5:BK5"/>
    <mergeCell ref="A9:A10"/>
    <mergeCell ref="D9:E9"/>
    <mergeCell ref="H9:I9"/>
    <mergeCell ref="B6:BK6"/>
    <mergeCell ref="R9:S9"/>
    <mergeCell ref="AX37:AY37"/>
    <mergeCell ref="AZ37:BE37"/>
    <mergeCell ref="BF37:BK37"/>
    <mergeCell ref="AR9:AS9"/>
    <mergeCell ref="AV9:AW9"/>
    <mergeCell ref="BF9:BK9"/>
    <mergeCell ref="AZ9:BE9"/>
    <mergeCell ref="AV37:AW37"/>
    <mergeCell ref="AX9:AY9"/>
    <mergeCell ref="B34:BK34"/>
    <mergeCell ref="B35:BK35"/>
    <mergeCell ref="Z37:AE37"/>
    <mergeCell ref="AG37:AG38"/>
    <mergeCell ref="AJ37:AK37"/>
    <mergeCell ref="AN37:AO37"/>
    <mergeCell ref="AR37:AS37"/>
    <mergeCell ref="R37:S37"/>
    <mergeCell ref="T37:Y37"/>
    <mergeCell ref="A37:A38"/>
    <mergeCell ref="D37:E37"/>
    <mergeCell ref="H37:I37"/>
    <mergeCell ref="L37:M37"/>
    <mergeCell ref="P37:Q37"/>
  </mergeCells>
  <pageMargins left="0.7" right="0.7" top="0.75" bottom="0.75" header="0.3" footer="0.3"/>
  <pageSetup scale="18" orientation="landscape"/>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topLeftCell="C27" zoomScale="91" workbookViewId="0">
      <selection activeCell="D38" sqref="D38"/>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1" customFormat="1" x14ac:dyDescent="0.25">
      <c r="A1" s="120" t="s">
        <v>319</v>
      </c>
      <c r="B1" s="120" t="s">
        <v>320</v>
      </c>
      <c r="C1" s="120" t="s">
        <v>321</v>
      </c>
      <c r="D1" s="120" t="s">
        <v>322</v>
      </c>
      <c r="E1" s="120" t="s">
        <v>323</v>
      </c>
      <c r="F1" s="120" t="s">
        <v>324</v>
      </c>
      <c r="G1" s="120" t="s">
        <v>325</v>
      </c>
      <c r="H1" s="120" t="s">
        <v>280</v>
      </c>
      <c r="I1" s="120" t="s">
        <v>326</v>
      </c>
    </row>
    <row r="2" spans="1:9" s="121" customFormat="1" x14ac:dyDescent="0.25">
      <c r="A2" s="122" t="s">
        <v>327</v>
      </c>
      <c r="B2" s="116" t="s">
        <v>328</v>
      </c>
      <c r="C2" s="122" t="s">
        <v>329</v>
      </c>
      <c r="D2" s="123" t="s">
        <v>330</v>
      </c>
      <c r="E2" s="117" t="s">
        <v>331</v>
      </c>
      <c r="F2" s="124" t="s">
        <v>332</v>
      </c>
      <c r="G2" s="125" t="s">
        <v>333</v>
      </c>
      <c r="H2" s="125" t="s">
        <v>334</v>
      </c>
      <c r="I2" s="124" t="s">
        <v>335</v>
      </c>
    </row>
    <row r="3" spans="1:9" x14ac:dyDescent="0.25">
      <c r="A3" s="122" t="s">
        <v>336</v>
      </c>
      <c r="B3" s="116" t="s">
        <v>337</v>
      </c>
      <c r="C3" s="122" t="s">
        <v>338</v>
      </c>
      <c r="D3" s="126" t="s">
        <v>339</v>
      </c>
      <c r="E3" s="117" t="s">
        <v>340</v>
      </c>
      <c r="F3" s="124" t="s">
        <v>341</v>
      </c>
      <c r="G3" s="125" t="s">
        <v>342</v>
      </c>
      <c r="H3" s="125" t="s">
        <v>289</v>
      </c>
      <c r="I3" s="124" t="s">
        <v>343</v>
      </c>
    </row>
    <row r="4" spans="1:9" x14ac:dyDescent="0.25">
      <c r="A4" s="122" t="s">
        <v>344</v>
      </c>
      <c r="B4" s="116" t="s">
        <v>345</v>
      </c>
      <c r="C4" s="122" t="s">
        <v>346</v>
      </c>
      <c r="D4" s="126" t="s">
        <v>347</v>
      </c>
      <c r="E4" s="117" t="s">
        <v>348</v>
      </c>
      <c r="F4" s="124" t="s">
        <v>349</v>
      </c>
      <c r="G4" s="125" t="s">
        <v>350</v>
      </c>
      <c r="H4" s="125" t="s">
        <v>284</v>
      </c>
      <c r="I4" s="124" t="s">
        <v>351</v>
      </c>
    </row>
    <row r="5" spans="1:9" x14ac:dyDescent="0.25">
      <c r="A5" s="122" t="s">
        <v>352</v>
      </c>
      <c r="B5" s="116" t="s">
        <v>353</v>
      </c>
      <c r="C5" s="122" t="s">
        <v>354</v>
      </c>
      <c r="D5" s="126" t="s">
        <v>355</v>
      </c>
      <c r="E5" s="117" t="s">
        <v>356</v>
      </c>
      <c r="F5" s="124" t="s">
        <v>357</v>
      </c>
      <c r="G5" s="125" t="s">
        <v>358</v>
      </c>
      <c r="H5" s="125" t="s">
        <v>285</v>
      </c>
      <c r="I5" s="124" t="s">
        <v>359</v>
      </c>
    </row>
    <row r="6" spans="1:9" ht="30" x14ac:dyDescent="0.25">
      <c r="A6" s="122" t="s">
        <v>360</v>
      </c>
      <c r="B6" s="116" t="s">
        <v>361</v>
      </c>
      <c r="C6" s="122" t="s">
        <v>362</v>
      </c>
      <c r="D6" s="126" t="s">
        <v>363</v>
      </c>
      <c r="E6" s="117" t="s">
        <v>364</v>
      </c>
      <c r="G6" s="125" t="s">
        <v>365</v>
      </c>
      <c r="H6" s="125" t="s">
        <v>286</v>
      </c>
      <c r="I6" s="124" t="s">
        <v>366</v>
      </c>
    </row>
    <row r="7" spans="1:9" ht="30" x14ac:dyDescent="0.25">
      <c r="B7" s="116" t="s">
        <v>367</v>
      </c>
      <c r="C7" s="122" t="s">
        <v>368</v>
      </c>
      <c r="D7" s="126" t="s">
        <v>369</v>
      </c>
      <c r="E7" s="124" t="s">
        <v>370</v>
      </c>
      <c r="G7" s="117" t="s">
        <v>295</v>
      </c>
      <c r="H7" s="125" t="s">
        <v>287</v>
      </c>
      <c r="I7" s="124" t="s">
        <v>371</v>
      </c>
    </row>
    <row r="8" spans="1:9" ht="30" x14ac:dyDescent="0.25">
      <c r="A8" s="127"/>
      <c r="B8" s="116" t="s">
        <v>372</v>
      </c>
      <c r="C8" s="122" t="s">
        <v>373</v>
      </c>
      <c r="D8" s="126" t="s">
        <v>374</v>
      </c>
      <c r="E8" s="124" t="s">
        <v>375</v>
      </c>
      <c r="I8" s="124" t="s">
        <v>376</v>
      </c>
    </row>
    <row r="9" spans="1:9" ht="32.1" customHeight="1" x14ac:dyDescent="0.25">
      <c r="A9" s="127"/>
      <c r="B9" s="116" t="s">
        <v>377</v>
      </c>
      <c r="C9" s="122" t="s">
        <v>378</v>
      </c>
      <c r="D9" s="126" t="s">
        <v>379</v>
      </c>
      <c r="E9" s="124" t="s">
        <v>380</v>
      </c>
      <c r="I9" s="124" t="s">
        <v>381</v>
      </c>
    </row>
    <row r="10" spans="1:9" x14ac:dyDescent="0.25">
      <c r="A10" s="127"/>
      <c r="B10" s="116" t="s">
        <v>382</v>
      </c>
      <c r="C10" s="122" t="s">
        <v>383</v>
      </c>
      <c r="D10" s="126" t="s">
        <v>384</v>
      </c>
      <c r="E10" s="124" t="s">
        <v>385</v>
      </c>
      <c r="I10" s="124" t="s">
        <v>386</v>
      </c>
    </row>
    <row r="11" spans="1:9" x14ac:dyDescent="0.25">
      <c r="A11" s="127"/>
      <c r="B11" s="116" t="s">
        <v>387</v>
      </c>
      <c r="C11" s="122" t="s">
        <v>388</v>
      </c>
      <c r="D11" s="126" t="s">
        <v>389</v>
      </c>
      <c r="E11" s="124" t="s">
        <v>390</v>
      </c>
      <c r="I11" s="124" t="s">
        <v>391</v>
      </c>
    </row>
    <row r="12" spans="1:9" ht="30" x14ac:dyDescent="0.25">
      <c r="A12" s="127"/>
      <c r="B12" s="116" t="s">
        <v>392</v>
      </c>
      <c r="C12" s="122" t="s">
        <v>393</v>
      </c>
      <c r="D12" s="126" t="s">
        <v>394</v>
      </c>
      <c r="E12" s="124" t="s">
        <v>395</v>
      </c>
      <c r="I12" s="124" t="s">
        <v>396</v>
      </c>
    </row>
    <row r="13" spans="1:9" x14ac:dyDescent="0.25">
      <c r="A13" s="127"/>
      <c r="B13" s="292" t="s">
        <v>397</v>
      </c>
      <c r="D13" s="126" t="s">
        <v>398</v>
      </c>
      <c r="E13" s="124" t="s">
        <v>399</v>
      </c>
      <c r="I13" s="124" t="s">
        <v>400</v>
      </c>
    </row>
    <row r="14" spans="1:9" x14ac:dyDescent="0.25">
      <c r="A14" s="127"/>
      <c r="B14" s="116" t="s">
        <v>401</v>
      </c>
      <c r="C14" s="127"/>
      <c r="D14" s="126" t="s">
        <v>402</v>
      </c>
      <c r="E14" s="124" t="s">
        <v>403</v>
      </c>
    </row>
    <row r="15" spans="1:9" x14ac:dyDescent="0.25">
      <c r="A15" s="127"/>
      <c r="B15" s="116" t="s">
        <v>404</v>
      </c>
      <c r="C15" s="127"/>
      <c r="D15" s="126" t="s">
        <v>405</v>
      </c>
      <c r="E15" s="124" t="s">
        <v>406</v>
      </c>
    </row>
    <row r="16" spans="1:9" x14ac:dyDescent="0.25">
      <c r="A16" s="127"/>
      <c r="B16" s="116" t="s">
        <v>407</v>
      </c>
      <c r="C16" s="127"/>
      <c r="D16" s="126" t="s">
        <v>408</v>
      </c>
      <c r="E16" s="128"/>
    </row>
    <row r="17" spans="1:5" x14ac:dyDescent="0.25">
      <c r="A17" s="127"/>
      <c r="B17" s="116" t="s">
        <v>409</v>
      </c>
      <c r="C17" s="127"/>
      <c r="D17" s="126" t="s">
        <v>410</v>
      </c>
      <c r="E17" s="128"/>
    </row>
    <row r="18" spans="1:5" x14ac:dyDescent="0.25">
      <c r="A18" s="127"/>
      <c r="B18" s="116" t="s">
        <v>411</v>
      </c>
      <c r="C18" s="127"/>
      <c r="D18" s="126" t="s">
        <v>412</v>
      </c>
      <c r="E18" s="128"/>
    </row>
    <row r="19" spans="1:5" x14ac:dyDescent="0.25">
      <c r="A19" s="127"/>
      <c r="B19" s="116" t="s">
        <v>413</v>
      </c>
      <c r="C19" s="127"/>
      <c r="D19" s="126" t="s">
        <v>414</v>
      </c>
      <c r="E19" s="128"/>
    </row>
    <row r="20" spans="1:5" x14ac:dyDescent="0.25">
      <c r="A20" s="127"/>
      <c r="B20" s="116" t="s">
        <v>415</v>
      </c>
      <c r="C20" s="127"/>
      <c r="D20" s="126" t="s">
        <v>416</v>
      </c>
      <c r="E20" s="128"/>
    </row>
    <row r="21" spans="1:5" x14ac:dyDescent="0.25">
      <c r="B21" s="116" t="s">
        <v>417</v>
      </c>
      <c r="D21" s="126" t="s">
        <v>418</v>
      </c>
      <c r="E21" s="128"/>
    </row>
    <row r="22" spans="1:5" x14ac:dyDescent="0.25">
      <c r="B22" s="116" t="s">
        <v>419</v>
      </c>
      <c r="D22" s="126" t="s">
        <v>420</v>
      </c>
      <c r="E22" s="128"/>
    </row>
    <row r="23" spans="1:5" x14ac:dyDescent="0.25">
      <c r="B23" s="116" t="s">
        <v>421</v>
      </c>
      <c r="D23" s="126" t="s">
        <v>422</v>
      </c>
      <c r="E23" s="128"/>
    </row>
    <row r="24" spans="1:5" x14ac:dyDescent="0.25">
      <c r="D24" s="129" t="s">
        <v>423</v>
      </c>
      <c r="E24" s="129" t="s">
        <v>424</v>
      </c>
    </row>
    <row r="25" spans="1:5" x14ac:dyDescent="0.25">
      <c r="D25" s="130" t="s">
        <v>425</v>
      </c>
      <c r="E25" s="124" t="s">
        <v>426</v>
      </c>
    </row>
    <row r="26" spans="1:5" x14ac:dyDescent="0.25">
      <c r="D26" s="130" t="s">
        <v>427</v>
      </c>
      <c r="E26" s="124" t="s">
        <v>428</v>
      </c>
    </row>
    <row r="27" spans="1:5" x14ac:dyDescent="0.25">
      <c r="D27" s="993" t="s">
        <v>429</v>
      </c>
      <c r="E27" s="124" t="s">
        <v>430</v>
      </c>
    </row>
    <row r="28" spans="1:5" x14ac:dyDescent="0.25">
      <c r="D28" s="994"/>
      <c r="E28" s="124" t="s">
        <v>431</v>
      </c>
    </row>
    <row r="29" spans="1:5" x14ac:dyDescent="0.25">
      <c r="D29" s="994"/>
      <c r="E29" s="124" t="s">
        <v>432</v>
      </c>
    </row>
    <row r="30" spans="1:5" x14ac:dyDescent="0.25">
      <c r="D30" s="995"/>
      <c r="E30" s="124" t="s">
        <v>433</v>
      </c>
    </row>
    <row r="31" spans="1:5" x14ac:dyDescent="0.25">
      <c r="D31" s="130" t="s">
        <v>434</v>
      </c>
      <c r="E31" s="124" t="s">
        <v>435</v>
      </c>
    </row>
    <row r="32" spans="1:5" x14ac:dyDescent="0.25">
      <c r="D32" s="130" t="s">
        <v>436</v>
      </c>
      <c r="E32" s="124" t="s">
        <v>437</v>
      </c>
    </row>
    <row r="33" spans="4:5" x14ac:dyDescent="0.25">
      <c r="D33" s="130" t="s">
        <v>438</v>
      </c>
      <c r="E33" s="124" t="s">
        <v>439</v>
      </c>
    </row>
    <row r="34" spans="4:5" x14ac:dyDescent="0.25">
      <c r="D34" s="130" t="s">
        <v>440</v>
      </c>
      <c r="E34" s="124" t="s">
        <v>441</v>
      </c>
    </row>
    <row r="35" spans="4:5" x14ac:dyDescent="0.25">
      <c r="D35" s="130" t="s">
        <v>442</v>
      </c>
      <c r="E35" s="124" t="s">
        <v>443</v>
      </c>
    </row>
    <row r="36" spans="4:5" x14ac:dyDescent="0.25">
      <c r="D36" s="130" t="s">
        <v>444</v>
      </c>
      <c r="E36" s="124" t="s">
        <v>445</v>
      </c>
    </row>
    <row r="37" spans="4:5" x14ac:dyDescent="0.25">
      <c r="D37" s="130" t="s">
        <v>446</v>
      </c>
      <c r="E37" s="124" t="s">
        <v>447</v>
      </c>
    </row>
    <row r="38" spans="4:5" x14ac:dyDescent="0.25">
      <c r="D38" s="130" t="s">
        <v>448</v>
      </c>
      <c r="E38" s="124" t="s">
        <v>449</v>
      </c>
    </row>
    <row r="39" spans="4:5" x14ac:dyDescent="0.25">
      <c r="D39" s="131" t="s">
        <v>450</v>
      </c>
      <c r="E39" s="124" t="s">
        <v>451</v>
      </c>
    </row>
    <row r="40" spans="4:5" x14ac:dyDescent="0.25">
      <c r="D40" s="131" t="s">
        <v>452</v>
      </c>
      <c r="E40" s="124" t="s">
        <v>453</v>
      </c>
    </row>
    <row r="41" spans="4:5" x14ac:dyDescent="0.25">
      <c r="D41" s="130" t="s">
        <v>454</v>
      </c>
      <c r="E41" s="124" t="s">
        <v>455</v>
      </c>
    </row>
    <row r="42" spans="4:5" x14ac:dyDescent="0.25">
      <c r="D42" s="130" t="s">
        <v>456</v>
      </c>
      <c r="E42" s="124" t="s">
        <v>457</v>
      </c>
    </row>
    <row r="43" spans="4:5" x14ac:dyDescent="0.25">
      <c r="D43" s="131" t="s">
        <v>458</v>
      </c>
      <c r="E43" s="124" t="s">
        <v>459</v>
      </c>
    </row>
    <row r="44" spans="4:5" x14ac:dyDescent="0.25">
      <c r="D44" s="132" t="s">
        <v>460</v>
      </c>
      <c r="E44" s="124" t="s">
        <v>461</v>
      </c>
    </row>
    <row r="45" spans="4:5" x14ac:dyDescent="0.25">
      <c r="D45" s="126" t="s">
        <v>462</v>
      </c>
      <c r="E45" s="124" t="s">
        <v>463</v>
      </c>
    </row>
    <row r="46" spans="4:5" x14ac:dyDescent="0.25">
      <c r="D46" s="126" t="s">
        <v>464</v>
      </c>
      <c r="E46" s="124" t="s">
        <v>465</v>
      </c>
    </row>
    <row r="47" spans="4:5" x14ac:dyDescent="0.25">
      <c r="D47" s="126" t="s">
        <v>466</v>
      </c>
      <c r="E47" s="124" t="s">
        <v>467</v>
      </c>
    </row>
    <row r="48" spans="4:5" x14ac:dyDescent="0.25">
      <c r="D48" s="126" t="s">
        <v>468</v>
      </c>
      <c r="E48" s="124" t="s">
        <v>469</v>
      </c>
    </row>
    <row r="49" spans="4:4" x14ac:dyDescent="0.25">
      <c r="D49" s="129" t="s">
        <v>470</v>
      </c>
    </row>
    <row r="50" spans="4:4" x14ac:dyDescent="0.25">
      <c r="D50" s="126" t="s">
        <v>471</v>
      </c>
    </row>
    <row r="51" spans="4:4" x14ac:dyDescent="0.25">
      <c r="D51" s="126" t="s">
        <v>472</v>
      </c>
    </row>
    <row r="52" spans="4:4" x14ac:dyDescent="0.25">
      <c r="D52" s="129" t="s">
        <v>473</v>
      </c>
    </row>
    <row r="53" spans="4:4" x14ac:dyDescent="0.25">
      <c r="D53" s="132" t="s">
        <v>474</v>
      </c>
    </row>
    <row r="54" spans="4:4" x14ac:dyDescent="0.25">
      <c r="D54" s="132" t="s">
        <v>475</v>
      </c>
    </row>
    <row r="55" spans="4:4" x14ac:dyDescent="0.25">
      <c r="D55" s="132" t="s">
        <v>476</v>
      </c>
    </row>
    <row r="56" spans="4:4" x14ac:dyDescent="0.25">
      <c r="D56" s="132" t="s">
        <v>477</v>
      </c>
    </row>
  </sheetData>
  <mergeCells count="1">
    <mergeCell ref="D27:D30"/>
  </mergeCells>
  <pageMargins left="0.7" right="0.7" top="0.75" bottom="0.75" header="0.3" footer="0.3"/>
  <pageSetup scale="27" orientation="landscape"/>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32" zoomScale="90" zoomScaleNormal="90" workbookViewId="0">
      <selection activeCell="B35" sqref="B35"/>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998" t="s">
        <v>180</v>
      </c>
      <c r="B1" s="999"/>
    </row>
    <row r="2" spans="1:2" ht="25.5" customHeight="1" x14ac:dyDescent="0.25">
      <c r="A2" s="1000" t="s">
        <v>478</v>
      </c>
      <c r="B2" s="1001"/>
    </row>
    <row r="3" spans="1:2" x14ac:dyDescent="0.25">
      <c r="A3" s="196" t="s">
        <v>479</v>
      </c>
      <c r="B3" s="134" t="s">
        <v>480</v>
      </c>
    </row>
    <row r="4" spans="1:2" x14ac:dyDescent="0.25">
      <c r="A4" s="197" t="s">
        <v>9</v>
      </c>
      <c r="B4" s="141" t="s">
        <v>481</v>
      </c>
    </row>
    <row r="5" spans="1:2" ht="105" x14ac:dyDescent="0.25">
      <c r="A5" s="197" t="s">
        <v>10</v>
      </c>
      <c r="B5" s="201" t="s">
        <v>482</v>
      </c>
    </row>
    <row r="6" spans="1:2" x14ac:dyDescent="0.25">
      <c r="A6" s="197" t="s">
        <v>15</v>
      </c>
      <c r="B6" s="1002" t="s">
        <v>483</v>
      </c>
    </row>
    <row r="7" spans="1:2" x14ac:dyDescent="0.25">
      <c r="A7" s="197" t="s">
        <v>17</v>
      </c>
      <c r="B7" s="1003"/>
    </row>
    <row r="8" spans="1:2" x14ac:dyDescent="0.25">
      <c r="A8" s="197" t="s">
        <v>19</v>
      </c>
      <c r="B8" s="1003"/>
    </row>
    <row r="9" spans="1:2" x14ac:dyDescent="0.25">
      <c r="A9" s="197" t="s">
        <v>484</v>
      </c>
      <c r="B9" s="1004"/>
    </row>
    <row r="10" spans="1:2" ht="30" x14ac:dyDescent="0.25">
      <c r="A10" s="197" t="s">
        <v>7</v>
      </c>
      <c r="B10" s="135" t="s">
        <v>485</v>
      </c>
    </row>
    <row r="11" spans="1:2" ht="45" x14ac:dyDescent="0.25">
      <c r="A11" s="197" t="s">
        <v>28</v>
      </c>
      <c r="B11" s="135" t="s">
        <v>486</v>
      </c>
    </row>
    <row r="12" spans="1:2" ht="60" x14ac:dyDescent="0.25">
      <c r="A12" s="197" t="s">
        <v>27</v>
      </c>
      <c r="B12" s="136" t="s">
        <v>487</v>
      </c>
    </row>
    <row r="13" spans="1:2" ht="30" x14ac:dyDescent="0.25">
      <c r="A13" s="197" t="s">
        <v>488</v>
      </c>
      <c r="B13" s="136" t="s">
        <v>489</v>
      </c>
    </row>
    <row r="14" spans="1:2" ht="45" x14ac:dyDescent="0.25">
      <c r="A14" s="197" t="s">
        <v>490</v>
      </c>
      <c r="B14" s="136" t="s">
        <v>491</v>
      </c>
    </row>
    <row r="15" spans="1:2" ht="72" customHeight="1" x14ac:dyDescent="0.25">
      <c r="A15" s="198" t="s">
        <v>492</v>
      </c>
      <c r="B15" s="137" t="s">
        <v>493</v>
      </c>
    </row>
    <row r="16" spans="1:2" ht="194.25" x14ac:dyDescent="0.25">
      <c r="A16" s="198" t="s">
        <v>494</v>
      </c>
      <c r="B16" s="138" t="s">
        <v>495</v>
      </c>
    </row>
    <row r="17" spans="1:2" ht="25.5" customHeight="1" x14ac:dyDescent="0.25">
      <c r="A17" s="1000" t="s">
        <v>496</v>
      </c>
      <c r="B17" s="1001"/>
    </row>
    <row r="18" spans="1:2" x14ac:dyDescent="0.25">
      <c r="A18" s="196" t="s">
        <v>479</v>
      </c>
      <c r="B18" s="134" t="s">
        <v>480</v>
      </c>
    </row>
    <row r="19" spans="1:2" x14ac:dyDescent="0.25">
      <c r="A19" s="197" t="s">
        <v>9</v>
      </c>
      <c r="B19" s="141" t="s">
        <v>481</v>
      </c>
    </row>
    <row r="20" spans="1:2" ht="105" x14ac:dyDescent="0.25">
      <c r="A20" s="197" t="s">
        <v>10</v>
      </c>
      <c r="B20" s="140" t="s">
        <v>497</v>
      </c>
    </row>
    <row r="21" spans="1:2" ht="30" x14ac:dyDescent="0.25">
      <c r="A21" s="197" t="s">
        <v>498</v>
      </c>
      <c r="B21" s="136" t="s">
        <v>499</v>
      </c>
    </row>
    <row r="22" spans="1:2" ht="45" x14ac:dyDescent="0.25">
      <c r="A22" s="197" t="s">
        <v>500</v>
      </c>
      <c r="B22" s="136" t="s">
        <v>501</v>
      </c>
    </row>
    <row r="23" spans="1:2" ht="75" x14ac:dyDescent="0.25">
      <c r="A23" s="197" t="s">
        <v>502</v>
      </c>
      <c r="B23" s="136" t="s">
        <v>503</v>
      </c>
    </row>
    <row r="24" spans="1:2" ht="30" x14ac:dyDescent="0.25">
      <c r="A24" s="197" t="s">
        <v>504</v>
      </c>
      <c r="B24" s="136" t="s">
        <v>505</v>
      </c>
    </row>
    <row r="25" spans="1:2" x14ac:dyDescent="0.25">
      <c r="A25" s="197" t="s">
        <v>326</v>
      </c>
      <c r="B25" s="136" t="s">
        <v>506</v>
      </c>
    </row>
    <row r="26" spans="1:2" ht="45.95" customHeight="1" x14ac:dyDescent="0.25">
      <c r="A26" s="197" t="s">
        <v>507</v>
      </c>
      <c r="B26" s="139" t="s">
        <v>508</v>
      </c>
    </row>
    <row r="27" spans="1:2" ht="75" x14ac:dyDescent="0.25">
      <c r="A27" s="197" t="s">
        <v>193</v>
      </c>
      <c r="B27" s="139" t="s">
        <v>509</v>
      </c>
    </row>
    <row r="28" spans="1:2" ht="45" x14ac:dyDescent="0.25">
      <c r="A28" s="197" t="s">
        <v>510</v>
      </c>
      <c r="B28" s="139" t="s">
        <v>511</v>
      </c>
    </row>
    <row r="29" spans="1:2" ht="45" x14ac:dyDescent="0.25">
      <c r="A29" s="197" t="s">
        <v>512</v>
      </c>
      <c r="B29" s="139" t="s">
        <v>513</v>
      </c>
    </row>
    <row r="30" spans="1:2" ht="45" x14ac:dyDescent="0.25">
      <c r="A30" s="197" t="s">
        <v>323</v>
      </c>
      <c r="B30" s="139" t="s">
        <v>514</v>
      </c>
    </row>
    <row r="31" spans="1:2" ht="159" customHeight="1" x14ac:dyDescent="0.25">
      <c r="A31" s="197" t="s">
        <v>515</v>
      </c>
      <c r="B31" s="329" t="s">
        <v>516</v>
      </c>
    </row>
    <row r="32" spans="1:2" ht="30" x14ac:dyDescent="0.25">
      <c r="A32" s="197" t="s">
        <v>517</v>
      </c>
      <c r="B32" s="139" t="s">
        <v>518</v>
      </c>
    </row>
    <row r="33" spans="1:2" ht="30" x14ac:dyDescent="0.25">
      <c r="A33" s="197" t="s">
        <v>519</v>
      </c>
      <c r="B33" s="139" t="s">
        <v>520</v>
      </c>
    </row>
    <row r="34" spans="1:2" ht="30" x14ac:dyDescent="0.25">
      <c r="A34" s="197" t="s">
        <v>521</v>
      </c>
      <c r="B34" s="139" t="s">
        <v>522</v>
      </c>
    </row>
    <row r="35" spans="1:2" ht="30" x14ac:dyDescent="0.25">
      <c r="A35" s="197" t="s">
        <v>523</v>
      </c>
      <c r="B35" s="139" t="s">
        <v>524</v>
      </c>
    </row>
    <row r="36" spans="1:2" ht="75" x14ac:dyDescent="0.25">
      <c r="A36" s="197" t="s">
        <v>525</v>
      </c>
      <c r="B36" s="139" t="s">
        <v>526</v>
      </c>
    </row>
    <row r="37" spans="1:2" x14ac:dyDescent="0.25">
      <c r="A37" s="197" t="s">
        <v>183</v>
      </c>
      <c r="B37" s="139" t="s">
        <v>527</v>
      </c>
    </row>
    <row r="38" spans="1:2" ht="30" x14ac:dyDescent="0.25">
      <c r="A38" s="197" t="s">
        <v>528</v>
      </c>
      <c r="B38" s="139" t="s">
        <v>529</v>
      </c>
    </row>
    <row r="39" spans="1:2" ht="45" x14ac:dyDescent="0.25">
      <c r="A39" s="197" t="s">
        <v>530</v>
      </c>
      <c r="B39" s="139" t="s">
        <v>531</v>
      </c>
    </row>
    <row r="40" spans="1:2" ht="28.5" x14ac:dyDescent="0.25">
      <c r="A40" s="198" t="s">
        <v>186</v>
      </c>
      <c r="B40" s="139" t="s">
        <v>532</v>
      </c>
    </row>
    <row r="41" spans="1:2" ht="25.5" customHeight="1" x14ac:dyDescent="0.25">
      <c r="A41" s="1000" t="s">
        <v>533</v>
      </c>
      <c r="B41" s="1001"/>
    </row>
    <row r="42" spans="1:2" x14ac:dyDescent="0.25">
      <c r="A42" s="998" t="s">
        <v>534</v>
      </c>
      <c r="B42" s="999"/>
    </row>
    <row r="43" spans="1:2" ht="72" customHeight="1" x14ac:dyDescent="0.25">
      <c r="A43" s="996" t="s">
        <v>535</v>
      </c>
      <c r="B43" s="997"/>
    </row>
    <row r="44" spans="1:2" ht="30" x14ac:dyDescent="0.25">
      <c r="A44" s="197" t="s">
        <v>512</v>
      </c>
      <c r="B44" s="139" t="s">
        <v>536</v>
      </c>
    </row>
    <row r="45" spans="1:2" ht="45" x14ac:dyDescent="0.25">
      <c r="A45" s="198" t="s">
        <v>537</v>
      </c>
      <c r="B45" s="139" t="s">
        <v>538</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2578125" defaultRowHeight="15" x14ac:dyDescent="0.25"/>
  <sheetData/>
  <pageMargins left="0.7" right="0.7" top="0.75" bottom="0.75" header="0.3" footer="0.3"/>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2578125" defaultRowHeight="15" x14ac:dyDescent="0.25"/>
  <cols>
    <col min="3" max="3" width="6.85546875" customWidth="1"/>
    <col min="4" max="4" width="8.85546875" customWidth="1"/>
    <col min="5" max="5" width="10.85546875" customWidth="1"/>
  </cols>
  <sheetData>
    <row r="1" spans="1:14" x14ac:dyDescent="0.25">
      <c r="B1" t="s">
        <v>539</v>
      </c>
      <c r="C1" s="1009" t="s">
        <v>540</v>
      </c>
      <c r="D1" s="1009"/>
      <c r="E1" s="1009"/>
      <c r="F1" s="1009"/>
      <c r="G1" s="1010" t="s">
        <v>541</v>
      </c>
      <c r="H1" s="1011"/>
      <c r="I1" s="1011"/>
      <c r="J1" s="1012"/>
      <c r="K1" s="1008" t="s">
        <v>542</v>
      </c>
      <c r="L1" s="1008"/>
      <c r="M1" s="1008"/>
      <c r="N1" s="1008"/>
    </row>
    <row r="2" spans="1:14" x14ac:dyDescent="0.25">
      <c r="C2" s="4"/>
      <c r="D2" s="4"/>
      <c r="E2" s="4"/>
      <c r="F2" s="4" t="s">
        <v>543</v>
      </c>
      <c r="G2" s="30"/>
      <c r="H2" s="4"/>
      <c r="I2" s="4"/>
      <c r="J2" s="31" t="s">
        <v>543</v>
      </c>
      <c r="K2" s="4"/>
      <c r="L2" s="4"/>
      <c r="M2" s="4"/>
      <c r="N2" s="4" t="s">
        <v>543</v>
      </c>
    </row>
    <row r="3" spans="1:14" x14ac:dyDescent="0.25">
      <c r="A3" s="1006" t="s">
        <v>544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100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1006"/>
      <c r="B5" s="5">
        <v>3</v>
      </c>
      <c r="C5" s="6">
        <v>0.05</v>
      </c>
      <c r="D5" s="6">
        <v>0.05</v>
      </c>
      <c r="E5" s="6">
        <v>0.1</v>
      </c>
      <c r="F5" s="7">
        <f>(C5+D5+E5)</f>
        <v>0.2</v>
      </c>
      <c r="G5" s="32">
        <v>0.1</v>
      </c>
      <c r="H5" s="6">
        <v>0.1</v>
      </c>
      <c r="I5" s="6">
        <v>0.1</v>
      </c>
      <c r="J5" s="33">
        <f>(G5+H5+I5)</f>
        <v>0.30000000000000004</v>
      </c>
      <c r="K5" s="24"/>
      <c r="L5" s="5"/>
      <c r="M5" s="5"/>
      <c r="N5" s="5"/>
    </row>
    <row r="6" spans="1:14" x14ac:dyDescent="0.25">
      <c r="A6" s="1006"/>
      <c r="B6" s="5">
        <v>4</v>
      </c>
      <c r="C6" s="6">
        <v>0.1</v>
      </c>
      <c r="D6" s="6">
        <v>0.1</v>
      </c>
      <c r="E6" s="6">
        <v>0.2</v>
      </c>
      <c r="F6" s="7">
        <f>(C6+D6+E6)</f>
        <v>0.4</v>
      </c>
      <c r="G6" s="32">
        <v>0</v>
      </c>
      <c r="H6" s="6">
        <v>0</v>
      </c>
      <c r="I6" s="6">
        <v>0.1</v>
      </c>
      <c r="J6" s="33">
        <f>(G6+H6+I6)</f>
        <v>0.1</v>
      </c>
      <c r="K6" s="24"/>
      <c r="L6" s="5"/>
      <c r="M6" s="5"/>
      <c r="N6" s="5"/>
    </row>
    <row r="7" spans="1:14" x14ac:dyDescent="0.25">
      <c r="A7" s="1006"/>
      <c r="B7" s="5">
        <v>5</v>
      </c>
      <c r="C7" s="6">
        <v>0</v>
      </c>
      <c r="D7" s="6">
        <v>0</v>
      </c>
      <c r="E7" s="6">
        <v>0</v>
      </c>
      <c r="F7" s="7">
        <f>(C7+D7+E7)</f>
        <v>0</v>
      </c>
      <c r="G7" s="32">
        <v>0</v>
      </c>
      <c r="H7" s="6">
        <v>0</v>
      </c>
      <c r="I7" s="6">
        <v>0</v>
      </c>
      <c r="J7" s="33">
        <f>(G7+H7+I7)</f>
        <v>0</v>
      </c>
      <c r="K7" s="24"/>
      <c r="L7" s="5"/>
      <c r="M7" s="5"/>
      <c r="N7" s="5"/>
    </row>
    <row r="8" spans="1:14" x14ac:dyDescent="0.25">
      <c r="A8" s="1006" t="s">
        <v>545</v>
      </c>
      <c r="B8" s="9">
        <v>6</v>
      </c>
      <c r="C8" s="10">
        <v>0.1</v>
      </c>
      <c r="D8" s="10">
        <v>0.1</v>
      </c>
      <c r="E8" s="10">
        <v>0.1</v>
      </c>
      <c r="F8" s="11">
        <f>C8+D8+E8</f>
        <v>0.30000000000000004</v>
      </c>
      <c r="G8" s="34"/>
      <c r="H8" s="9"/>
      <c r="I8" s="9"/>
      <c r="J8" s="35"/>
      <c r="K8" s="25"/>
      <c r="L8" s="9"/>
      <c r="M8" s="9"/>
      <c r="N8" s="9"/>
    </row>
    <row r="9" spans="1:14" x14ac:dyDescent="0.25">
      <c r="A9" s="1006"/>
      <c r="B9" s="9">
        <v>7</v>
      </c>
      <c r="C9" s="9"/>
      <c r="D9" s="9"/>
      <c r="E9" s="9"/>
      <c r="F9" s="19"/>
      <c r="G9" s="36"/>
      <c r="H9" s="9"/>
      <c r="I9" s="9"/>
      <c r="J9" s="35"/>
      <c r="K9" s="25"/>
      <c r="L9" s="9"/>
      <c r="M9" s="9"/>
      <c r="N9" s="9"/>
    </row>
    <row r="10" spans="1:14" x14ac:dyDescent="0.25">
      <c r="A10" s="1006"/>
      <c r="B10" s="9">
        <v>8</v>
      </c>
      <c r="C10" s="9"/>
      <c r="D10" s="9"/>
      <c r="E10" s="9"/>
      <c r="F10" s="19"/>
      <c r="G10" s="36"/>
      <c r="H10" s="9"/>
      <c r="I10" s="9"/>
      <c r="J10" s="35"/>
      <c r="K10" s="25"/>
      <c r="L10" s="9"/>
      <c r="M10" s="9"/>
      <c r="N10" s="9"/>
    </row>
    <row r="11" spans="1:14" x14ac:dyDescent="0.25">
      <c r="A11" s="1006"/>
      <c r="B11" s="9">
        <v>9</v>
      </c>
      <c r="C11" s="9"/>
      <c r="D11" s="9"/>
      <c r="E11" s="9"/>
      <c r="F11" s="19"/>
      <c r="G11" s="36"/>
      <c r="H11" s="9"/>
      <c r="I11" s="9"/>
      <c r="J11" s="35"/>
      <c r="K11" s="25"/>
      <c r="L11" s="9"/>
      <c r="M11" s="9"/>
      <c r="N11" s="9"/>
    </row>
    <row r="12" spans="1:14" x14ac:dyDescent="0.25">
      <c r="A12" s="1006" t="s">
        <v>546</v>
      </c>
      <c r="B12" s="14">
        <v>10</v>
      </c>
      <c r="C12" s="14"/>
      <c r="D12" s="14"/>
      <c r="E12" s="14"/>
      <c r="F12" s="20"/>
      <c r="G12" s="37"/>
      <c r="H12" s="14"/>
      <c r="I12" s="14"/>
      <c r="J12" s="38"/>
      <c r="K12" s="26"/>
      <c r="L12" s="14"/>
      <c r="M12" s="14"/>
      <c r="N12" s="14"/>
    </row>
    <row r="13" spans="1:14" x14ac:dyDescent="0.25">
      <c r="A13" s="1006"/>
      <c r="B13" s="14">
        <v>11</v>
      </c>
      <c r="C13" s="14"/>
      <c r="D13" s="14"/>
      <c r="E13" s="14"/>
      <c r="F13" s="20"/>
      <c r="G13" s="37"/>
      <c r="H13" s="14"/>
      <c r="I13" s="14"/>
      <c r="J13" s="38"/>
      <c r="K13" s="26"/>
      <c r="L13" s="14"/>
      <c r="M13" s="14"/>
      <c r="N13" s="14"/>
    </row>
    <row r="14" spans="1:14" x14ac:dyDescent="0.25">
      <c r="A14" s="1006"/>
      <c r="B14" s="14">
        <v>12</v>
      </c>
      <c r="C14" s="14"/>
      <c r="D14" s="14"/>
      <c r="E14" s="14"/>
      <c r="F14" s="20"/>
      <c r="G14" s="37"/>
      <c r="H14" s="14"/>
      <c r="I14" s="14"/>
      <c r="J14" s="38"/>
      <c r="K14" s="26"/>
      <c r="L14" s="14"/>
      <c r="M14" s="14"/>
      <c r="N14" s="14"/>
    </row>
    <row r="15" spans="1:14" x14ac:dyDescent="0.25">
      <c r="A15" s="1006"/>
      <c r="B15" s="14">
        <v>13</v>
      </c>
      <c r="C15" s="14"/>
      <c r="D15" s="14"/>
      <c r="E15" s="14"/>
      <c r="F15" s="20"/>
      <c r="G15" s="37"/>
      <c r="H15" s="14"/>
      <c r="I15" s="14"/>
      <c r="J15" s="38"/>
      <c r="K15" s="26"/>
      <c r="L15" s="14"/>
      <c r="M15" s="14"/>
      <c r="N15" s="14"/>
    </row>
    <row r="16" spans="1:14" x14ac:dyDescent="0.25">
      <c r="A16" s="1006" t="s">
        <v>547</v>
      </c>
      <c r="B16" s="15">
        <v>14</v>
      </c>
      <c r="C16" s="15"/>
      <c r="D16" s="15"/>
      <c r="E16" s="15"/>
      <c r="F16" s="21"/>
      <c r="G16" s="39"/>
      <c r="H16" s="15"/>
      <c r="I16" s="15"/>
      <c r="J16" s="40"/>
      <c r="K16" s="27"/>
      <c r="L16" s="15"/>
      <c r="M16" s="15"/>
      <c r="N16" s="15"/>
    </row>
    <row r="17" spans="1:14" x14ac:dyDescent="0.25">
      <c r="A17" s="1006"/>
      <c r="B17" s="15">
        <v>15</v>
      </c>
      <c r="C17" s="15"/>
      <c r="D17" s="15"/>
      <c r="E17" s="15"/>
      <c r="F17" s="21"/>
      <c r="G17" s="39"/>
      <c r="H17" s="15"/>
      <c r="I17" s="15"/>
      <c r="J17" s="40"/>
      <c r="K17" s="27"/>
      <c r="L17" s="15"/>
      <c r="M17" s="15"/>
      <c r="N17" s="15"/>
    </row>
    <row r="18" spans="1:14" x14ac:dyDescent="0.25">
      <c r="A18" s="1006"/>
      <c r="B18" s="15">
        <v>16</v>
      </c>
      <c r="C18" s="15"/>
      <c r="D18" s="15"/>
      <c r="E18" s="15"/>
      <c r="F18" s="21"/>
      <c r="G18" s="39"/>
      <c r="H18" s="15"/>
      <c r="I18" s="15"/>
      <c r="J18" s="40"/>
      <c r="K18" s="27"/>
      <c r="L18" s="15"/>
      <c r="M18" s="15"/>
      <c r="N18" s="15"/>
    </row>
    <row r="19" spans="1:14" x14ac:dyDescent="0.25">
      <c r="A19" s="1006" t="s">
        <v>548</v>
      </c>
      <c r="B19" s="18">
        <v>17</v>
      </c>
      <c r="C19" s="18"/>
      <c r="D19" s="18"/>
      <c r="E19" s="18"/>
      <c r="F19" s="22"/>
      <c r="G19" s="41"/>
      <c r="H19" s="18"/>
      <c r="I19" s="18"/>
      <c r="J19" s="42"/>
      <c r="K19" s="28"/>
      <c r="L19" s="18"/>
      <c r="M19" s="18"/>
      <c r="N19" s="18"/>
    </row>
    <row r="20" spans="1:14" x14ac:dyDescent="0.25">
      <c r="A20" s="1006"/>
      <c r="B20" s="18">
        <v>18</v>
      </c>
      <c r="C20" s="18"/>
      <c r="D20" s="18"/>
      <c r="E20" s="18"/>
      <c r="F20" s="22"/>
      <c r="G20" s="41"/>
      <c r="H20" s="18"/>
      <c r="I20" s="18"/>
      <c r="J20" s="42"/>
      <c r="K20" s="28"/>
      <c r="L20" s="18"/>
      <c r="M20" s="18"/>
      <c r="N20" s="18"/>
    </row>
    <row r="21" spans="1:14" x14ac:dyDescent="0.25">
      <c r="A21" s="1006"/>
      <c r="B21" s="18">
        <v>19</v>
      </c>
      <c r="C21" s="18"/>
      <c r="D21" s="18"/>
      <c r="E21" s="18"/>
      <c r="F21" s="22"/>
      <c r="G21" s="41"/>
      <c r="H21" s="18"/>
      <c r="I21" s="18"/>
      <c r="J21" s="42"/>
      <c r="K21" s="28"/>
      <c r="L21" s="18"/>
      <c r="M21" s="18"/>
      <c r="N21" s="18"/>
    </row>
    <row r="22" spans="1:14" x14ac:dyDescent="0.25">
      <c r="A22" s="1006"/>
      <c r="B22" s="18">
        <v>20</v>
      </c>
      <c r="C22" s="18"/>
      <c r="D22" s="18"/>
      <c r="E22" s="18"/>
      <c r="F22" s="22"/>
      <c r="G22" s="41"/>
      <c r="H22" s="18"/>
      <c r="I22" s="18"/>
      <c r="J22" s="42"/>
      <c r="K22" s="28"/>
      <c r="L22" s="18"/>
      <c r="M22" s="18"/>
      <c r="N22" s="18"/>
    </row>
    <row r="23" spans="1:14" x14ac:dyDescent="0.25">
      <c r="A23" s="1006" t="s">
        <v>549</v>
      </c>
      <c r="B23" s="13">
        <v>21</v>
      </c>
      <c r="C23" s="13"/>
      <c r="D23" s="13"/>
      <c r="E23" s="13"/>
      <c r="F23" s="23"/>
      <c r="G23" s="43"/>
      <c r="H23" s="13"/>
      <c r="I23" s="13"/>
      <c r="J23" s="44"/>
      <c r="K23" s="29"/>
      <c r="L23" s="13"/>
      <c r="M23" s="13"/>
      <c r="N23" s="13"/>
    </row>
    <row r="24" spans="1:14" x14ac:dyDescent="0.25">
      <c r="A24" s="1006"/>
      <c r="B24" s="13">
        <v>22</v>
      </c>
      <c r="C24" s="13"/>
      <c r="D24" s="13"/>
      <c r="E24" s="13"/>
      <c r="F24" s="23"/>
      <c r="G24" s="43"/>
      <c r="H24" s="13"/>
      <c r="I24" s="13"/>
      <c r="J24" s="44"/>
      <c r="K24" s="29"/>
      <c r="L24" s="13"/>
      <c r="M24" s="13"/>
      <c r="N24" s="13"/>
    </row>
    <row r="25" spans="1:14" x14ac:dyDescent="0.25">
      <c r="A25" s="1006"/>
      <c r="B25" s="13">
        <v>23</v>
      </c>
      <c r="C25" s="13"/>
      <c r="D25" s="13"/>
      <c r="E25" s="13"/>
      <c r="F25" s="23"/>
      <c r="G25" s="43"/>
      <c r="H25" s="13"/>
      <c r="I25" s="13"/>
      <c r="J25" s="44"/>
      <c r="K25" s="29"/>
      <c r="L25" s="13"/>
      <c r="M25" s="13"/>
      <c r="N25" s="13"/>
    </row>
    <row r="26" spans="1:14" x14ac:dyDescent="0.25">
      <c r="A26" s="1006"/>
      <c r="B26" s="13">
        <v>24</v>
      </c>
      <c r="C26" s="13"/>
      <c r="D26" s="13"/>
      <c r="E26" s="13"/>
      <c r="F26" s="23"/>
      <c r="G26" s="43"/>
      <c r="H26" s="13"/>
      <c r="I26" s="13"/>
      <c r="J26" s="44"/>
      <c r="K26" s="29"/>
      <c r="L26" s="13"/>
      <c r="M26" s="13"/>
      <c r="N26" s="13"/>
    </row>
    <row r="27" spans="1:14" x14ac:dyDescent="0.25">
      <c r="A27" s="1006" t="s">
        <v>550</v>
      </c>
      <c r="B27" s="9">
        <v>25</v>
      </c>
      <c r="C27" s="9"/>
      <c r="D27" s="9"/>
      <c r="E27" s="9"/>
      <c r="F27" s="9"/>
      <c r="G27" s="9"/>
      <c r="H27" s="9"/>
      <c r="I27" s="9"/>
      <c r="J27" s="9"/>
      <c r="K27" s="9"/>
      <c r="L27" s="9"/>
      <c r="M27" s="9"/>
      <c r="N27" s="9"/>
    </row>
    <row r="28" spans="1:14" x14ac:dyDescent="0.25">
      <c r="A28" s="1006"/>
      <c r="B28" s="9">
        <v>26</v>
      </c>
      <c r="C28" s="9"/>
      <c r="D28" s="9"/>
      <c r="E28" s="9"/>
      <c r="F28" s="9"/>
      <c r="G28" s="9"/>
      <c r="H28" s="9"/>
      <c r="I28" s="9"/>
      <c r="J28" s="9"/>
      <c r="K28" s="9"/>
      <c r="L28" s="9"/>
      <c r="M28" s="9"/>
      <c r="N28" s="9"/>
    </row>
    <row r="29" spans="1:14" x14ac:dyDescent="0.25">
      <c r="A29" s="1006"/>
      <c r="B29" s="9">
        <v>27</v>
      </c>
      <c r="C29" s="9"/>
      <c r="D29" s="9"/>
      <c r="E29" s="9"/>
      <c r="F29" s="9"/>
      <c r="G29" s="9"/>
      <c r="H29" s="9"/>
      <c r="I29" s="9"/>
      <c r="J29" s="9"/>
      <c r="K29" s="9"/>
      <c r="L29" s="9"/>
      <c r="M29" s="9"/>
      <c r="N29" s="9"/>
    </row>
    <row r="30" spans="1:14" x14ac:dyDescent="0.25">
      <c r="A30" s="1006"/>
      <c r="B30" s="9">
        <v>28</v>
      </c>
      <c r="C30" s="9"/>
      <c r="D30" s="9"/>
      <c r="E30" s="9"/>
      <c r="F30" s="9"/>
      <c r="G30" s="9"/>
      <c r="H30" s="9"/>
      <c r="I30" s="9"/>
      <c r="J30" s="9"/>
      <c r="K30" s="9"/>
      <c r="L30" s="9"/>
      <c r="M30" s="9"/>
      <c r="N30" s="9"/>
    </row>
    <row r="31" spans="1:14" x14ac:dyDescent="0.25">
      <c r="A31" s="1006"/>
      <c r="B31" s="9">
        <v>29</v>
      </c>
      <c r="C31" s="9"/>
      <c r="D31" s="9"/>
      <c r="E31" s="9"/>
      <c r="F31" s="9"/>
      <c r="G31" s="9"/>
      <c r="H31" s="9"/>
      <c r="I31" s="9"/>
      <c r="J31" s="9"/>
      <c r="K31" s="9"/>
      <c r="L31" s="9"/>
      <c r="M31" s="9"/>
      <c r="N31" s="9"/>
    </row>
    <row r="32" spans="1:14" x14ac:dyDescent="0.25">
      <c r="A32" s="1006" t="s">
        <v>551</v>
      </c>
      <c r="B32" s="16">
        <v>30</v>
      </c>
      <c r="C32" s="16"/>
      <c r="D32" s="16"/>
      <c r="E32" s="16"/>
      <c r="F32" s="16"/>
      <c r="G32" s="16"/>
      <c r="H32" s="16"/>
      <c r="I32" s="16"/>
      <c r="J32" s="16"/>
      <c r="K32" s="16"/>
      <c r="L32" s="16"/>
      <c r="M32" s="16"/>
      <c r="N32" s="16"/>
    </row>
    <row r="33" spans="1:14" x14ac:dyDescent="0.25">
      <c r="A33" s="1006"/>
      <c r="B33" s="16">
        <v>31</v>
      </c>
      <c r="C33" s="16"/>
      <c r="D33" s="16"/>
      <c r="E33" s="16"/>
      <c r="F33" s="16"/>
      <c r="G33" s="16"/>
      <c r="H33" s="16"/>
      <c r="I33" s="16"/>
      <c r="J33" s="16"/>
      <c r="K33" s="16"/>
      <c r="L33" s="16"/>
      <c r="M33" s="16"/>
      <c r="N33" s="16"/>
    </row>
    <row r="34" spans="1:14" x14ac:dyDescent="0.25">
      <c r="A34" s="1006"/>
      <c r="B34" s="16">
        <v>32</v>
      </c>
      <c r="C34" s="16"/>
      <c r="D34" s="16"/>
      <c r="E34" s="16"/>
      <c r="F34" s="16"/>
      <c r="G34" s="16"/>
      <c r="H34" s="16"/>
      <c r="I34" s="16"/>
      <c r="J34" s="16"/>
      <c r="K34" s="16"/>
      <c r="L34" s="16"/>
      <c r="M34" s="16"/>
      <c r="N34" s="16"/>
    </row>
    <row r="35" spans="1:14" x14ac:dyDescent="0.25">
      <c r="A35" s="1006" t="s">
        <v>552</v>
      </c>
      <c r="B35" s="17">
        <v>33</v>
      </c>
      <c r="C35" s="14"/>
      <c r="D35" s="14"/>
      <c r="E35" s="14"/>
      <c r="F35" s="14"/>
      <c r="G35" s="14"/>
      <c r="H35" s="14"/>
      <c r="I35" s="14"/>
      <c r="J35" s="14"/>
      <c r="K35" s="14"/>
      <c r="L35" s="14"/>
      <c r="M35" s="14"/>
      <c r="N35" s="14"/>
    </row>
    <row r="36" spans="1:14" x14ac:dyDescent="0.25">
      <c r="A36" s="1006"/>
      <c r="B36" s="14">
        <v>34</v>
      </c>
      <c r="C36" s="14"/>
      <c r="D36" s="14"/>
      <c r="E36" s="14"/>
      <c r="F36" s="14"/>
      <c r="G36" s="14"/>
      <c r="H36" s="14"/>
      <c r="I36" s="14"/>
      <c r="J36" s="14"/>
      <c r="K36" s="14"/>
      <c r="L36" s="14"/>
      <c r="M36" s="14"/>
      <c r="N36" s="14"/>
    </row>
    <row r="37" spans="1:14" x14ac:dyDescent="0.25">
      <c r="A37" s="1006"/>
      <c r="B37" s="45">
        <v>35</v>
      </c>
      <c r="C37" s="14"/>
      <c r="D37" s="14"/>
      <c r="E37" s="14"/>
      <c r="F37" s="14"/>
      <c r="G37" s="14"/>
      <c r="H37" s="14"/>
      <c r="I37" s="14"/>
      <c r="J37" s="14"/>
      <c r="K37" s="14"/>
      <c r="L37" s="14"/>
      <c r="M37" s="14"/>
      <c r="N37" s="14"/>
    </row>
    <row r="38" spans="1:14" x14ac:dyDescent="0.25">
      <c r="A38" s="1006" t="s">
        <v>553</v>
      </c>
      <c r="B38" s="8">
        <v>36</v>
      </c>
      <c r="C38" s="8"/>
      <c r="D38" s="8"/>
      <c r="E38" s="8"/>
      <c r="F38" s="8"/>
      <c r="G38" s="8"/>
      <c r="H38" s="8"/>
      <c r="I38" s="8"/>
      <c r="J38" s="8"/>
      <c r="K38" s="8"/>
      <c r="L38" s="8"/>
      <c r="M38" s="8"/>
      <c r="N38" s="8"/>
    </row>
    <row r="39" spans="1:14" x14ac:dyDescent="0.25">
      <c r="A39" s="1006"/>
      <c r="B39" s="8">
        <v>37</v>
      </c>
      <c r="C39" s="8"/>
      <c r="D39" s="8"/>
      <c r="E39" s="8"/>
      <c r="F39" s="8"/>
      <c r="G39" s="8"/>
      <c r="H39" s="8"/>
      <c r="I39" s="8"/>
      <c r="J39" s="8"/>
      <c r="K39" s="8"/>
      <c r="L39" s="8"/>
      <c r="M39" s="8"/>
      <c r="N39" s="8"/>
    </row>
    <row r="40" spans="1:14" x14ac:dyDescent="0.25">
      <c r="A40" s="1006"/>
      <c r="B40" s="8">
        <v>38</v>
      </c>
      <c r="C40" s="8"/>
      <c r="D40" s="8"/>
      <c r="E40" s="8"/>
      <c r="F40" s="8"/>
      <c r="G40" s="8"/>
      <c r="H40" s="8"/>
      <c r="I40" s="8"/>
      <c r="J40" s="8"/>
      <c r="K40" s="8"/>
      <c r="L40" s="8"/>
      <c r="M40" s="8"/>
      <c r="N40" s="8"/>
    </row>
    <row r="41" spans="1:14" x14ac:dyDescent="0.25">
      <c r="A41" s="1007" t="s">
        <v>554</v>
      </c>
      <c r="B41" s="46">
        <v>39</v>
      </c>
      <c r="C41" s="47"/>
      <c r="D41" s="47"/>
      <c r="E41" s="47"/>
      <c r="F41" s="47"/>
      <c r="G41" s="47"/>
      <c r="H41" s="47"/>
      <c r="I41" s="47"/>
      <c r="J41" s="47"/>
      <c r="K41" s="47"/>
      <c r="L41" s="47"/>
      <c r="M41" s="47"/>
      <c r="N41" s="47"/>
    </row>
    <row r="42" spans="1:14" x14ac:dyDescent="0.25">
      <c r="A42" s="1007"/>
      <c r="B42" s="47">
        <v>40</v>
      </c>
      <c r="C42" s="47"/>
      <c r="D42" s="47"/>
      <c r="E42" s="47"/>
      <c r="F42" s="47"/>
      <c r="G42" s="47"/>
      <c r="H42" s="47"/>
      <c r="I42" s="47"/>
      <c r="J42" s="47"/>
      <c r="K42" s="47"/>
      <c r="L42" s="47"/>
      <c r="M42" s="47"/>
      <c r="N42" s="47"/>
    </row>
    <row r="43" spans="1:14" x14ac:dyDescent="0.25">
      <c r="A43" s="1007"/>
      <c r="B43" s="47">
        <v>41</v>
      </c>
      <c r="C43" s="47"/>
      <c r="D43" s="47"/>
      <c r="E43" s="47"/>
      <c r="F43" s="47"/>
      <c r="G43" s="47"/>
      <c r="H43" s="47"/>
      <c r="I43" s="47"/>
      <c r="J43" s="47"/>
      <c r="K43" s="47"/>
      <c r="L43" s="47"/>
      <c r="M43" s="47"/>
      <c r="N43" s="47"/>
    </row>
    <row r="44" spans="1:14" x14ac:dyDescent="0.25">
      <c r="A44" s="1007"/>
      <c r="B44" s="48">
        <v>42</v>
      </c>
      <c r="C44" s="47"/>
      <c r="D44" s="47"/>
      <c r="E44" s="47"/>
      <c r="F44" s="47"/>
      <c r="G44" s="47"/>
      <c r="H44" s="47"/>
      <c r="I44" s="47"/>
      <c r="J44" s="47"/>
      <c r="K44" s="47"/>
      <c r="L44" s="47"/>
      <c r="M44" s="47"/>
      <c r="N44" s="47"/>
    </row>
    <row r="45" spans="1:14" x14ac:dyDescent="0.25">
      <c r="A45" s="1005" t="s">
        <v>555</v>
      </c>
      <c r="B45" s="12">
        <v>43</v>
      </c>
      <c r="C45" s="12"/>
      <c r="D45" s="12"/>
      <c r="E45" s="12"/>
      <c r="F45" s="12"/>
      <c r="G45" s="12"/>
      <c r="H45" s="12"/>
      <c r="I45" s="12"/>
      <c r="J45" s="12"/>
      <c r="K45" s="12"/>
      <c r="L45" s="12"/>
      <c r="M45" s="12"/>
      <c r="N45" s="12"/>
    </row>
    <row r="46" spans="1:14" x14ac:dyDescent="0.25">
      <c r="A46" s="1005"/>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BA44"/>
  <sheetViews>
    <sheetView showGridLines="0" topLeftCell="O34" zoomScale="60" zoomScaleNormal="60" workbookViewId="0">
      <selection activeCell="T34" sqref="T34:V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9" width="18.140625" style="50" customWidth="1"/>
    <col min="20" max="22" width="21.1406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43"/>
      <c r="B1" s="446"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8"/>
      <c r="AB1" s="449" t="s">
        <v>1</v>
      </c>
      <c r="AC1" s="450"/>
      <c r="AD1" s="451"/>
    </row>
    <row r="2" spans="1:53" ht="30.75" customHeight="1" thickBot="1" x14ac:dyDescent="0.3">
      <c r="A2" s="444"/>
      <c r="B2" s="446" t="s">
        <v>97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470" t="s">
        <v>3</v>
      </c>
      <c r="AC2" s="471"/>
      <c r="AD2" s="472"/>
    </row>
    <row r="3" spans="1:53" ht="24" customHeight="1" x14ac:dyDescent="0.25">
      <c r="A3" s="444"/>
      <c r="B3" s="473" t="s">
        <v>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470" t="s">
        <v>5</v>
      </c>
      <c r="AC3" s="471"/>
      <c r="AD3" s="472"/>
    </row>
    <row r="4" spans="1:53" ht="21.95" customHeight="1" thickBot="1" x14ac:dyDescent="0.3">
      <c r="A4" s="445"/>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64" t="s">
        <v>7</v>
      </c>
      <c r="B7" s="465"/>
      <c r="C7" s="500" t="s">
        <v>8</v>
      </c>
      <c r="D7" s="464" t="s">
        <v>9</v>
      </c>
      <c r="E7" s="482"/>
      <c r="F7" s="482"/>
      <c r="G7" s="482"/>
      <c r="H7" s="465"/>
      <c r="I7" s="485">
        <v>45113</v>
      </c>
      <c r="J7" s="486"/>
      <c r="K7" s="464" t="s">
        <v>10</v>
      </c>
      <c r="L7" s="465"/>
      <c r="M7" s="456" t="s">
        <v>98</v>
      </c>
      <c r="N7" s="457"/>
      <c r="O7" s="458"/>
      <c r="P7" s="459"/>
      <c r="Q7" s="54"/>
      <c r="R7" s="54"/>
      <c r="S7" s="54"/>
      <c r="T7" s="54"/>
      <c r="U7" s="54"/>
      <c r="V7" s="54"/>
      <c r="W7" s="54"/>
      <c r="X7" s="54"/>
      <c r="Y7" s="54"/>
      <c r="Z7" s="55"/>
      <c r="AA7" s="54"/>
      <c r="AB7" s="54"/>
      <c r="AC7" s="60"/>
      <c r="AD7" s="61"/>
    </row>
    <row r="8" spans="1:53" ht="15" customHeight="1" x14ac:dyDescent="0.25">
      <c r="A8" s="466"/>
      <c r="B8" s="467"/>
      <c r="C8" s="501"/>
      <c r="D8" s="466"/>
      <c r="E8" s="483"/>
      <c r="F8" s="483"/>
      <c r="G8" s="483"/>
      <c r="H8" s="467"/>
      <c r="I8" s="487"/>
      <c r="J8" s="488"/>
      <c r="K8" s="466"/>
      <c r="L8" s="467"/>
      <c r="M8" s="460" t="s">
        <v>99</v>
      </c>
      <c r="N8" s="461"/>
      <c r="O8" s="462" t="s">
        <v>14</v>
      </c>
      <c r="P8" s="463"/>
      <c r="Q8" s="54"/>
      <c r="R8" s="54"/>
      <c r="S8" s="54"/>
      <c r="T8" s="54"/>
      <c r="U8" s="54"/>
      <c r="V8" s="54"/>
      <c r="W8" s="54"/>
      <c r="X8" s="54"/>
      <c r="Y8" s="54"/>
      <c r="Z8" s="55"/>
      <c r="AA8" s="54"/>
      <c r="AB8" s="54"/>
      <c r="AC8" s="60"/>
      <c r="AD8" s="61"/>
    </row>
    <row r="9" spans="1:53" ht="15.75" customHeight="1" thickBot="1" x14ac:dyDescent="0.3">
      <c r="A9" s="468"/>
      <c r="B9" s="469"/>
      <c r="C9" s="502"/>
      <c r="D9" s="468"/>
      <c r="E9" s="484"/>
      <c r="F9" s="484"/>
      <c r="G9" s="484"/>
      <c r="H9" s="469"/>
      <c r="I9" s="489"/>
      <c r="J9" s="490"/>
      <c r="K9" s="468"/>
      <c r="L9" s="469"/>
      <c r="M9" s="452" t="s">
        <v>13</v>
      </c>
      <c r="N9" s="453"/>
      <c r="O9" s="454" t="s">
        <v>14</v>
      </c>
      <c r="P9" s="455"/>
      <c r="Q9" s="54"/>
      <c r="R9" s="54"/>
      <c r="S9" s="54"/>
      <c r="T9" s="54"/>
      <c r="U9" s="54"/>
      <c r="V9" s="54"/>
      <c r="W9" s="54"/>
      <c r="X9" s="54"/>
      <c r="Y9" s="54"/>
      <c r="Z9" s="55"/>
      <c r="AA9" s="54"/>
      <c r="AB9" s="54"/>
      <c r="AC9" s="60"/>
      <c r="AD9" s="61"/>
    </row>
    <row r="10" spans="1:53"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64" t="s">
        <v>15</v>
      </c>
      <c r="B11" s="465"/>
      <c r="C11" s="491" t="s">
        <v>16</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3"/>
      <c r="BA11" s="327"/>
    </row>
    <row r="12" spans="1:53" ht="15" customHeight="1" x14ac:dyDescent="0.25">
      <c r="A12" s="466"/>
      <c r="B12" s="467"/>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6"/>
      <c r="BA12" s="327"/>
    </row>
    <row r="13" spans="1:53" ht="15" customHeight="1" thickBot="1" x14ac:dyDescent="0.3">
      <c r="A13" s="468"/>
      <c r="B13" s="469"/>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9"/>
      <c r="BA13" s="327"/>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7"/>
    </row>
    <row r="15" spans="1:53" ht="39" customHeight="1" thickBot="1" x14ac:dyDescent="0.3">
      <c r="A15" s="528" t="s">
        <v>17</v>
      </c>
      <c r="B15" s="529"/>
      <c r="C15" s="538" t="s">
        <v>18</v>
      </c>
      <c r="D15" s="539"/>
      <c r="E15" s="539"/>
      <c r="F15" s="539"/>
      <c r="G15" s="539"/>
      <c r="H15" s="539"/>
      <c r="I15" s="539"/>
      <c r="J15" s="539"/>
      <c r="K15" s="540"/>
      <c r="L15" s="503" t="s">
        <v>19</v>
      </c>
      <c r="M15" s="504"/>
      <c r="N15" s="504"/>
      <c r="O15" s="504"/>
      <c r="P15" s="504"/>
      <c r="Q15" s="505"/>
      <c r="R15" s="533" t="s">
        <v>20</v>
      </c>
      <c r="S15" s="534"/>
      <c r="T15" s="534"/>
      <c r="U15" s="534"/>
      <c r="V15" s="534"/>
      <c r="W15" s="534"/>
      <c r="X15" s="535"/>
      <c r="Y15" s="503" t="s">
        <v>21</v>
      </c>
      <c r="Z15" s="505"/>
      <c r="AA15" s="524" t="s">
        <v>22</v>
      </c>
      <c r="AB15" s="525"/>
      <c r="AC15" s="525"/>
      <c r="AD15" s="526"/>
      <c r="BA15" s="327"/>
    </row>
    <row r="16" spans="1:53" ht="105" customHeight="1" thickBot="1" x14ac:dyDescent="0.3">
      <c r="A16" s="59"/>
      <c r="B16" s="54"/>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73"/>
      <c r="AD16" s="74"/>
      <c r="AX16" s="388" t="s">
        <v>23</v>
      </c>
      <c r="BA16" s="327"/>
    </row>
    <row r="17" spans="1:53" s="76" customFormat="1" ht="37.5" customHeight="1" thickBot="1" x14ac:dyDescent="0.3">
      <c r="A17" s="528" t="s">
        <v>24</v>
      </c>
      <c r="B17" s="529"/>
      <c r="C17" s="530" t="s">
        <v>100</v>
      </c>
      <c r="D17" s="531"/>
      <c r="E17" s="531"/>
      <c r="F17" s="531"/>
      <c r="G17" s="531"/>
      <c r="H17" s="531"/>
      <c r="I17" s="531"/>
      <c r="J17" s="531"/>
      <c r="K17" s="531"/>
      <c r="L17" s="531"/>
      <c r="M17" s="531"/>
      <c r="N17" s="531"/>
      <c r="O17" s="531"/>
      <c r="P17" s="531"/>
      <c r="Q17" s="532"/>
      <c r="R17" s="503" t="s">
        <v>26</v>
      </c>
      <c r="S17" s="504"/>
      <c r="T17" s="504"/>
      <c r="U17" s="504"/>
      <c r="V17" s="505"/>
      <c r="W17" s="536">
        <v>13</v>
      </c>
      <c r="X17" s="537"/>
      <c r="Y17" s="504" t="s">
        <v>27</v>
      </c>
      <c r="Z17" s="504"/>
      <c r="AA17" s="504"/>
      <c r="AB17" s="505"/>
      <c r="AC17" s="514">
        <v>0.15</v>
      </c>
      <c r="AD17" s="515"/>
      <c r="AX17" s="387"/>
      <c r="BA17" s="328"/>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7"/>
    </row>
    <row r="19" spans="1:53" ht="32.1" customHeight="1" thickBot="1" x14ac:dyDescent="0.3">
      <c r="A19" s="503"/>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c r="BA19" s="327"/>
    </row>
    <row r="20" spans="1:53" ht="32.1" customHeight="1" thickBot="1" x14ac:dyDescent="0.3">
      <c r="A20" s="204"/>
      <c r="B20" s="58"/>
      <c r="C20" s="509" t="s">
        <v>29</v>
      </c>
      <c r="D20" s="510"/>
      <c r="E20" s="510"/>
      <c r="F20" s="510"/>
      <c r="G20" s="510"/>
      <c r="H20" s="510"/>
      <c r="I20" s="510"/>
      <c r="J20" s="510"/>
      <c r="K20" s="510"/>
      <c r="L20" s="510"/>
      <c r="M20" s="510"/>
      <c r="N20" s="510"/>
      <c r="O20" s="510"/>
      <c r="P20" s="511"/>
      <c r="Q20" s="506" t="s">
        <v>30</v>
      </c>
      <c r="R20" s="507"/>
      <c r="S20" s="507"/>
      <c r="T20" s="507"/>
      <c r="U20" s="507"/>
      <c r="V20" s="507"/>
      <c r="W20" s="507"/>
      <c r="X20" s="507"/>
      <c r="Y20" s="507"/>
      <c r="Z20" s="507"/>
      <c r="AA20" s="507"/>
      <c r="AB20" s="507"/>
      <c r="AC20" s="507"/>
      <c r="AD20" s="508"/>
      <c r="AE20" s="83"/>
      <c r="AF20" s="83"/>
      <c r="BA20" s="327"/>
    </row>
    <row r="21" spans="1:53" ht="32.1" customHeight="1" thickBot="1" x14ac:dyDescent="0.3">
      <c r="A21" s="205"/>
      <c r="B21" s="74"/>
      <c r="C21" s="353" t="s">
        <v>31</v>
      </c>
      <c r="D21" s="352" t="s">
        <v>32</v>
      </c>
      <c r="E21" s="352" t="s">
        <v>33</v>
      </c>
      <c r="F21" s="352" t="s">
        <v>34</v>
      </c>
      <c r="G21" s="352" t="s">
        <v>35</v>
      </c>
      <c r="H21" s="352" t="s">
        <v>8</v>
      </c>
      <c r="I21" s="352" t="s">
        <v>36</v>
      </c>
      <c r="J21" s="352" t="s">
        <v>37</v>
      </c>
      <c r="K21" s="352" t="s">
        <v>38</v>
      </c>
      <c r="L21" s="352" t="s">
        <v>39</v>
      </c>
      <c r="M21" s="352" t="s">
        <v>40</v>
      </c>
      <c r="N21" s="352" t="s">
        <v>41</v>
      </c>
      <c r="O21" s="352" t="s">
        <v>42</v>
      </c>
      <c r="P21" s="354" t="s">
        <v>43</v>
      </c>
      <c r="Q21" s="353" t="s">
        <v>31</v>
      </c>
      <c r="R21" s="352" t="s">
        <v>32</v>
      </c>
      <c r="S21" s="352" t="s">
        <v>33</v>
      </c>
      <c r="T21" s="352" t="s">
        <v>34</v>
      </c>
      <c r="U21" s="352" t="s">
        <v>35</v>
      </c>
      <c r="V21" s="352" t="s">
        <v>8</v>
      </c>
      <c r="W21" s="352" t="s">
        <v>36</v>
      </c>
      <c r="X21" s="352" t="s">
        <v>37</v>
      </c>
      <c r="Y21" s="352" t="s">
        <v>38</v>
      </c>
      <c r="Z21" s="352" t="s">
        <v>39</v>
      </c>
      <c r="AA21" s="352" t="s">
        <v>40</v>
      </c>
      <c r="AB21" s="352" t="s">
        <v>41</v>
      </c>
      <c r="AC21" s="352" t="s">
        <v>42</v>
      </c>
      <c r="AD21" s="354" t="s">
        <v>43</v>
      </c>
      <c r="AE21" s="3"/>
      <c r="AF21" s="3"/>
      <c r="BA21" s="327"/>
    </row>
    <row r="22" spans="1:53" ht="32.1" customHeight="1" x14ac:dyDescent="0.25">
      <c r="A22" s="512" t="s">
        <v>101</v>
      </c>
      <c r="B22" s="513"/>
      <c r="C22" s="355"/>
      <c r="D22" s="356"/>
      <c r="E22" s="356"/>
      <c r="F22" s="356"/>
      <c r="G22" s="356"/>
      <c r="H22" s="356"/>
      <c r="I22" s="356"/>
      <c r="J22" s="356"/>
      <c r="K22" s="356"/>
      <c r="L22" s="356"/>
      <c r="M22" s="356"/>
      <c r="N22" s="356"/>
      <c r="O22" s="356">
        <f>SUM(C22:N22)</f>
        <v>0</v>
      </c>
      <c r="P22" s="433"/>
      <c r="Q22" s="355">
        <v>187995600</v>
      </c>
      <c r="R22" s="356"/>
      <c r="S22" s="356"/>
      <c r="T22" s="356">
        <v>21559511</v>
      </c>
      <c r="U22" s="356"/>
      <c r="V22" s="356">
        <f>2445118+34249272-3569820</f>
        <v>33124570</v>
      </c>
      <c r="W22" s="356"/>
      <c r="X22" s="356"/>
      <c r="Y22" s="356"/>
      <c r="Z22" s="356"/>
      <c r="AA22" s="356"/>
      <c r="AB22" s="356"/>
      <c r="AC22" s="429">
        <f>SUM(Q22:AB22)</f>
        <v>242679681</v>
      </c>
      <c r="AD22" s="357"/>
      <c r="AE22" s="3"/>
      <c r="AF22" s="442" t="s">
        <v>102</v>
      </c>
      <c r="AG22" s="442"/>
      <c r="AH22" s="442"/>
      <c r="AI22" s="442"/>
      <c r="AJ22" s="442"/>
      <c r="AK22" s="442"/>
      <c r="AL22" s="442"/>
      <c r="AM22" s="442"/>
    </row>
    <row r="23" spans="1:53" ht="32.1" customHeight="1" x14ac:dyDescent="0.25">
      <c r="A23" s="520" t="s">
        <v>47</v>
      </c>
      <c r="B23" s="521"/>
      <c r="C23" s="175"/>
      <c r="D23" s="174"/>
      <c r="E23" s="174"/>
      <c r="F23" s="174"/>
      <c r="G23" s="174"/>
      <c r="H23" s="174"/>
      <c r="I23" s="174"/>
      <c r="J23" s="174"/>
      <c r="K23" s="174"/>
      <c r="L23" s="174"/>
      <c r="M23" s="174"/>
      <c r="N23" s="174"/>
      <c r="O23" s="174">
        <f>SUM(C23:N23)</f>
        <v>0</v>
      </c>
      <c r="P23" s="434"/>
      <c r="Q23" s="175">
        <v>48136000</v>
      </c>
      <c r="R23" s="174">
        <v>106411067</v>
      </c>
      <c r="S23" s="174">
        <v>29070932</v>
      </c>
      <c r="T23" s="174">
        <v>-3221999</v>
      </c>
      <c r="U23" s="174">
        <v>23423763</v>
      </c>
      <c r="V23" s="174">
        <v>11200000</v>
      </c>
      <c r="W23" s="174"/>
      <c r="X23" s="174"/>
      <c r="Y23" s="174"/>
      <c r="Z23" s="174"/>
      <c r="AA23" s="174"/>
      <c r="AB23" s="174"/>
      <c r="AC23" s="430">
        <f>SUM(Q23:AB23)</f>
        <v>215019763</v>
      </c>
      <c r="AD23" s="182">
        <f>+AC23/AC22</f>
        <v>0.88602293407497923</v>
      </c>
      <c r="AE23" s="3"/>
      <c r="AF23" s="442"/>
      <c r="AG23" s="442"/>
      <c r="AH23" s="442"/>
      <c r="AI23" s="442"/>
      <c r="AJ23" s="442"/>
      <c r="AK23" s="442"/>
      <c r="AL23" s="442"/>
      <c r="AM23" s="442"/>
    </row>
    <row r="24" spans="1:53" ht="32.1" customHeight="1" x14ac:dyDescent="0.25">
      <c r="A24" s="520" t="s">
        <v>103</v>
      </c>
      <c r="B24" s="521"/>
      <c r="C24" s="175">
        <v>19304538</v>
      </c>
      <c r="D24" s="174">
        <f>494400+543840+4505045</f>
        <v>5543285</v>
      </c>
      <c r="E24" s="174"/>
      <c r="F24" s="174"/>
      <c r="G24" s="174"/>
      <c r="H24" s="174">
        <v>-1</v>
      </c>
      <c r="I24" s="174"/>
      <c r="J24" s="174"/>
      <c r="K24" s="174"/>
      <c r="L24" s="174"/>
      <c r="M24" s="174"/>
      <c r="N24" s="174"/>
      <c r="O24" s="174">
        <f>SUM(C24:N24)</f>
        <v>24847822</v>
      </c>
      <c r="P24" s="178"/>
      <c r="Q24" s="175"/>
      <c r="R24" s="174">
        <v>7727600</v>
      </c>
      <c r="S24" s="174">
        <v>16388000</v>
      </c>
      <c r="T24" s="174">
        <v>16388000</v>
      </c>
      <c r="U24" s="174">
        <f>16388000+21559511</f>
        <v>37947511</v>
      </c>
      <c r="V24" s="174">
        <f>16388000-3569820</f>
        <v>12818180</v>
      </c>
      <c r="W24" s="174">
        <f>16388000+2445118+11416424</f>
        <v>30249542</v>
      </c>
      <c r="X24" s="174">
        <v>16388000</v>
      </c>
      <c r="Y24" s="174">
        <f>16388000+11416424</f>
        <v>27804424</v>
      </c>
      <c r="Z24" s="174">
        <v>16388000</v>
      </c>
      <c r="AA24" s="174">
        <f>16388000+11416424</f>
        <v>27804424</v>
      </c>
      <c r="AB24" s="174">
        <v>32776000</v>
      </c>
      <c r="AC24" s="213">
        <f>SUM(Q24:AB24)</f>
        <v>242679681</v>
      </c>
      <c r="AD24" s="182"/>
      <c r="AE24" s="3"/>
      <c r="AF24" s="442"/>
      <c r="AG24" s="442"/>
      <c r="AH24" s="442"/>
      <c r="AI24" s="442"/>
      <c r="AJ24" s="442"/>
      <c r="AK24" s="442"/>
      <c r="AL24" s="442"/>
      <c r="AM24" s="442"/>
    </row>
    <row r="25" spans="1:53" ht="32.1" customHeight="1" thickBot="1" x14ac:dyDescent="0.3">
      <c r="A25" s="522" t="s">
        <v>50</v>
      </c>
      <c r="B25" s="523"/>
      <c r="C25" s="358">
        <v>543840</v>
      </c>
      <c r="D25" s="176">
        <v>18760518</v>
      </c>
      <c r="E25" s="176" t="s">
        <v>51</v>
      </c>
      <c r="F25" s="176">
        <v>5151217</v>
      </c>
      <c r="G25" s="176">
        <v>0</v>
      </c>
      <c r="H25" s="176">
        <v>382120</v>
      </c>
      <c r="I25" s="176"/>
      <c r="J25" s="176"/>
      <c r="K25" s="176"/>
      <c r="L25" s="176"/>
      <c r="M25" s="176"/>
      <c r="N25" s="176"/>
      <c r="O25" s="176">
        <f>SUM(C25:N25)</f>
        <v>24837695</v>
      </c>
      <c r="P25" s="181">
        <f>+O25/O24</f>
        <v>0.99959243912806528</v>
      </c>
      <c r="Q25" s="358" t="s">
        <v>104</v>
      </c>
      <c r="R25" s="176">
        <v>1078933</v>
      </c>
      <c r="S25" s="176">
        <v>7823734</v>
      </c>
      <c r="T25" s="176">
        <v>13298133</v>
      </c>
      <c r="U25" s="176">
        <v>17920800</v>
      </c>
      <c r="V25" s="176">
        <v>17866933</v>
      </c>
      <c r="W25" s="176"/>
      <c r="X25" s="176"/>
      <c r="Y25" s="176"/>
      <c r="Z25" s="176"/>
      <c r="AA25" s="176"/>
      <c r="AB25" s="176"/>
      <c r="AC25" s="176">
        <f>SUM(Q25:AB25)</f>
        <v>57988533</v>
      </c>
      <c r="AD25" s="183">
        <f>+AC25/AC23</f>
        <v>0.26968931688386244</v>
      </c>
      <c r="AE25" s="3"/>
      <c r="AF25" s="442"/>
      <c r="AG25" s="442"/>
      <c r="AH25" s="442"/>
      <c r="AI25" s="442"/>
      <c r="AJ25" s="442"/>
      <c r="AK25" s="442"/>
      <c r="AL25" s="442"/>
      <c r="AM25" s="44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516" t="s">
        <v>53</v>
      </c>
      <c r="B27" s="517"/>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row>
    <row r="28" spans="1:53" ht="15" customHeight="1" x14ac:dyDescent="0.25">
      <c r="A28" s="541" t="s">
        <v>54</v>
      </c>
      <c r="B28" s="543" t="s">
        <v>55</v>
      </c>
      <c r="C28" s="544"/>
      <c r="D28" s="521" t="s">
        <v>56</v>
      </c>
      <c r="E28" s="547"/>
      <c r="F28" s="547"/>
      <c r="G28" s="547"/>
      <c r="H28" s="547"/>
      <c r="I28" s="547"/>
      <c r="J28" s="547"/>
      <c r="K28" s="547"/>
      <c r="L28" s="547"/>
      <c r="M28" s="547"/>
      <c r="N28" s="547"/>
      <c r="O28" s="548"/>
      <c r="P28" s="549" t="s">
        <v>42</v>
      </c>
      <c r="Q28" s="549" t="s">
        <v>57</v>
      </c>
      <c r="R28" s="549"/>
      <c r="S28" s="549"/>
      <c r="T28" s="549"/>
      <c r="U28" s="549"/>
      <c r="V28" s="549"/>
      <c r="W28" s="549"/>
      <c r="X28" s="549"/>
      <c r="Y28" s="549"/>
      <c r="Z28" s="549"/>
      <c r="AA28" s="549"/>
      <c r="AB28" s="549"/>
      <c r="AC28" s="549"/>
      <c r="AD28" s="550"/>
    </row>
    <row r="29" spans="1:53" ht="27" customHeight="1" x14ac:dyDescent="0.25">
      <c r="A29" s="542"/>
      <c r="B29" s="545"/>
      <c r="C29" s="546"/>
      <c r="D29" s="88" t="s">
        <v>31</v>
      </c>
      <c r="E29" s="88" t="s">
        <v>32</v>
      </c>
      <c r="F29" s="88" t="s">
        <v>33</v>
      </c>
      <c r="G29" s="88" t="s">
        <v>34</v>
      </c>
      <c r="H29" s="88" t="s">
        <v>35</v>
      </c>
      <c r="I29" s="88" t="s">
        <v>8</v>
      </c>
      <c r="J29" s="88" t="s">
        <v>36</v>
      </c>
      <c r="K29" s="88" t="s">
        <v>37</v>
      </c>
      <c r="L29" s="88" t="s">
        <v>38</v>
      </c>
      <c r="M29" s="88" t="s">
        <v>39</v>
      </c>
      <c r="N29" s="88" t="s">
        <v>40</v>
      </c>
      <c r="O29" s="88" t="s">
        <v>41</v>
      </c>
      <c r="P29" s="548"/>
      <c r="Q29" s="549"/>
      <c r="R29" s="549"/>
      <c r="S29" s="549"/>
      <c r="T29" s="549"/>
      <c r="U29" s="549"/>
      <c r="V29" s="549"/>
      <c r="W29" s="549"/>
      <c r="X29" s="549"/>
      <c r="Y29" s="549"/>
      <c r="Z29" s="549"/>
      <c r="AA29" s="549"/>
      <c r="AB29" s="549"/>
      <c r="AC29" s="549"/>
      <c r="AD29" s="550"/>
    </row>
    <row r="30" spans="1:53" ht="68.25" customHeight="1" thickBot="1" x14ac:dyDescent="0.3">
      <c r="A30" s="85" t="s">
        <v>105</v>
      </c>
      <c r="B30" s="551"/>
      <c r="C30" s="552"/>
      <c r="D30" s="89"/>
      <c r="E30" s="89"/>
      <c r="F30" s="295"/>
      <c r="G30" s="89"/>
      <c r="H30" s="89"/>
      <c r="I30" s="89"/>
      <c r="J30" s="89"/>
      <c r="K30" s="89"/>
      <c r="L30" s="89"/>
      <c r="M30" s="89"/>
      <c r="N30" s="89"/>
      <c r="O30" s="89"/>
      <c r="P30" s="86">
        <f>SUM(D30:O30)</f>
        <v>0</v>
      </c>
      <c r="Q30" s="553"/>
      <c r="R30" s="553"/>
      <c r="S30" s="553"/>
      <c r="T30" s="553"/>
      <c r="U30" s="553"/>
      <c r="V30" s="553"/>
      <c r="W30" s="553"/>
      <c r="X30" s="553"/>
      <c r="Y30" s="553"/>
      <c r="Z30" s="553"/>
      <c r="AA30" s="553"/>
      <c r="AB30" s="553"/>
      <c r="AC30" s="553"/>
      <c r="AD30" s="554"/>
    </row>
    <row r="31" spans="1:53" ht="45" customHeight="1" thickBot="1" x14ac:dyDescent="0.3">
      <c r="A31" s="555" t="s">
        <v>59</v>
      </c>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7"/>
    </row>
    <row r="32" spans="1:53" ht="23.1" customHeight="1" x14ac:dyDescent="0.25">
      <c r="A32" s="512" t="s">
        <v>60</v>
      </c>
      <c r="B32" s="558" t="s">
        <v>61</v>
      </c>
      <c r="C32" s="558" t="s">
        <v>55</v>
      </c>
      <c r="D32" s="558" t="s">
        <v>62</v>
      </c>
      <c r="E32" s="558"/>
      <c r="F32" s="558"/>
      <c r="G32" s="558"/>
      <c r="H32" s="558"/>
      <c r="I32" s="558"/>
      <c r="J32" s="558"/>
      <c r="K32" s="558"/>
      <c r="L32" s="558"/>
      <c r="M32" s="558"/>
      <c r="N32" s="558"/>
      <c r="O32" s="558"/>
      <c r="P32" s="513"/>
      <c r="Q32" s="512" t="s">
        <v>63</v>
      </c>
      <c r="R32" s="558"/>
      <c r="S32" s="558"/>
      <c r="T32" s="558"/>
      <c r="U32" s="558"/>
      <c r="V32" s="558"/>
      <c r="W32" s="558"/>
      <c r="X32" s="558"/>
      <c r="Y32" s="558"/>
      <c r="Z32" s="558"/>
      <c r="AA32" s="558"/>
      <c r="AB32" s="558"/>
      <c r="AC32" s="558"/>
      <c r="AD32" s="559"/>
      <c r="AG32" s="87"/>
      <c r="AH32" s="87"/>
      <c r="AI32" s="87"/>
      <c r="AJ32" s="87"/>
      <c r="AK32" s="87"/>
      <c r="AL32" s="87"/>
      <c r="AM32" s="87"/>
      <c r="AN32" s="87"/>
      <c r="AO32" s="87"/>
    </row>
    <row r="33" spans="1:41" ht="27" customHeight="1" x14ac:dyDescent="0.25">
      <c r="A33" s="522"/>
      <c r="B33" s="593"/>
      <c r="C33" s="656"/>
      <c r="D33" s="265" t="s">
        <v>31</v>
      </c>
      <c r="E33" s="265" t="s">
        <v>32</v>
      </c>
      <c r="F33" s="265" t="s">
        <v>33</v>
      </c>
      <c r="G33" s="265" t="s">
        <v>34</v>
      </c>
      <c r="H33" s="265" t="s">
        <v>35</v>
      </c>
      <c r="I33" s="265" t="s">
        <v>8</v>
      </c>
      <c r="J33" s="265" t="s">
        <v>36</v>
      </c>
      <c r="K33" s="265" t="s">
        <v>37</v>
      </c>
      <c r="L33" s="265" t="s">
        <v>38</v>
      </c>
      <c r="M33" s="265" t="s">
        <v>39</v>
      </c>
      <c r="N33" s="265" t="s">
        <v>40</v>
      </c>
      <c r="O33" s="265" t="s">
        <v>41</v>
      </c>
      <c r="P33" s="350" t="s">
        <v>42</v>
      </c>
      <c r="Q33" s="522" t="s">
        <v>64</v>
      </c>
      <c r="R33" s="593"/>
      <c r="S33" s="593"/>
      <c r="T33" s="593" t="s">
        <v>65</v>
      </c>
      <c r="U33" s="593"/>
      <c r="V33" s="593"/>
      <c r="W33" s="657" t="s">
        <v>106</v>
      </c>
      <c r="X33" s="510"/>
      <c r="Y33" s="510"/>
      <c r="Z33" s="658"/>
      <c r="AA33" s="657" t="s">
        <v>67</v>
      </c>
      <c r="AB33" s="510"/>
      <c r="AC33" s="510"/>
      <c r="AD33" s="511"/>
      <c r="AG33" s="87"/>
      <c r="AH33" s="87"/>
      <c r="AI33" s="87"/>
      <c r="AJ33" s="87"/>
      <c r="AK33" s="87"/>
      <c r="AL33" s="87"/>
      <c r="AM33" s="87"/>
      <c r="AN33" s="87"/>
      <c r="AO33" s="87"/>
    </row>
    <row r="34" spans="1:41" ht="126" customHeight="1" x14ac:dyDescent="0.25">
      <c r="A34" s="650" t="s">
        <v>105</v>
      </c>
      <c r="B34" s="651">
        <v>0.15</v>
      </c>
      <c r="C34" s="90" t="s">
        <v>68</v>
      </c>
      <c r="D34" s="300">
        <v>13</v>
      </c>
      <c r="E34" s="227">
        <v>13</v>
      </c>
      <c r="F34" s="227">
        <v>13</v>
      </c>
      <c r="G34" s="227">
        <v>13</v>
      </c>
      <c r="H34" s="227">
        <v>13</v>
      </c>
      <c r="I34" s="227">
        <v>13</v>
      </c>
      <c r="J34" s="227">
        <v>13</v>
      </c>
      <c r="K34" s="227">
        <v>13</v>
      </c>
      <c r="L34" s="227">
        <v>13</v>
      </c>
      <c r="M34" s="227">
        <v>13</v>
      </c>
      <c r="N34" s="227">
        <v>13</v>
      </c>
      <c r="O34" s="227">
        <v>13</v>
      </c>
      <c r="P34" s="369">
        <v>13</v>
      </c>
      <c r="Q34" s="653" t="s">
        <v>107</v>
      </c>
      <c r="R34" s="654"/>
      <c r="S34" s="655"/>
      <c r="T34" s="654" t="s">
        <v>108</v>
      </c>
      <c r="U34" s="654"/>
      <c r="V34" s="655"/>
      <c r="W34" s="566" t="s">
        <v>575</v>
      </c>
      <c r="X34" s="567"/>
      <c r="Y34" s="567"/>
      <c r="Z34" s="568"/>
      <c r="AA34" s="566" t="s">
        <v>109</v>
      </c>
      <c r="AB34" s="567"/>
      <c r="AC34" s="567"/>
      <c r="AD34" s="643"/>
      <c r="AG34" s="297"/>
      <c r="AH34" s="297"/>
      <c r="AI34" s="297"/>
      <c r="AJ34" s="87"/>
      <c r="AK34" s="87"/>
      <c r="AL34" s="87"/>
      <c r="AM34" s="87"/>
      <c r="AN34" s="87"/>
      <c r="AO34" s="87"/>
    </row>
    <row r="35" spans="1:41" ht="144.75" customHeight="1" x14ac:dyDescent="0.25">
      <c r="A35" s="650"/>
      <c r="B35" s="652"/>
      <c r="C35" s="261" t="s">
        <v>72</v>
      </c>
      <c r="D35" s="301">
        <v>13</v>
      </c>
      <c r="E35" s="301">
        <v>13</v>
      </c>
      <c r="F35" s="301">
        <v>13</v>
      </c>
      <c r="G35" s="301">
        <v>13</v>
      </c>
      <c r="H35" s="301">
        <v>13</v>
      </c>
      <c r="I35" s="301">
        <v>12</v>
      </c>
      <c r="J35" s="301"/>
      <c r="K35" s="301"/>
      <c r="L35" s="301"/>
      <c r="M35" s="301"/>
      <c r="N35" s="301"/>
      <c r="O35" s="301"/>
      <c r="P35" s="435">
        <f>AVERAGE(D35:I35)</f>
        <v>12.833333333333334</v>
      </c>
      <c r="Q35" s="653"/>
      <c r="R35" s="654"/>
      <c r="S35" s="655"/>
      <c r="T35" s="654"/>
      <c r="U35" s="654"/>
      <c r="V35" s="655"/>
      <c r="W35" s="566"/>
      <c r="X35" s="567"/>
      <c r="Y35" s="567"/>
      <c r="Z35" s="568"/>
      <c r="AA35" s="566"/>
      <c r="AB35" s="567"/>
      <c r="AC35" s="567"/>
      <c r="AD35" s="643"/>
      <c r="AE35" s="49"/>
      <c r="AG35" s="297"/>
      <c r="AH35" s="297"/>
      <c r="AI35" s="297"/>
      <c r="AJ35" s="87"/>
      <c r="AK35" s="87"/>
      <c r="AL35" s="87"/>
      <c r="AM35" s="87"/>
      <c r="AN35" s="87"/>
      <c r="AO35" s="87"/>
    </row>
    <row r="36" spans="1:41" ht="26.1" customHeight="1" x14ac:dyDescent="0.25">
      <c r="A36" s="512" t="s">
        <v>73</v>
      </c>
      <c r="B36" s="558" t="s">
        <v>74</v>
      </c>
      <c r="C36" s="561" t="s">
        <v>75</v>
      </c>
      <c r="D36" s="558"/>
      <c r="E36" s="558"/>
      <c r="F36" s="558"/>
      <c r="G36" s="558"/>
      <c r="H36" s="558"/>
      <c r="I36" s="558"/>
      <c r="J36" s="558"/>
      <c r="K36" s="558"/>
      <c r="L36" s="558"/>
      <c r="M36" s="558"/>
      <c r="N36" s="558"/>
      <c r="O36" s="558"/>
      <c r="P36" s="513"/>
      <c r="Q36" s="644"/>
      <c r="R36" s="645"/>
      <c r="S36" s="645"/>
      <c r="T36" s="645"/>
      <c r="U36" s="645"/>
      <c r="V36" s="645"/>
      <c r="W36" s="645"/>
      <c r="X36" s="645"/>
      <c r="Y36" s="645"/>
      <c r="Z36" s="645"/>
      <c r="AA36" s="645"/>
      <c r="AB36" s="645"/>
      <c r="AC36" s="645"/>
      <c r="AD36" s="646"/>
      <c r="AG36" s="297"/>
      <c r="AH36" s="297"/>
      <c r="AI36" s="297"/>
      <c r="AJ36" s="87"/>
      <c r="AK36" s="87"/>
      <c r="AL36" s="87"/>
      <c r="AM36" s="87"/>
      <c r="AN36" s="87"/>
      <c r="AO36" s="87"/>
    </row>
    <row r="37" spans="1:41" ht="26.1" customHeight="1" x14ac:dyDescent="0.25">
      <c r="A37" s="520"/>
      <c r="B37" s="549"/>
      <c r="C37" s="221" t="s">
        <v>77</v>
      </c>
      <c r="D37" s="88" t="s">
        <v>78</v>
      </c>
      <c r="E37" s="88" t="s">
        <v>79</v>
      </c>
      <c r="F37" s="88" t="s">
        <v>80</v>
      </c>
      <c r="G37" s="88" t="s">
        <v>81</v>
      </c>
      <c r="H37" s="88" t="s">
        <v>82</v>
      </c>
      <c r="I37" s="88" t="s">
        <v>83</v>
      </c>
      <c r="J37" s="88" t="s">
        <v>84</v>
      </c>
      <c r="K37" s="88" t="s">
        <v>85</v>
      </c>
      <c r="L37" s="88" t="s">
        <v>86</v>
      </c>
      <c r="M37" s="88" t="s">
        <v>87</v>
      </c>
      <c r="N37" s="88" t="s">
        <v>88</v>
      </c>
      <c r="O37" s="88" t="s">
        <v>89</v>
      </c>
      <c r="P37" s="349" t="s">
        <v>90</v>
      </c>
      <c r="Q37" s="647" t="s">
        <v>91</v>
      </c>
      <c r="R37" s="648"/>
      <c r="S37" s="648"/>
      <c r="T37" s="648"/>
      <c r="U37" s="648"/>
      <c r="V37" s="648"/>
      <c r="W37" s="648"/>
      <c r="X37" s="648"/>
      <c r="Y37" s="648"/>
      <c r="Z37" s="648"/>
      <c r="AA37" s="648"/>
      <c r="AB37" s="648"/>
      <c r="AC37" s="648"/>
      <c r="AD37" s="649"/>
      <c r="AG37" s="94"/>
      <c r="AH37" s="94"/>
      <c r="AI37" s="94"/>
      <c r="AJ37" s="94"/>
      <c r="AK37" s="94"/>
      <c r="AL37" s="94"/>
      <c r="AM37" s="94"/>
      <c r="AN37" s="94"/>
      <c r="AO37" s="94"/>
    </row>
    <row r="38" spans="1:41" ht="45" customHeight="1" x14ac:dyDescent="0.25">
      <c r="A38" s="635" t="s">
        <v>110</v>
      </c>
      <c r="B38" s="584">
        <v>0.05</v>
      </c>
      <c r="C38" s="224" t="s">
        <v>68</v>
      </c>
      <c r="D38" s="285">
        <v>0</v>
      </c>
      <c r="E38" s="285">
        <v>0.25</v>
      </c>
      <c r="F38" s="95">
        <v>0</v>
      </c>
      <c r="G38" s="95">
        <v>0</v>
      </c>
      <c r="H38" s="95">
        <v>0.25</v>
      </c>
      <c r="I38" s="95">
        <v>0</v>
      </c>
      <c r="J38" s="95">
        <v>0</v>
      </c>
      <c r="K38" s="95">
        <v>0.25</v>
      </c>
      <c r="L38" s="95">
        <v>0</v>
      </c>
      <c r="M38" s="95">
        <v>0</v>
      </c>
      <c r="N38" s="95">
        <v>0.25</v>
      </c>
      <c r="O38" s="95">
        <v>0</v>
      </c>
      <c r="P38" s="96">
        <f t="shared" ref="P38:P43" si="0">SUM(D38:O38)</f>
        <v>1</v>
      </c>
      <c r="Q38" s="637" t="s">
        <v>111</v>
      </c>
      <c r="R38" s="638"/>
      <c r="S38" s="638"/>
      <c r="T38" s="638"/>
      <c r="U38" s="638"/>
      <c r="V38" s="638"/>
      <c r="W38" s="638"/>
      <c r="X38" s="638"/>
      <c r="Y38" s="638"/>
      <c r="Z38" s="638"/>
      <c r="AA38" s="638"/>
      <c r="AB38" s="638"/>
      <c r="AC38" s="638"/>
      <c r="AD38" s="639"/>
      <c r="AE38" s="298"/>
      <c r="AG38" s="98"/>
      <c r="AH38" s="98"/>
      <c r="AI38" s="98"/>
      <c r="AJ38" s="98"/>
      <c r="AK38" s="98"/>
      <c r="AL38" s="98"/>
      <c r="AM38" s="98"/>
      <c r="AN38" s="98"/>
      <c r="AO38" s="98"/>
    </row>
    <row r="39" spans="1:41" ht="45" customHeight="1" x14ac:dyDescent="0.25">
      <c r="A39" s="636"/>
      <c r="B39" s="602"/>
      <c r="C39" s="225" t="s">
        <v>72</v>
      </c>
      <c r="D39" s="283">
        <v>0</v>
      </c>
      <c r="E39" s="283">
        <v>0.25</v>
      </c>
      <c r="F39" s="100">
        <v>0</v>
      </c>
      <c r="G39" s="100">
        <v>0</v>
      </c>
      <c r="H39" s="100">
        <v>0.23</v>
      </c>
      <c r="I39" s="100">
        <v>0.02</v>
      </c>
      <c r="J39" s="100"/>
      <c r="K39" s="100"/>
      <c r="L39" s="100"/>
      <c r="M39" s="100"/>
      <c r="N39" s="100"/>
      <c r="O39" s="100"/>
      <c r="P39" s="101">
        <f t="shared" si="0"/>
        <v>0.5</v>
      </c>
      <c r="Q39" s="640"/>
      <c r="R39" s="641"/>
      <c r="S39" s="641"/>
      <c r="T39" s="641"/>
      <c r="U39" s="641"/>
      <c r="V39" s="641"/>
      <c r="W39" s="641"/>
      <c r="X39" s="641"/>
      <c r="Y39" s="641"/>
      <c r="Z39" s="641"/>
      <c r="AA39" s="641"/>
      <c r="AB39" s="641"/>
      <c r="AC39" s="641"/>
      <c r="AD39" s="642"/>
      <c r="AE39" s="298"/>
    </row>
    <row r="40" spans="1:41" ht="67.5" customHeight="1" x14ac:dyDescent="0.25">
      <c r="A40" s="635" t="s">
        <v>112</v>
      </c>
      <c r="B40" s="584">
        <v>0.05</v>
      </c>
      <c r="C40" s="226" t="s">
        <v>68</v>
      </c>
      <c r="D40" s="286">
        <v>0</v>
      </c>
      <c r="E40" s="286">
        <v>0.17</v>
      </c>
      <c r="F40" s="103">
        <v>0</v>
      </c>
      <c r="G40" s="103">
        <v>0.16600000000000001</v>
      </c>
      <c r="H40" s="103">
        <v>0</v>
      </c>
      <c r="I40" s="103">
        <v>0.16600000000000001</v>
      </c>
      <c r="J40" s="103">
        <v>0</v>
      </c>
      <c r="K40" s="103">
        <v>0.16600000000000001</v>
      </c>
      <c r="L40" s="103">
        <v>0</v>
      </c>
      <c r="M40" s="103">
        <v>0.16600000000000001</v>
      </c>
      <c r="N40" s="103">
        <v>0</v>
      </c>
      <c r="O40" s="103">
        <v>0.16600000000000001</v>
      </c>
      <c r="P40" s="101">
        <f t="shared" si="0"/>
        <v>1</v>
      </c>
      <c r="Q40" s="637" t="s">
        <v>569</v>
      </c>
      <c r="R40" s="638"/>
      <c r="S40" s="638"/>
      <c r="T40" s="638"/>
      <c r="U40" s="638"/>
      <c r="V40" s="638"/>
      <c r="W40" s="638"/>
      <c r="X40" s="638"/>
      <c r="Y40" s="638"/>
      <c r="Z40" s="638"/>
      <c r="AA40" s="638"/>
      <c r="AB40" s="638"/>
      <c r="AC40" s="638"/>
      <c r="AD40" s="639"/>
      <c r="AE40" s="97"/>
    </row>
    <row r="41" spans="1:41" ht="45" customHeight="1" x14ac:dyDescent="0.25">
      <c r="A41" s="636"/>
      <c r="B41" s="602"/>
      <c r="C41" s="225" t="s">
        <v>72</v>
      </c>
      <c r="D41" s="283">
        <v>0</v>
      </c>
      <c r="E41" s="283">
        <v>0.17</v>
      </c>
      <c r="F41" s="296">
        <v>0.17</v>
      </c>
      <c r="G41" s="296">
        <v>0.16600000000000001</v>
      </c>
      <c r="H41" s="296">
        <v>0.1</v>
      </c>
      <c r="I41" s="296">
        <v>7.0000000000000007E-2</v>
      </c>
      <c r="J41" s="100"/>
      <c r="K41" s="100"/>
      <c r="L41" s="104"/>
      <c r="M41" s="104"/>
      <c r="N41" s="104"/>
      <c r="O41" s="104"/>
      <c r="P41" s="101">
        <f t="shared" si="0"/>
        <v>0.67599999999999993</v>
      </c>
      <c r="Q41" s="640"/>
      <c r="R41" s="641"/>
      <c r="S41" s="641"/>
      <c r="T41" s="641"/>
      <c r="U41" s="641"/>
      <c r="V41" s="641"/>
      <c r="W41" s="641"/>
      <c r="X41" s="641"/>
      <c r="Y41" s="641"/>
      <c r="Z41" s="641"/>
      <c r="AA41" s="641"/>
      <c r="AB41" s="641"/>
      <c r="AC41" s="641"/>
      <c r="AD41" s="642"/>
      <c r="AE41" s="97"/>
    </row>
    <row r="42" spans="1:41" ht="67.5" customHeight="1" x14ac:dyDescent="0.25">
      <c r="A42" s="627" t="s">
        <v>113</v>
      </c>
      <c r="B42" s="601">
        <v>0.05</v>
      </c>
      <c r="C42" s="102" t="s">
        <v>68</v>
      </c>
      <c r="D42" s="286">
        <v>0</v>
      </c>
      <c r="E42" s="286">
        <v>0</v>
      </c>
      <c r="F42" s="103">
        <v>0.5</v>
      </c>
      <c r="G42" s="103">
        <v>0</v>
      </c>
      <c r="H42" s="103">
        <v>0</v>
      </c>
      <c r="I42" s="103">
        <v>0</v>
      </c>
      <c r="J42" s="103">
        <v>0</v>
      </c>
      <c r="K42" s="103">
        <v>0</v>
      </c>
      <c r="L42" s="103">
        <v>0.5</v>
      </c>
      <c r="M42" s="103">
        <v>0</v>
      </c>
      <c r="N42" s="103">
        <v>0</v>
      </c>
      <c r="O42" s="103">
        <v>0</v>
      </c>
      <c r="P42" s="101">
        <f t="shared" si="0"/>
        <v>1</v>
      </c>
      <c r="Q42" s="629" t="s">
        <v>114</v>
      </c>
      <c r="R42" s="630"/>
      <c r="S42" s="630"/>
      <c r="T42" s="630"/>
      <c r="U42" s="630"/>
      <c r="V42" s="630"/>
      <c r="W42" s="630"/>
      <c r="X42" s="630"/>
      <c r="Y42" s="630"/>
      <c r="Z42" s="630"/>
      <c r="AA42" s="630"/>
      <c r="AB42" s="630"/>
      <c r="AC42" s="630"/>
      <c r="AD42" s="631"/>
      <c r="AE42" s="97"/>
    </row>
    <row r="43" spans="1:41" ht="45" customHeight="1" thickBot="1" x14ac:dyDescent="0.3">
      <c r="A43" s="628"/>
      <c r="B43" s="585"/>
      <c r="C43" s="91" t="s">
        <v>72</v>
      </c>
      <c r="D43" s="284">
        <v>0</v>
      </c>
      <c r="E43" s="284">
        <v>0.1</v>
      </c>
      <c r="F43" s="105">
        <v>0.4</v>
      </c>
      <c r="G43" s="105">
        <v>0</v>
      </c>
      <c r="H43" s="105">
        <v>0.25</v>
      </c>
      <c r="I43" s="105">
        <v>0.02</v>
      </c>
      <c r="J43" s="105"/>
      <c r="K43" s="105"/>
      <c r="L43" s="106"/>
      <c r="M43" s="106"/>
      <c r="N43" s="106"/>
      <c r="O43" s="106"/>
      <c r="P43" s="107">
        <f t="shared" si="0"/>
        <v>0.77</v>
      </c>
      <c r="Q43" s="632"/>
      <c r="R43" s="633"/>
      <c r="S43" s="633"/>
      <c r="T43" s="633"/>
      <c r="U43" s="633"/>
      <c r="V43" s="633"/>
      <c r="W43" s="633"/>
      <c r="X43" s="633"/>
      <c r="Y43" s="633"/>
      <c r="Z43" s="633"/>
      <c r="AA43" s="633"/>
      <c r="AB43" s="633"/>
      <c r="AC43" s="633"/>
      <c r="AD43" s="634"/>
      <c r="AE43" s="97"/>
    </row>
    <row r="44" spans="1:41" x14ac:dyDescent="0.25">
      <c r="A44" s="50" t="s">
        <v>95</v>
      </c>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3">
    <dataValidation type="list" allowBlank="1" showInputMessage="1" showErrorMessage="1" sqref="C7:C9" xr:uid="{9FE6E30C-ED7B-42B8-9790-219D8B2A6708}">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Q38:AD43 Q34 W34 AA34" xr:uid="{00000000-0002-0000-0100-000002000000}">
      <formula1>2000</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A98"/>
  <sheetViews>
    <sheetView showGridLines="0" topLeftCell="P33" zoomScale="60" zoomScaleNormal="60" workbookViewId="0">
      <selection activeCell="Q33" sqref="Q33:S3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43"/>
      <c r="B1" s="446"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8"/>
      <c r="AB1" s="449" t="s">
        <v>1</v>
      </c>
      <c r="AC1" s="450"/>
      <c r="AD1" s="451"/>
    </row>
    <row r="2" spans="1:53" ht="30.75" customHeight="1" thickBot="1" x14ac:dyDescent="0.3">
      <c r="A2" s="444"/>
      <c r="B2" s="446" t="s">
        <v>97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470" t="s">
        <v>3</v>
      </c>
      <c r="AC2" s="471"/>
      <c r="AD2" s="472"/>
    </row>
    <row r="3" spans="1:53" ht="24" customHeight="1" x14ac:dyDescent="0.25">
      <c r="A3" s="444"/>
      <c r="B3" s="473" t="s">
        <v>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470" t="s">
        <v>5</v>
      </c>
      <c r="AC3" s="471"/>
      <c r="AD3" s="472"/>
    </row>
    <row r="4" spans="1:53" ht="21.95" customHeight="1" thickBot="1" x14ac:dyDescent="0.3">
      <c r="A4" s="445"/>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64" t="s">
        <v>7</v>
      </c>
      <c r="B7" s="465"/>
      <c r="C7" s="500" t="s">
        <v>8</v>
      </c>
      <c r="D7" s="464" t="s">
        <v>9</v>
      </c>
      <c r="E7" s="482"/>
      <c r="F7" s="482"/>
      <c r="G7" s="482"/>
      <c r="H7" s="465"/>
      <c r="I7" s="485">
        <v>45113</v>
      </c>
      <c r="J7" s="486"/>
      <c r="K7" s="464" t="s">
        <v>10</v>
      </c>
      <c r="L7" s="465"/>
      <c r="M7" s="456" t="s">
        <v>98</v>
      </c>
      <c r="N7" s="457"/>
      <c r="O7" s="458"/>
      <c r="P7" s="459"/>
      <c r="Q7" s="54"/>
      <c r="R7" s="54"/>
      <c r="S7" s="54"/>
      <c r="T7" s="54"/>
      <c r="U7" s="54"/>
      <c r="V7" s="54"/>
      <c r="W7" s="54"/>
      <c r="X7" s="54"/>
      <c r="Y7" s="54"/>
      <c r="Z7" s="55"/>
      <c r="AA7" s="54"/>
      <c r="AB7" s="54"/>
      <c r="AC7" s="60"/>
      <c r="AD7" s="61"/>
    </row>
    <row r="8" spans="1:53" ht="15" customHeight="1" x14ac:dyDescent="0.25">
      <c r="A8" s="466"/>
      <c r="B8" s="467"/>
      <c r="C8" s="501"/>
      <c r="D8" s="466"/>
      <c r="E8" s="483"/>
      <c r="F8" s="483"/>
      <c r="G8" s="483"/>
      <c r="H8" s="467"/>
      <c r="I8" s="487"/>
      <c r="J8" s="488"/>
      <c r="K8" s="466"/>
      <c r="L8" s="467"/>
      <c r="M8" s="460" t="s">
        <v>99</v>
      </c>
      <c r="N8" s="461"/>
      <c r="O8" s="462" t="s">
        <v>14</v>
      </c>
      <c r="P8" s="463"/>
      <c r="Q8" s="54"/>
      <c r="R8" s="54"/>
      <c r="S8" s="54"/>
      <c r="T8" s="54"/>
      <c r="U8" s="54"/>
      <c r="V8" s="54"/>
      <c r="W8" s="54"/>
      <c r="X8" s="54"/>
      <c r="Y8" s="54"/>
      <c r="Z8" s="55"/>
      <c r="AA8" s="54"/>
      <c r="AB8" s="54"/>
      <c r="AC8" s="60"/>
      <c r="AD8" s="61"/>
    </row>
    <row r="9" spans="1:53" ht="15.75" customHeight="1" thickBot="1" x14ac:dyDescent="0.3">
      <c r="A9" s="468"/>
      <c r="B9" s="469"/>
      <c r="C9" s="502"/>
      <c r="D9" s="468"/>
      <c r="E9" s="484"/>
      <c r="F9" s="484"/>
      <c r="G9" s="484"/>
      <c r="H9" s="469"/>
      <c r="I9" s="489"/>
      <c r="J9" s="490"/>
      <c r="K9" s="468"/>
      <c r="L9" s="469"/>
      <c r="M9" s="452" t="s">
        <v>13</v>
      </c>
      <c r="N9" s="453"/>
      <c r="O9" s="454" t="s">
        <v>14</v>
      </c>
      <c r="P9" s="455"/>
      <c r="Q9" s="54"/>
      <c r="R9" s="54"/>
      <c r="S9" s="54"/>
      <c r="T9" s="54"/>
      <c r="U9" s="54"/>
      <c r="V9" s="54"/>
      <c r="W9" s="54"/>
      <c r="X9" s="54"/>
      <c r="Y9" s="54"/>
      <c r="Z9" s="55"/>
      <c r="AA9" s="54"/>
      <c r="AB9" s="54"/>
      <c r="AC9" s="60"/>
      <c r="AD9" s="61"/>
    </row>
    <row r="10" spans="1:53"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64" t="s">
        <v>15</v>
      </c>
      <c r="B11" s="465"/>
      <c r="C11" s="491" t="s">
        <v>16</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3"/>
      <c r="BA11" s="327"/>
    </row>
    <row r="12" spans="1:53" ht="15" customHeight="1" x14ac:dyDescent="0.25">
      <c r="A12" s="466"/>
      <c r="B12" s="467"/>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6"/>
      <c r="BA12" s="327"/>
    </row>
    <row r="13" spans="1:53" ht="15" customHeight="1" thickBot="1" x14ac:dyDescent="0.3">
      <c r="A13" s="468"/>
      <c r="B13" s="469"/>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9"/>
      <c r="BA13" s="327"/>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7"/>
    </row>
    <row r="15" spans="1:53" ht="39" customHeight="1" thickBot="1" x14ac:dyDescent="0.3">
      <c r="A15" s="528" t="s">
        <v>17</v>
      </c>
      <c r="B15" s="529"/>
      <c r="C15" s="538" t="s">
        <v>18</v>
      </c>
      <c r="D15" s="539"/>
      <c r="E15" s="539"/>
      <c r="F15" s="539"/>
      <c r="G15" s="539"/>
      <c r="H15" s="539"/>
      <c r="I15" s="539"/>
      <c r="J15" s="539"/>
      <c r="K15" s="540"/>
      <c r="L15" s="503" t="s">
        <v>19</v>
      </c>
      <c r="M15" s="504"/>
      <c r="N15" s="504"/>
      <c r="O15" s="504"/>
      <c r="P15" s="504"/>
      <c r="Q15" s="505"/>
      <c r="R15" s="533" t="s">
        <v>20</v>
      </c>
      <c r="S15" s="534"/>
      <c r="T15" s="534"/>
      <c r="U15" s="534"/>
      <c r="V15" s="534"/>
      <c r="W15" s="534"/>
      <c r="X15" s="535"/>
      <c r="Y15" s="503" t="s">
        <v>21</v>
      </c>
      <c r="Z15" s="505"/>
      <c r="AA15" s="524" t="s">
        <v>22</v>
      </c>
      <c r="AB15" s="525"/>
      <c r="AC15" s="525"/>
      <c r="AD15" s="526"/>
      <c r="BA15" s="327"/>
    </row>
    <row r="16" spans="1:53" ht="105" customHeight="1" thickBot="1" x14ac:dyDescent="0.3">
      <c r="A16" s="59"/>
      <c r="B16" s="54"/>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73"/>
      <c r="AD16" s="74"/>
      <c r="AX16" s="388" t="s">
        <v>23</v>
      </c>
      <c r="BA16" s="327"/>
    </row>
    <row r="17" spans="1:53" s="76" customFormat="1" ht="37.5" customHeight="1" thickBot="1" x14ac:dyDescent="0.3">
      <c r="A17" s="528" t="s">
        <v>24</v>
      </c>
      <c r="B17" s="529"/>
      <c r="C17" s="530" t="s">
        <v>115</v>
      </c>
      <c r="D17" s="531"/>
      <c r="E17" s="531"/>
      <c r="F17" s="531"/>
      <c r="G17" s="531"/>
      <c r="H17" s="531"/>
      <c r="I17" s="531"/>
      <c r="J17" s="531"/>
      <c r="K17" s="531"/>
      <c r="L17" s="531"/>
      <c r="M17" s="531"/>
      <c r="N17" s="531"/>
      <c r="O17" s="531"/>
      <c r="P17" s="531"/>
      <c r="Q17" s="532"/>
      <c r="R17" s="503" t="s">
        <v>26</v>
      </c>
      <c r="S17" s="504"/>
      <c r="T17" s="504"/>
      <c r="U17" s="504"/>
      <c r="V17" s="505"/>
      <c r="W17" s="691">
        <v>0.25</v>
      </c>
      <c r="X17" s="692"/>
      <c r="Y17" s="504" t="s">
        <v>27</v>
      </c>
      <c r="Z17" s="504"/>
      <c r="AA17" s="504"/>
      <c r="AB17" s="505"/>
      <c r="AC17" s="514">
        <v>0.15</v>
      </c>
      <c r="AD17" s="515"/>
      <c r="AX17" s="387"/>
      <c r="BA17" s="328"/>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7"/>
    </row>
    <row r="19" spans="1:53" ht="32.1" customHeight="1" thickBot="1" x14ac:dyDescent="0.3">
      <c r="A19" s="503" t="s">
        <v>28</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c r="BA19" s="327"/>
    </row>
    <row r="20" spans="1:53" ht="32.1" customHeight="1" thickBot="1" x14ac:dyDescent="0.3">
      <c r="A20" s="82"/>
      <c r="B20" s="60"/>
      <c r="C20" s="509" t="s">
        <v>29</v>
      </c>
      <c r="D20" s="510"/>
      <c r="E20" s="510"/>
      <c r="F20" s="510"/>
      <c r="G20" s="510"/>
      <c r="H20" s="510"/>
      <c r="I20" s="510"/>
      <c r="J20" s="510"/>
      <c r="K20" s="510"/>
      <c r="L20" s="510"/>
      <c r="M20" s="510"/>
      <c r="N20" s="510"/>
      <c r="O20" s="510"/>
      <c r="P20" s="511"/>
      <c r="Q20" s="506" t="s">
        <v>30</v>
      </c>
      <c r="R20" s="507"/>
      <c r="S20" s="507"/>
      <c r="T20" s="507"/>
      <c r="U20" s="507"/>
      <c r="V20" s="507"/>
      <c r="W20" s="507"/>
      <c r="X20" s="507"/>
      <c r="Y20" s="507"/>
      <c r="Z20" s="507"/>
      <c r="AA20" s="507"/>
      <c r="AB20" s="507"/>
      <c r="AC20" s="507"/>
      <c r="AD20" s="508"/>
      <c r="AE20" s="83"/>
      <c r="AF20" s="83"/>
      <c r="BA20" s="327"/>
    </row>
    <row r="21" spans="1:53" ht="32.1" customHeight="1" thickBot="1" x14ac:dyDescent="0.3">
      <c r="A21" s="59"/>
      <c r="B21" s="54"/>
      <c r="C21" s="353" t="s">
        <v>31</v>
      </c>
      <c r="D21" s="352" t="s">
        <v>32</v>
      </c>
      <c r="E21" s="352" t="s">
        <v>33</v>
      </c>
      <c r="F21" s="352" t="s">
        <v>34</v>
      </c>
      <c r="G21" s="352" t="s">
        <v>35</v>
      </c>
      <c r="H21" s="352" t="s">
        <v>8</v>
      </c>
      <c r="I21" s="352" t="s">
        <v>36</v>
      </c>
      <c r="J21" s="352" t="s">
        <v>37</v>
      </c>
      <c r="K21" s="352" t="s">
        <v>38</v>
      </c>
      <c r="L21" s="352" t="s">
        <v>39</v>
      </c>
      <c r="M21" s="352" t="s">
        <v>40</v>
      </c>
      <c r="N21" s="352" t="s">
        <v>41</v>
      </c>
      <c r="O21" s="352" t="s">
        <v>42</v>
      </c>
      <c r="P21" s="354" t="s">
        <v>43</v>
      </c>
      <c r="Q21" s="353" t="s">
        <v>31</v>
      </c>
      <c r="R21" s="352" t="s">
        <v>32</v>
      </c>
      <c r="S21" s="352" t="s">
        <v>33</v>
      </c>
      <c r="T21" s="352" t="s">
        <v>34</v>
      </c>
      <c r="U21" s="352" t="s">
        <v>35</v>
      </c>
      <c r="V21" s="352" t="s">
        <v>8</v>
      </c>
      <c r="W21" s="352" t="s">
        <v>36</v>
      </c>
      <c r="X21" s="352" t="s">
        <v>37</v>
      </c>
      <c r="Y21" s="352" t="s">
        <v>38</v>
      </c>
      <c r="Z21" s="352" t="s">
        <v>39</v>
      </c>
      <c r="AA21" s="352" t="s">
        <v>40</v>
      </c>
      <c r="AB21" s="352" t="s">
        <v>41</v>
      </c>
      <c r="AC21" s="352" t="s">
        <v>42</v>
      </c>
      <c r="AD21" s="354" t="s">
        <v>43</v>
      </c>
      <c r="AE21" s="3"/>
      <c r="AF21" s="3"/>
      <c r="BA21" s="327"/>
    </row>
    <row r="22" spans="1:53" ht="32.1" customHeight="1" x14ac:dyDescent="0.25">
      <c r="A22" s="512" t="s">
        <v>101</v>
      </c>
      <c r="B22" s="513"/>
      <c r="C22" s="355"/>
      <c r="D22" s="356"/>
      <c r="E22" s="356"/>
      <c r="F22" s="356"/>
      <c r="G22" s="356"/>
      <c r="H22" s="356"/>
      <c r="I22" s="356"/>
      <c r="J22" s="356"/>
      <c r="K22" s="356"/>
      <c r="L22" s="356"/>
      <c r="M22" s="356"/>
      <c r="N22" s="356"/>
      <c r="O22" s="356">
        <f>SUM(C22:N22)</f>
        <v>0</v>
      </c>
      <c r="P22" s="431"/>
      <c r="Q22" s="361">
        <v>2721220256</v>
      </c>
      <c r="R22" s="356"/>
      <c r="S22" s="356">
        <f>19186926+10126938+6986000</f>
        <v>36299864</v>
      </c>
      <c r="T22" s="356">
        <f>35000000+22500000+24639441</f>
        <v>82139441</v>
      </c>
      <c r="U22" s="356"/>
      <c r="V22" s="356">
        <f>2139478+39142026-89234435</f>
        <v>-47952931</v>
      </c>
      <c r="W22" s="356">
        <v>11893445</v>
      </c>
      <c r="X22" s="356"/>
      <c r="Y22" s="356"/>
      <c r="Z22" s="356"/>
      <c r="AA22" s="356"/>
      <c r="AB22" s="356"/>
      <c r="AC22" s="429">
        <f>SUM(Q22:AB22)</f>
        <v>2803600075</v>
      </c>
      <c r="AD22" s="357"/>
      <c r="AE22" s="3"/>
      <c r="AF22" s="442" t="s">
        <v>116</v>
      </c>
      <c r="AG22" s="442"/>
      <c r="AH22" s="442"/>
      <c r="AI22" s="442"/>
      <c r="AJ22" s="442"/>
      <c r="AK22" s="442"/>
      <c r="AL22" s="442"/>
      <c r="AM22" s="442"/>
    </row>
    <row r="23" spans="1:53" ht="32.1" customHeight="1" x14ac:dyDescent="0.25">
      <c r="A23" s="520" t="s">
        <v>47</v>
      </c>
      <c r="B23" s="521"/>
      <c r="C23" s="175"/>
      <c r="D23" s="174"/>
      <c r="E23" s="174"/>
      <c r="F23" s="174"/>
      <c r="G23" s="174"/>
      <c r="H23" s="174"/>
      <c r="I23" s="174"/>
      <c r="J23" s="174"/>
      <c r="K23" s="174"/>
      <c r="L23" s="174"/>
      <c r="M23" s="174"/>
      <c r="N23" s="174"/>
      <c r="O23" s="174">
        <f>SUM(C23:N23)</f>
        <v>0</v>
      </c>
      <c r="P23" s="432"/>
      <c r="Q23" s="359">
        <v>1095524494</v>
      </c>
      <c r="R23" s="174">
        <v>1268876251</v>
      </c>
      <c r="S23" s="174">
        <v>167072463</v>
      </c>
      <c r="T23" s="174">
        <v>-18748320</v>
      </c>
      <c r="U23" s="174">
        <v>51615203</v>
      </c>
      <c r="V23" s="174">
        <v>73453791</v>
      </c>
      <c r="W23" s="174"/>
      <c r="X23" s="174"/>
      <c r="Y23" s="174"/>
      <c r="Z23" s="174"/>
      <c r="AA23" s="174"/>
      <c r="AB23" s="174"/>
      <c r="AC23" s="430">
        <f>SUM(Q23:AB23)</f>
        <v>2637793882</v>
      </c>
      <c r="AD23" s="182">
        <f>+AC23/AC22</f>
        <v>0.94085954181607023</v>
      </c>
      <c r="AE23" s="3"/>
      <c r="AF23" s="442"/>
      <c r="AG23" s="442"/>
      <c r="AH23" s="442"/>
      <c r="AI23" s="442"/>
      <c r="AJ23" s="442"/>
      <c r="AK23" s="442"/>
      <c r="AL23" s="442"/>
      <c r="AM23" s="442"/>
    </row>
    <row r="24" spans="1:53" ht="32.1" customHeight="1" x14ac:dyDescent="0.25">
      <c r="A24" s="520" t="s">
        <v>103</v>
      </c>
      <c r="B24" s="521"/>
      <c r="C24" s="175">
        <f>25110243+698600+1646343+2010000+1804187+22062331</f>
        <v>53331704</v>
      </c>
      <c r="D24" s="174">
        <f>1749516+3375000+698600+1646343+2400000+500000+3750000+461423+1+735420+1420164+309000+1081500+735420+772500+772500+432600+475860+5148623</f>
        <v>26464470</v>
      </c>
      <c r="E24" s="174">
        <f>698600+1646343+2400000+500000+4956875</f>
        <v>10201818</v>
      </c>
      <c r="F24" s="174">
        <f>698600+1646343+2387790+500000+5038625</f>
        <v>10271358</v>
      </c>
      <c r="G24" s="174">
        <f>548900+1646343</f>
        <v>2195243</v>
      </c>
      <c r="H24" s="174">
        <f>1646343-120167</f>
        <v>1526176</v>
      </c>
      <c r="I24" s="174">
        <v>1049769</v>
      </c>
      <c r="J24" s="174"/>
      <c r="K24" s="174"/>
      <c r="L24" s="174"/>
      <c r="M24" s="174"/>
      <c r="N24" s="174">
        <v>3719997</v>
      </c>
      <c r="O24" s="213">
        <f>SUM(C24:N24)</f>
        <v>108760535</v>
      </c>
      <c r="P24" s="360"/>
      <c r="Q24" s="359"/>
      <c r="R24" s="174">
        <v>111139916</v>
      </c>
      <c r="S24" s="174">
        <v>224170940</v>
      </c>
      <c r="T24" s="174">
        <f>229320940+1918693+1646343+776223</f>
        <v>233662199</v>
      </c>
      <c r="U24" s="174">
        <f>229320940+1918693+3888889+2500000+1646343+24639441+776223</f>
        <v>264690529</v>
      </c>
      <c r="V24" s="174">
        <f>229320940+1918693+3888889+2500000+1646343+776222-89234435</f>
        <v>150816652</v>
      </c>
      <c r="W24" s="174">
        <f>229320940+1918693+2139478+3888889+2500000+741130+13047342+776222</f>
        <v>254332694</v>
      </c>
      <c r="X24" s="174">
        <f>244770940+1918693+3888889+2500000+741130+11893445+776222</f>
        <v>266489319</v>
      </c>
      <c r="Y24" s="174">
        <f>244770940+1918693+3888889+2500000+741130+13047342+776222</f>
        <v>267643216</v>
      </c>
      <c r="Z24" s="174">
        <f>244770940+1918692+3888889+2500000+741130+776222</f>
        <v>254595873</v>
      </c>
      <c r="AA24" s="174">
        <f>244770940+1918692+3888889+2500000+741130+13047342+776222</f>
        <v>267643215</v>
      </c>
      <c r="AB24" s="174">
        <f>489541880+3837384+7777777+5000000+1482259+776222</f>
        <v>508415522</v>
      </c>
      <c r="AC24" s="213">
        <f>SUM(Q24:AB24)</f>
        <v>2803600075</v>
      </c>
      <c r="AD24" s="182"/>
      <c r="AE24" s="3"/>
      <c r="AF24" s="442"/>
      <c r="AG24" s="442"/>
      <c r="AH24" s="442"/>
      <c r="AI24" s="442"/>
      <c r="AJ24" s="442"/>
      <c r="AK24" s="442"/>
      <c r="AL24" s="442"/>
      <c r="AM24" s="442"/>
    </row>
    <row r="25" spans="1:53" ht="32.1" customHeight="1" thickBot="1" x14ac:dyDescent="0.3">
      <c r="A25" s="522" t="s">
        <v>50</v>
      </c>
      <c r="B25" s="523"/>
      <c r="C25" s="358">
        <v>12332011</v>
      </c>
      <c r="D25" s="176">
        <v>39266779</v>
      </c>
      <c r="E25" s="176">
        <v>27153750</v>
      </c>
      <c r="F25" s="176">
        <v>11625441</v>
      </c>
      <c r="G25" s="176">
        <v>6967107</v>
      </c>
      <c r="H25" s="176">
        <v>3110643</v>
      </c>
      <c r="I25" s="176"/>
      <c r="J25" s="176"/>
      <c r="K25" s="176"/>
      <c r="L25" s="176"/>
      <c r="M25" s="176"/>
      <c r="N25" s="176"/>
      <c r="O25" s="176">
        <f>SUM(C25:N25)</f>
        <v>100455731</v>
      </c>
      <c r="P25" s="183">
        <f>+O25/O24</f>
        <v>0.92364138333817503</v>
      </c>
      <c r="Q25" s="362" t="s">
        <v>104</v>
      </c>
      <c r="R25" s="176">
        <v>18557067</v>
      </c>
      <c r="S25" s="176">
        <v>123898287</v>
      </c>
      <c r="T25" s="176">
        <v>234447104</v>
      </c>
      <c r="U25" s="176">
        <v>234493079</v>
      </c>
      <c r="V25" s="176">
        <v>251870794</v>
      </c>
      <c r="W25" s="176"/>
      <c r="X25" s="176"/>
      <c r="Y25" s="176"/>
      <c r="Z25" s="176"/>
      <c r="AA25" s="176"/>
      <c r="AB25" s="176"/>
      <c r="AC25" s="176">
        <f>SUM(Q25:AB25)</f>
        <v>863266331</v>
      </c>
      <c r="AD25" s="183">
        <f>+AC25/AC23</f>
        <v>0.32726830435494958</v>
      </c>
      <c r="AE25" s="3"/>
      <c r="AF25" s="442"/>
      <c r="AG25" s="442"/>
      <c r="AH25" s="442"/>
      <c r="AI25" s="442"/>
      <c r="AJ25" s="442"/>
      <c r="AK25" s="442"/>
      <c r="AL25" s="442"/>
      <c r="AM25" s="44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516" t="s">
        <v>53</v>
      </c>
      <c r="B27" s="517"/>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row>
    <row r="28" spans="1:53" ht="15" customHeight="1" x14ac:dyDescent="0.25">
      <c r="A28" s="541" t="s">
        <v>54</v>
      </c>
      <c r="B28" s="543" t="s">
        <v>55</v>
      </c>
      <c r="C28" s="544"/>
      <c r="D28" s="521" t="s">
        <v>56</v>
      </c>
      <c r="E28" s="547"/>
      <c r="F28" s="547"/>
      <c r="G28" s="547"/>
      <c r="H28" s="547"/>
      <c r="I28" s="547"/>
      <c r="J28" s="547"/>
      <c r="K28" s="547"/>
      <c r="L28" s="547"/>
      <c r="M28" s="547"/>
      <c r="N28" s="547"/>
      <c r="O28" s="548"/>
      <c r="P28" s="549" t="s">
        <v>42</v>
      </c>
      <c r="Q28" s="549" t="s">
        <v>57</v>
      </c>
      <c r="R28" s="549"/>
      <c r="S28" s="549"/>
      <c r="T28" s="549"/>
      <c r="U28" s="549"/>
      <c r="V28" s="549"/>
      <c r="W28" s="549"/>
      <c r="X28" s="549"/>
      <c r="Y28" s="549"/>
      <c r="Z28" s="549"/>
      <c r="AA28" s="549"/>
      <c r="AB28" s="549"/>
      <c r="AC28" s="549"/>
      <c r="AD28" s="550"/>
    </row>
    <row r="29" spans="1:53" ht="27" customHeight="1" x14ac:dyDescent="0.25">
      <c r="A29" s="542"/>
      <c r="B29" s="545"/>
      <c r="C29" s="546"/>
      <c r="D29" s="88" t="s">
        <v>31</v>
      </c>
      <c r="E29" s="88" t="s">
        <v>32</v>
      </c>
      <c r="F29" s="88" t="s">
        <v>33</v>
      </c>
      <c r="G29" s="88" t="s">
        <v>34</v>
      </c>
      <c r="H29" s="88" t="s">
        <v>35</v>
      </c>
      <c r="I29" s="88" t="s">
        <v>8</v>
      </c>
      <c r="J29" s="88" t="s">
        <v>36</v>
      </c>
      <c r="K29" s="88" t="s">
        <v>37</v>
      </c>
      <c r="L29" s="88" t="s">
        <v>38</v>
      </c>
      <c r="M29" s="88" t="s">
        <v>39</v>
      </c>
      <c r="N29" s="88" t="s">
        <v>40</v>
      </c>
      <c r="O29" s="88" t="s">
        <v>41</v>
      </c>
      <c r="P29" s="548"/>
      <c r="Q29" s="549"/>
      <c r="R29" s="549"/>
      <c r="S29" s="549"/>
      <c r="T29" s="549"/>
      <c r="U29" s="549"/>
      <c r="V29" s="549"/>
      <c r="W29" s="549"/>
      <c r="X29" s="549"/>
      <c r="Y29" s="549"/>
      <c r="Z29" s="549"/>
      <c r="AA29" s="549"/>
      <c r="AB29" s="549"/>
      <c r="AC29" s="549"/>
      <c r="AD29" s="550"/>
    </row>
    <row r="30" spans="1:53" ht="68.25" customHeight="1" thickBot="1" x14ac:dyDescent="0.3">
      <c r="A30" s="85" t="s">
        <v>117</v>
      </c>
      <c r="B30" s="551"/>
      <c r="C30" s="552"/>
      <c r="D30" s="89"/>
      <c r="E30" s="89"/>
      <c r="F30" s="89"/>
      <c r="G30" s="89"/>
      <c r="H30" s="89"/>
      <c r="I30" s="89"/>
      <c r="J30" s="89"/>
      <c r="K30" s="89"/>
      <c r="L30" s="89"/>
      <c r="M30" s="89"/>
      <c r="N30" s="89"/>
      <c r="O30" s="89"/>
      <c r="P30" s="86">
        <f>SUM(D30:O30)</f>
        <v>0</v>
      </c>
      <c r="Q30" s="553"/>
      <c r="R30" s="553"/>
      <c r="S30" s="553"/>
      <c r="T30" s="553"/>
      <c r="U30" s="553"/>
      <c r="V30" s="553"/>
      <c r="W30" s="553"/>
      <c r="X30" s="553"/>
      <c r="Y30" s="553"/>
      <c r="Z30" s="553"/>
      <c r="AA30" s="553"/>
      <c r="AB30" s="553"/>
      <c r="AC30" s="553"/>
      <c r="AD30" s="554"/>
    </row>
    <row r="31" spans="1:53" ht="45" customHeight="1" thickBot="1" x14ac:dyDescent="0.3">
      <c r="A31" s="555" t="s">
        <v>59</v>
      </c>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7"/>
    </row>
    <row r="32" spans="1:53" ht="23.1" customHeight="1" x14ac:dyDescent="0.25">
      <c r="A32" s="512" t="s">
        <v>60</v>
      </c>
      <c r="B32" s="558" t="s">
        <v>61</v>
      </c>
      <c r="C32" s="559" t="s">
        <v>55</v>
      </c>
      <c r="D32" s="561" t="s">
        <v>62</v>
      </c>
      <c r="E32" s="558"/>
      <c r="F32" s="558"/>
      <c r="G32" s="558"/>
      <c r="H32" s="558"/>
      <c r="I32" s="558"/>
      <c r="J32" s="558"/>
      <c r="K32" s="558"/>
      <c r="L32" s="558"/>
      <c r="M32" s="558"/>
      <c r="N32" s="558"/>
      <c r="O32" s="558"/>
      <c r="P32" s="513"/>
      <c r="Q32" s="512" t="s">
        <v>63</v>
      </c>
      <c r="R32" s="558"/>
      <c r="S32" s="558"/>
      <c r="T32" s="558"/>
      <c r="U32" s="558"/>
      <c r="V32" s="558"/>
      <c r="W32" s="558"/>
      <c r="X32" s="558"/>
      <c r="Y32" s="558"/>
      <c r="Z32" s="558"/>
      <c r="AA32" s="558"/>
      <c r="AB32" s="558"/>
      <c r="AC32" s="558"/>
      <c r="AD32" s="559"/>
      <c r="AG32" s="87"/>
      <c r="AH32" s="87"/>
      <c r="AI32" s="87"/>
      <c r="AJ32" s="87"/>
      <c r="AK32" s="87"/>
      <c r="AL32" s="87"/>
      <c r="AM32" s="87"/>
      <c r="AN32" s="87"/>
      <c r="AO32" s="87"/>
    </row>
    <row r="33" spans="1:41" ht="27" customHeight="1" thickBot="1" x14ac:dyDescent="0.3">
      <c r="A33" s="520"/>
      <c r="B33" s="549"/>
      <c r="C33" s="560"/>
      <c r="D33" s="274" t="s">
        <v>31</v>
      </c>
      <c r="E33" s="265" t="s">
        <v>32</v>
      </c>
      <c r="F33" s="265" t="s">
        <v>33</v>
      </c>
      <c r="G33" s="265" t="s">
        <v>34</v>
      </c>
      <c r="H33" s="265" t="s">
        <v>35</v>
      </c>
      <c r="I33" s="265" t="s">
        <v>8</v>
      </c>
      <c r="J33" s="265" t="s">
        <v>36</v>
      </c>
      <c r="K33" s="265" t="s">
        <v>37</v>
      </c>
      <c r="L33" s="265" t="s">
        <v>38</v>
      </c>
      <c r="M33" s="265" t="s">
        <v>39</v>
      </c>
      <c r="N33" s="265" t="s">
        <v>40</v>
      </c>
      <c r="O33" s="265" t="s">
        <v>41</v>
      </c>
      <c r="P33" s="350" t="s">
        <v>42</v>
      </c>
      <c r="Q33" s="681" t="s">
        <v>64</v>
      </c>
      <c r="R33" s="688"/>
      <c r="S33" s="688"/>
      <c r="T33" s="688" t="s">
        <v>65</v>
      </c>
      <c r="U33" s="688"/>
      <c r="V33" s="688"/>
      <c r="W33" s="689" t="s">
        <v>106</v>
      </c>
      <c r="X33" s="507"/>
      <c r="Y33" s="507"/>
      <c r="Z33" s="690"/>
      <c r="AA33" s="689" t="s">
        <v>67</v>
      </c>
      <c r="AB33" s="507"/>
      <c r="AC33" s="507"/>
      <c r="AD33" s="508"/>
      <c r="AG33" s="87"/>
      <c r="AH33" s="87"/>
      <c r="AI33" s="87"/>
      <c r="AJ33" s="87"/>
      <c r="AK33" s="87"/>
      <c r="AL33" s="87"/>
      <c r="AM33" s="87"/>
      <c r="AN33" s="87"/>
      <c r="AO33" s="87"/>
    </row>
    <row r="34" spans="1:41" ht="93" customHeight="1" x14ac:dyDescent="0.25">
      <c r="A34" s="684" t="s">
        <v>117</v>
      </c>
      <c r="B34" s="565">
        <v>0.15</v>
      </c>
      <c r="C34" s="276" t="s">
        <v>68</v>
      </c>
      <c r="D34" s="271">
        <f>D69</f>
        <v>0</v>
      </c>
      <c r="E34" s="272">
        <f t="shared" ref="E34:O34" si="0">E69</f>
        <v>3.2549383554408687E-2</v>
      </c>
      <c r="F34" s="272">
        <f t="shared" si="0"/>
        <v>3.2205698160472043E-2</v>
      </c>
      <c r="G34" s="272">
        <f t="shared" si="0"/>
        <v>3.2205698160472043E-2</v>
      </c>
      <c r="H34" s="272">
        <f t="shared" si="0"/>
        <v>1.5539031493805366E-2</v>
      </c>
      <c r="I34" s="272">
        <f t="shared" si="0"/>
        <v>1.5539031493805366E-2</v>
      </c>
      <c r="J34" s="272">
        <f t="shared" si="0"/>
        <v>3.2205698160472043E-2</v>
      </c>
      <c r="K34" s="272">
        <f t="shared" si="0"/>
        <v>1.5539031493805366E-2</v>
      </c>
      <c r="L34" s="272">
        <f t="shared" si="0"/>
        <v>3.2205698160472043E-2</v>
      </c>
      <c r="M34" s="272">
        <f t="shared" si="0"/>
        <v>1.5539031493805366E-2</v>
      </c>
      <c r="N34" s="272">
        <f t="shared" si="0"/>
        <v>1.5539031493805366E-2</v>
      </c>
      <c r="O34" s="273">
        <f t="shared" si="0"/>
        <v>1.0932666334676386E-2</v>
      </c>
      <c r="P34" s="293">
        <f>SUM(D34:O34)</f>
        <v>0.25000000000000006</v>
      </c>
      <c r="Q34" s="686" t="s">
        <v>118</v>
      </c>
      <c r="R34" s="679"/>
      <c r="S34" s="679"/>
      <c r="T34" s="687" t="s">
        <v>570</v>
      </c>
      <c r="U34" s="687"/>
      <c r="V34" s="687"/>
      <c r="W34" s="679" t="s">
        <v>566</v>
      </c>
      <c r="X34" s="679"/>
      <c r="Y34" s="679"/>
      <c r="Z34" s="679"/>
      <c r="AA34" s="679" t="s">
        <v>119</v>
      </c>
      <c r="AB34" s="679"/>
      <c r="AC34" s="679"/>
      <c r="AD34" s="680"/>
      <c r="AG34" s="87"/>
      <c r="AH34" s="87"/>
      <c r="AI34" s="87"/>
      <c r="AJ34" s="87"/>
      <c r="AK34" s="87"/>
      <c r="AL34" s="87"/>
      <c r="AM34" s="87"/>
      <c r="AN34" s="87"/>
      <c r="AO34" s="87"/>
    </row>
    <row r="35" spans="1:41" ht="93" customHeight="1" thickBot="1" x14ac:dyDescent="0.3">
      <c r="A35" s="685"/>
      <c r="B35" s="477"/>
      <c r="C35" s="270" t="s">
        <v>72</v>
      </c>
      <c r="D35" s="269">
        <f>D66</f>
        <v>0</v>
      </c>
      <c r="E35" s="259">
        <f t="shared" ref="E35:O35" si="1">E66</f>
        <v>3.2549383554408687E-2</v>
      </c>
      <c r="F35" s="259">
        <f t="shared" si="1"/>
        <v>3.2205698160472043E-2</v>
      </c>
      <c r="G35" s="259">
        <f t="shared" si="1"/>
        <v>2.3872364827138701E-2</v>
      </c>
      <c r="H35" s="259">
        <f t="shared" si="1"/>
        <v>3.2205698160472043E-2</v>
      </c>
      <c r="I35" s="259">
        <f t="shared" si="1"/>
        <v>3.2205698160472043E-2</v>
      </c>
      <c r="J35" s="259">
        <f t="shared" si="1"/>
        <v>0</v>
      </c>
      <c r="K35" s="259">
        <f t="shared" si="1"/>
        <v>0</v>
      </c>
      <c r="L35" s="259">
        <f t="shared" si="1"/>
        <v>0</v>
      </c>
      <c r="M35" s="259">
        <f t="shared" si="1"/>
        <v>0</v>
      </c>
      <c r="N35" s="259">
        <f t="shared" si="1"/>
        <v>0</v>
      </c>
      <c r="O35" s="260">
        <f t="shared" si="1"/>
        <v>0</v>
      </c>
      <c r="P35" s="294">
        <f>SUM(D35:O35)</f>
        <v>0.15303884286296351</v>
      </c>
      <c r="Q35" s="686"/>
      <c r="R35" s="679"/>
      <c r="S35" s="679"/>
      <c r="T35" s="687"/>
      <c r="U35" s="687"/>
      <c r="V35" s="687"/>
      <c r="W35" s="679"/>
      <c r="X35" s="679"/>
      <c r="Y35" s="679"/>
      <c r="Z35" s="679"/>
      <c r="AA35" s="679"/>
      <c r="AB35" s="679"/>
      <c r="AC35" s="679"/>
      <c r="AD35" s="680"/>
      <c r="AE35" s="49"/>
      <c r="AG35" s="87"/>
      <c r="AH35" s="87"/>
      <c r="AI35" s="87"/>
      <c r="AJ35" s="87"/>
      <c r="AK35" s="87"/>
      <c r="AL35" s="87"/>
      <c r="AM35" s="87"/>
      <c r="AN35" s="87"/>
      <c r="AO35" s="87"/>
    </row>
    <row r="36" spans="1:41" ht="26.1" customHeight="1" x14ac:dyDescent="0.25">
      <c r="A36" s="592" t="s">
        <v>73</v>
      </c>
      <c r="B36" s="682" t="s">
        <v>74</v>
      </c>
      <c r="C36" s="546" t="s">
        <v>75</v>
      </c>
      <c r="D36" s="558"/>
      <c r="E36" s="558"/>
      <c r="F36" s="558"/>
      <c r="G36" s="558"/>
      <c r="H36" s="558"/>
      <c r="I36" s="558"/>
      <c r="J36" s="558"/>
      <c r="K36" s="558"/>
      <c r="L36" s="558"/>
      <c r="M36" s="558"/>
      <c r="N36" s="558"/>
      <c r="O36" s="558"/>
      <c r="P36" s="513"/>
      <c r="Q36" s="542" t="s">
        <v>76</v>
      </c>
      <c r="R36" s="562"/>
      <c r="S36" s="562"/>
      <c r="T36" s="562"/>
      <c r="U36" s="562"/>
      <c r="V36" s="562"/>
      <c r="W36" s="562"/>
      <c r="X36" s="562"/>
      <c r="Y36" s="562"/>
      <c r="Z36" s="562"/>
      <c r="AA36" s="562"/>
      <c r="AB36" s="562"/>
      <c r="AC36" s="562"/>
      <c r="AD36" s="563"/>
      <c r="AG36" s="87"/>
      <c r="AH36" s="87"/>
      <c r="AI36" s="87"/>
      <c r="AJ36" s="87"/>
      <c r="AK36" s="87"/>
      <c r="AL36" s="87"/>
      <c r="AM36" s="87"/>
      <c r="AN36" s="87"/>
      <c r="AO36" s="87"/>
    </row>
    <row r="37" spans="1:41" ht="26.1" customHeight="1" thickBot="1" x14ac:dyDescent="0.3">
      <c r="A37" s="681"/>
      <c r="B37" s="683"/>
      <c r="C37" s="348" t="s">
        <v>77</v>
      </c>
      <c r="D37" s="351" t="s">
        <v>78</v>
      </c>
      <c r="E37" s="351" t="s">
        <v>79</v>
      </c>
      <c r="F37" s="351" t="s">
        <v>80</v>
      </c>
      <c r="G37" s="351" t="s">
        <v>81</v>
      </c>
      <c r="H37" s="351" t="s">
        <v>82</v>
      </c>
      <c r="I37" s="351" t="s">
        <v>83</v>
      </c>
      <c r="J37" s="351" t="s">
        <v>84</v>
      </c>
      <c r="K37" s="351" t="s">
        <v>85</v>
      </c>
      <c r="L37" s="351" t="s">
        <v>86</v>
      </c>
      <c r="M37" s="351" t="s">
        <v>87</v>
      </c>
      <c r="N37" s="351" t="s">
        <v>88</v>
      </c>
      <c r="O37" s="351" t="s">
        <v>89</v>
      </c>
      <c r="P37" s="347" t="s">
        <v>90</v>
      </c>
      <c r="Q37" s="597" t="s">
        <v>91</v>
      </c>
      <c r="R37" s="598"/>
      <c r="S37" s="598"/>
      <c r="T37" s="598"/>
      <c r="U37" s="598"/>
      <c r="V37" s="598"/>
      <c r="W37" s="598"/>
      <c r="X37" s="598"/>
      <c r="Y37" s="598"/>
      <c r="Z37" s="598"/>
      <c r="AA37" s="598"/>
      <c r="AB37" s="598"/>
      <c r="AC37" s="598"/>
      <c r="AD37" s="599"/>
      <c r="AG37" s="94"/>
      <c r="AH37" s="94"/>
      <c r="AI37" s="94"/>
      <c r="AJ37" s="94"/>
      <c r="AK37" s="94"/>
      <c r="AL37" s="94"/>
      <c r="AM37" s="94"/>
      <c r="AN37" s="94"/>
      <c r="AO37" s="94"/>
    </row>
    <row r="38" spans="1:41" ht="35.25" customHeight="1" x14ac:dyDescent="0.25">
      <c r="A38" s="667" t="s">
        <v>120</v>
      </c>
      <c r="B38" s="669">
        <v>0.05</v>
      </c>
      <c r="C38" s="364" t="s">
        <v>68</v>
      </c>
      <c r="D38" s="365">
        <v>0</v>
      </c>
      <c r="E38" s="365">
        <v>0.1</v>
      </c>
      <c r="F38" s="366">
        <v>9.5000000000000001E-2</v>
      </c>
      <c r="G38" s="366">
        <v>9.5000000000000001E-2</v>
      </c>
      <c r="H38" s="367">
        <v>9.5000000000000001E-2</v>
      </c>
      <c r="I38" s="367">
        <v>9.5000000000000001E-2</v>
      </c>
      <c r="J38" s="367">
        <v>9.5000000000000001E-2</v>
      </c>
      <c r="K38" s="367">
        <v>9.5000000000000001E-2</v>
      </c>
      <c r="L38" s="367">
        <v>9.5000000000000001E-2</v>
      </c>
      <c r="M38" s="367">
        <v>9.5000000000000001E-2</v>
      </c>
      <c r="N38" s="367">
        <v>9.5000000000000001E-2</v>
      </c>
      <c r="O38" s="367">
        <v>0.04</v>
      </c>
      <c r="P38" s="370">
        <f t="shared" ref="P38:P43" si="2">SUM(D38:O38)</f>
        <v>0.99499999999999988</v>
      </c>
      <c r="Q38" s="670" t="s">
        <v>564</v>
      </c>
      <c r="R38" s="671"/>
      <c r="S38" s="671"/>
      <c r="T38" s="671"/>
      <c r="U38" s="671"/>
      <c r="V38" s="671"/>
      <c r="W38" s="671"/>
      <c r="X38" s="671"/>
      <c r="Y38" s="671"/>
      <c r="Z38" s="671"/>
      <c r="AA38" s="671"/>
      <c r="AB38" s="671"/>
      <c r="AC38" s="671"/>
      <c r="AD38" s="672"/>
      <c r="AE38" s="97"/>
      <c r="AG38" s="98"/>
      <c r="AH38" s="98"/>
      <c r="AI38" s="98"/>
      <c r="AJ38" s="98"/>
      <c r="AK38" s="98"/>
      <c r="AL38" s="98"/>
      <c r="AM38" s="98"/>
      <c r="AN38" s="98"/>
      <c r="AO38" s="98"/>
    </row>
    <row r="39" spans="1:41" ht="35.25" customHeight="1" x14ac:dyDescent="0.25">
      <c r="A39" s="668"/>
      <c r="B39" s="602"/>
      <c r="C39" s="99" t="s">
        <v>72</v>
      </c>
      <c r="D39" s="287"/>
      <c r="E39" s="283">
        <v>0.1</v>
      </c>
      <c r="F39" s="283">
        <v>9.5000000000000001E-2</v>
      </c>
      <c r="G39" s="283">
        <v>9.5000000000000001E-2</v>
      </c>
      <c r="H39" s="283">
        <v>9.5000000000000001E-2</v>
      </c>
      <c r="I39" s="283">
        <v>9.5000000000000001E-2</v>
      </c>
      <c r="J39" s="283"/>
      <c r="K39" s="283"/>
      <c r="L39" s="283"/>
      <c r="M39" s="283"/>
      <c r="N39" s="283"/>
      <c r="O39" s="283"/>
      <c r="P39" s="101">
        <f t="shared" si="2"/>
        <v>0.48</v>
      </c>
      <c r="Q39" s="673"/>
      <c r="R39" s="674"/>
      <c r="S39" s="674"/>
      <c r="T39" s="674"/>
      <c r="U39" s="674"/>
      <c r="V39" s="674"/>
      <c r="W39" s="674"/>
      <c r="X39" s="674"/>
      <c r="Y39" s="674"/>
      <c r="Z39" s="674"/>
      <c r="AA39" s="674"/>
      <c r="AB39" s="674"/>
      <c r="AC39" s="674"/>
      <c r="AD39" s="675"/>
      <c r="AE39" s="97"/>
    </row>
    <row r="40" spans="1:41" ht="35.25" customHeight="1" x14ac:dyDescent="0.25">
      <c r="A40" s="659" t="s">
        <v>121</v>
      </c>
      <c r="B40" s="584">
        <v>0.05</v>
      </c>
      <c r="C40" s="102" t="s">
        <v>68</v>
      </c>
      <c r="D40" s="288">
        <v>0</v>
      </c>
      <c r="E40" s="288">
        <v>0.2</v>
      </c>
      <c r="F40" s="299">
        <v>0.2</v>
      </c>
      <c r="G40" s="299">
        <v>0.2</v>
      </c>
      <c r="H40" s="220">
        <v>0</v>
      </c>
      <c r="I40" s="220">
        <v>0</v>
      </c>
      <c r="J40" s="220">
        <v>0.2</v>
      </c>
      <c r="K40" s="220">
        <v>0</v>
      </c>
      <c r="L40" s="220">
        <v>0.2</v>
      </c>
      <c r="M40" s="220">
        <v>0</v>
      </c>
      <c r="N40" s="220">
        <v>0</v>
      </c>
      <c r="O40" s="220">
        <v>0</v>
      </c>
      <c r="P40" s="101">
        <f>SUM(D40:O40)</f>
        <v>1</v>
      </c>
      <c r="Q40" s="676" t="s">
        <v>565</v>
      </c>
      <c r="R40" s="677"/>
      <c r="S40" s="677"/>
      <c r="T40" s="677"/>
      <c r="U40" s="677"/>
      <c r="V40" s="677"/>
      <c r="W40" s="677"/>
      <c r="X40" s="677"/>
      <c r="Y40" s="677"/>
      <c r="Z40" s="677"/>
      <c r="AA40" s="677"/>
      <c r="AB40" s="677"/>
      <c r="AC40" s="677"/>
      <c r="AD40" s="678"/>
      <c r="AE40" s="97"/>
    </row>
    <row r="41" spans="1:41" ht="35.25" customHeight="1" x14ac:dyDescent="0.25">
      <c r="A41" s="668"/>
      <c r="B41" s="602"/>
      <c r="C41" s="99" t="s">
        <v>72</v>
      </c>
      <c r="D41" s="287"/>
      <c r="E41" s="283">
        <v>0.2</v>
      </c>
      <c r="F41" s="283">
        <v>0.2</v>
      </c>
      <c r="G41" s="283">
        <v>0.1</v>
      </c>
      <c r="H41" s="283">
        <v>0.2</v>
      </c>
      <c r="I41" s="283">
        <v>0.2</v>
      </c>
      <c r="J41" s="100"/>
      <c r="K41" s="100"/>
      <c r="L41" s="100"/>
      <c r="M41" s="100"/>
      <c r="N41" s="100"/>
      <c r="O41" s="100"/>
      <c r="P41" s="101">
        <f t="shared" si="2"/>
        <v>0.89999999999999991</v>
      </c>
      <c r="Q41" s="673"/>
      <c r="R41" s="674"/>
      <c r="S41" s="674"/>
      <c r="T41" s="674"/>
      <c r="U41" s="674"/>
      <c r="V41" s="674"/>
      <c r="W41" s="674"/>
      <c r="X41" s="674"/>
      <c r="Y41" s="674"/>
      <c r="Z41" s="674"/>
      <c r="AA41" s="674"/>
      <c r="AB41" s="674"/>
      <c r="AC41" s="674"/>
      <c r="AD41" s="675"/>
      <c r="AE41" s="97"/>
    </row>
    <row r="42" spans="1:41" ht="35.25" customHeight="1" x14ac:dyDescent="0.25">
      <c r="A42" s="659" t="s">
        <v>122</v>
      </c>
      <c r="B42" s="584">
        <v>0.05</v>
      </c>
      <c r="C42" s="102" t="s">
        <v>68</v>
      </c>
      <c r="D42" s="288">
        <v>0</v>
      </c>
      <c r="E42" s="288">
        <v>0.09</v>
      </c>
      <c r="F42" s="299">
        <v>9.0899999999999995E-2</v>
      </c>
      <c r="G42" s="299">
        <v>9.0899999999999995E-2</v>
      </c>
      <c r="H42" s="220">
        <v>9.0899999999999995E-2</v>
      </c>
      <c r="I42" s="220">
        <v>9.0899999999999995E-2</v>
      </c>
      <c r="J42" s="220">
        <v>9.0899999999999995E-2</v>
      </c>
      <c r="K42" s="220">
        <v>9.0899999999999995E-2</v>
      </c>
      <c r="L42" s="220">
        <v>9.0899999999999995E-2</v>
      </c>
      <c r="M42" s="220">
        <v>9.0899999999999995E-2</v>
      </c>
      <c r="N42" s="220">
        <v>9.0899999999999995E-2</v>
      </c>
      <c r="O42" s="220">
        <v>9.0899999999999995E-2</v>
      </c>
      <c r="P42" s="101">
        <f>SUM(D42:O42)</f>
        <v>0.99899999999999989</v>
      </c>
      <c r="Q42" s="661" t="s">
        <v>571</v>
      </c>
      <c r="R42" s="662"/>
      <c r="S42" s="662"/>
      <c r="T42" s="662"/>
      <c r="U42" s="662"/>
      <c r="V42" s="662"/>
      <c r="W42" s="662"/>
      <c r="X42" s="662"/>
      <c r="Y42" s="662"/>
      <c r="Z42" s="662"/>
      <c r="AA42" s="662"/>
      <c r="AB42" s="662"/>
      <c r="AC42" s="662"/>
      <c r="AD42" s="663"/>
      <c r="AE42" s="97"/>
    </row>
    <row r="43" spans="1:41" ht="35.25" customHeight="1" thickBot="1" x14ac:dyDescent="0.3">
      <c r="A43" s="660"/>
      <c r="B43" s="585"/>
      <c r="C43" s="91" t="s">
        <v>72</v>
      </c>
      <c r="D43" s="291"/>
      <c r="E43" s="284">
        <v>0.09</v>
      </c>
      <c r="F43" s="284">
        <v>9.0899999999999995E-2</v>
      </c>
      <c r="G43" s="284">
        <v>9.0899999999999995E-2</v>
      </c>
      <c r="H43" s="284">
        <v>9.0899999999999995E-2</v>
      </c>
      <c r="I43" s="284">
        <v>9.0899999999999995E-2</v>
      </c>
      <c r="J43" s="105"/>
      <c r="K43" s="105"/>
      <c r="L43" s="105"/>
      <c r="M43" s="105"/>
      <c r="N43" s="105"/>
      <c r="O43" s="105"/>
      <c r="P43" s="107">
        <f t="shared" si="2"/>
        <v>0.45359999999999995</v>
      </c>
      <c r="Q43" s="664"/>
      <c r="R43" s="665"/>
      <c r="S43" s="665"/>
      <c r="T43" s="665"/>
      <c r="U43" s="665"/>
      <c r="V43" s="665"/>
      <c r="W43" s="665"/>
      <c r="X43" s="665"/>
      <c r="Y43" s="665"/>
      <c r="Z43" s="665"/>
      <c r="AA43" s="665"/>
      <c r="AB43" s="665"/>
      <c r="AC43" s="665"/>
      <c r="AD43" s="666"/>
      <c r="AE43" s="97"/>
    </row>
    <row r="44" spans="1:41" x14ac:dyDescent="0.25">
      <c r="A44" s="50" t="s">
        <v>95</v>
      </c>
    </row>
    <row r="55" spans="1:30" x14ac:dyDescent="0.25">
      <c r="A55" s="613" t="s">
        <v>96</v>
      </c>
      <c r="B55" s="615" t="s">
        <v>74</v>
      </c>
      <c r="C55" s="617" t="s">
        <v>75</v>
      </c>
      <c r="D55" s="618"/>
      <c r="E55" s="618"/>
      <c r="F55" s="618"/>
      <c r="G55" s="618"/>
      <c r="H55" s="618"/>
      <c r="I55" s="618"/>
      <c r="J55" s="618"/>
      <c r="K55" s="618"/>
      <c r="L55" s="618"/>
      <c r="M55" s="618"/>
      <c r="N55" s="618"/>
      <c r="O55" s="618"/>
      <c r="P55" s="619"/>
      <c r="Q55" s="228"/>
      <c r="R55" s="228"/>
      <c r="S55" s="229"/>
      <c r="T55" s="229"/>
      <c r="U55" s="229"/>
      <c r="V55" s="229"/>
      <c r="W55" s="229"/>
      <c r="X55" s="229"/>
      <c r="Y55" s="229"/>
      <c r="Z55" s="229"/>
      <c r="AA55" s="229"/>
      <c r="AB55" s="229"/>
      <c r="AC55" s="229"/>
      <c r="AD55" s="229"/>
    </row>
    <row r="56" spans="1:30" ht="21" x14ac:dyDescent="0.25">
      <c r="A56" s="614"/>
      <c r="B56" s="616"/>
      <c r="C56" s="230" t="s">
        <v>77</v>
      </c>
      <c r="D56" s="230" t="s">
        <v>78</v>
      </c>
      <c r="E56" s="230" t="s">
        <v>79</v>
      </c>
      <c r="F56" s="230" t="s">
        <v>80</v>
      </c>
      <c r="G56" s="230" t="s">
        <v>81</v>
      </c>
      <c r="H56" s="230" t="s">
        <v>82</v>
      </c>
      <c r="I56" s="230" t="s">
        <v>83</v>
      </c>
      <c r="J56" s="230" t="s">
        <v>84</v>
      </c>
      <c r="K56" s="230" t="s">
        <v>85</v>
      </c>
      <c r="L56" s="230" t="s">
        <v>86</v>
      </c>
      <c r="M56" s="230" t="s">
        <v>87</v>
      </c>
      <c r="N56" s="230" t="s">
        <v>88</v>
      </c>
      <c r="O56" s="230" t="s">
        <v>89</v>
      </c>
      <c r="P56" s="230" t="s">
        <v>90</v>
      </c>
      <c r="Q56" s="228"/>
      <c r="R56" s="228"/>
      <c r="S56" s="229"/>
      <c r="T56" s="229"/>
      <c r="U56" s="229"/>
      <c r="V56" s="229"/>
      <c r="W56" s="229"/>
      <c r="X56" s="229"/>
      <c r="Y56" s="229"/>
      <c r="Z56" s="229"/>
      <c r="AA56" s="229"/>
      <c r="AB56" s="229"/>
      <c r="AC56" s="229"/>
      <c r="AD56" s="229"/>
    </row>
    <row r="57" spans="1:30" x14ac:dyDescent="0.25">
      <c r="A57" s="620" t="str">
        <f>A38</f>
        <v xml:space="preserve">6. Implementar actividades de difusión del programa de Sistema de Cuidado con ciudadanía y actores territoriales </v>
      </c>
      <c r="B57" s="622">
        <f>B38</f>
        <v>0.05</v>
      </c>
      <c r="C57" s="231" t="s">
        <v>68</v>
      </c>
      <c r="D57" s="232">
        <f>D38*$B$38/$P$38</f>
        <v>0</v>
      </c>
      <c r="E57" s="232">
        <f t="shared" ref="D57:O58" si="3">E38*$B$38/$P$38</f>
        <v>5.0251256281407053E-3</v>
      </c>
      <c r="F57" s="232">
        <f t="shared" si="3"/>
        <v>4.7738693467336696E-3</v>
      </c>
      <c r="G57" s="232">
        <f t="shared" si="3"/>
        <v>4.7738693467336696E-3</v>
      </c>
      <c r="H57" s="232">
        <f t="shared" si="3"/>
        <v>4.7738693467336696E-3</v>
      </c>
      <c r="I57" s="232">
        <f t="shared" si="3"/>
        <v>4.7738693467336696E-3</v>
      </c>
      <c r="J57" s="232">
        <f t="shared" si="3"/>
        <v>4.7738693467336696E-3</v>
      </c>
      <c r="K57" s="232">
        <f t="shared" si="3"/>
        <v>4.7738693467336696E-3</v>
      </c>
      <c r="L57" s="232">
        <f t="shared" si="3"/>
        <v>4.7738693467336696E-3</v>
      </c>
      <c r="M57" s="232">
        <f t="shared" si="3"/>
        <v>4.7738693467336696E-3</v>
      </c>
      <c r="N57" s="232">
        <f t="shared" si="3"/>
        <v>4.7738693467336696E-3</v>
      </c>
      <c r="O57" s="232">
        <f t="shared" si="3"/>
        <v>2.0100502512562816E-3</v>
      </c>
      <c r="P57" s="233">
        <f t="shared" ref="P57:P62" si="4">SUM(D57:O57)</f>
        <v>5.000000000000001E-2</v>
      </c>
      <c r="Q57" s="234">
        <v>0.05</v>
      </c>
      <c r="R57" s="235">
        <f t="shared" ref="R57:R65" si="5">+P57-Q57</f>
        <v>0</v>
      </c>
      <c r="S57" s="229"/>
      <c r="T57" s="229"/>
      <c r="U57" s="229"/>
      <c r="V57" s="229"/>
      <c r="W57" s="229"/>
      <c r="X57" s="229"/>
      <c r="Y57" s="229"/>
      <c r="Z57" s="229"/>
      <c r="AA57" s="229"/>
      <c r="AB57" s="229"/>
      <c r="AC57" s="229"/>
      <c r="AD57" s="229"/>
    </row>
    <row r="58" spans="1:30" x14ac:dyDescent="0.25">
      <c r="A58" s="621"/>
      <c r="B58" s="623"/>
      <c r="C58" s="236" t="s">
        <v>72</v>
      </c>
      <c r="D58" s="237">
        <f t="shared" si="3"/>
        <v>0</v>
      </c>
      <c r="E58" s="237">
        <f t="shared" si="3"/>
        <v>5.0251256281407053E-3</v>
      </c>
      <c r="F58" s="237">
        <f t="shared" si="3"/>
        <v>4.7738693467336696E-3</v>
      </c>
      <c r="G58" s="237">
        <f t="shared" si="3"/>
        <v>4.7738693467336696E-3</v>
      </c>
      <c r="H58" s="237">
        <f t="shared" si="3"/>
        <v>4.7738693467336696E-3</v>
      </c>
      <c r="I58" s="237">
        <f t="shared" si="3"/>
        <v>4.7738693467336696E-3</v>
      </c>
      <c r="J58" s="237">
        <f t="shared" si="3"/>
        <v>0</v>
      </c>
      <c r="K58" s="237">
        <f t="shared" si="3"/>
        <v>0</v>
      </c>
      <c r="L58" s="237">
        <f t="shared" si="3"/>
        <v>0</v>
      </c>
      <c r="M58" s="237">
        <f t="shared" si="3"/>
        <v>0</v>
      </c>
      <c r="N58" s="237">
        <f t="shared" si="3"/>
        <v>0</v>
      </c>
      <c r="O58" s="237">
        <f t="shared" si="3"/>
        <v>0</v>
      </c>
      <c r="P58" s="238">
        <f t="shared" si="4"/>
        <v>2.4120603015075383E-2</v>
      </c>
      <c r="Q58" s="239">
        <f>+P58</f>
        <v>2.4120603015075383E-2</v>
      </c>
      <c r="R58" s="235">
        <f t="shared" si="5"/>
        <v>0</v>
      </c>
      <c r="S58" s="229"/>
      <c r="T58" s="229"/>
      <c r="U58" s="229"/>
      <c r="V58" s="229"/>
      <c r="W58" s="229"/>
      <c r="X58" s="229"/>
      <c r="Y58" s="229"/>
      <c r="Z58" s="229"/>
      <c r="AA58" s="229"/>
      <c r="AB58" s="229"/>
      <c r="AC58" s="229"/>
      <c r="AD58" s="229"/>
    </row>
    <row r="59" spans="1:30" x14ac:dyDescent="0.25">
      <c r="A59" s="620" t="str">
        <f>A40</f>
        <v>7. Articular las acciones intersectoriales para la puesta en operación de cinco (5) manzanas del cuidado</v>
      </c>
      <c r="B59" s="625">
        <f>B40</f>
        <v>0.05</v>
      </c>
      <c r="C59" s="231" t="s">
        <v>68</v>
      </c>
      <c r="D59" s="232">
        <f t="shared" ref="D59:O60" si="6">D40*$B$40/$P$40</f>
        <v>0</v>
      </c>
      <c r="E59" s="232">
        <f t="shared" si="6"/>
        <v>1.0000000000000002E-2</v>
      </c>
      <c r="F59" s="232">
        <f t="shared" si="6"/>
        <v>1.0000000000000002E-2</v>
      </c>
      <c r="G59" s="232">
        <f t="shared" si="6"/>
        <v>1.0000000000000002E-2</v>
      </c>
      <c r="H59" s="232">
        <f t="shared" si="6"/>
        <v>0</v>
      </c>
      <c r="I59" s="232">
        <f t="shared" si="6"/>
        <v>0</v>
      </c>
      <c r="J59" s="232">
        <f t="shared" si="6"/>
        <v>1.0000000000000002E-2</v>
      </c>
      <c r="K59" s="232">
        <f t="shared" si="6"/>
        <v>0</v>
      </c>
      <c r="L59" s="232">
        <f t="shared" si="6"/>
        <v>1.0000000000000002E-2</v>
      </c>
      <c r="M59" s="232">
        <f t="shared" si="6"/>
        <v>0</v>
      </c>
      <c r="N59" s="232">
        <f t="shared" si="6"/>
        <v>0</v>
      </c>
      <c r="O59" s="232">
        <f t="shared" si="6"/>
        <v>0</v>
      </c>
      <c r="P59" s="233">
        <f t="shared" si="4"/>
        <v>5.000000000000001E-2</v>
      </c>
      <c r="Q59" s="234">
        <v>2.5000000000000001E-2</v>
      </c>
      <c r="R59" s="235">
        <f t="shared" si="5"/>
        <v>2.5000000000000008E-2</v>
      </c>
      <c r="S59" s="229"/>
      <c r="T59" s="229"/>
      <c r="U59" s="229"/>
      <c r="V59" s="229"/>
      <c r="W59" s="229"/>
      <c r="X59" s="229"/>
      <c r="Y59" s="229"/>
      <c r="Z59" s="229"/>
      <c r="AA59" s="229"/>
      <c r="AB59" s="229"/>
      <c r="AC59" s="229"/>
      <c r="AD59" s="229"/>
    </row>
    <row r="60" spans="1:30" x14ac:dyDescent="0.25">
      <c r="A60" s="624"/>
      <c r="B60" s="626"/>
      <c r="C60" s="236" t="s">
        <v>72</v>
      </c>
      <c r="D60" s="237">
        <f t="shared" si="6"/>
        <v>0</v>
      </c>
      <c r="E60" s="237">
        <f t="shared" si="6"/>
        <v>1.0000000000000002E-2</v>
      </c>
      <c r="F60" s="237">
        <f t="shared" si="6"/>
        <v>1.0000000000000002E-2</v>
      </c>
      <c r="G60" s="237">
        <f t="shared" si="6"/>
        <v>5.000000000000001E-3</v>
      </c>
      <c r="H60" s="237">
        <f t="shared" si="6"/>
        <v>1.0000000000000002E-2</v>
      </c>
      <c r="I60" s="237">
        <f t="shared" si="6"/>
        <v>1.0000000000000002E-2</v>
      </c>
      <c r="J60" s="237">
        <f t="shared" si="6"/>
        <v>0</v>
      </c>
      <c r="K60" s="237">
        <f t="shared" si="6"/>
        <v>0</v>
      </c>
      <c r="L60" s="237">
        <f t="shared" si="6"/>
        <v>0</v>
      </c>
      <c r="M60" s="237">
        <f t="shared" si="6"/>
        <v>0</v>
      </c>
      <c r="N60" s="237">
        <f t="shared" si="6"/>
        <v>0</v>
      </c>
      <c r="O60" s="237">
        <f t="shared" si="6"/>
        <v>0</v>
      </c>
      <c r="P60" s="238">
        <f t="shared" si="4"/>
        <v>4.5000000000000005E-2</v>
      </c>
      <c r="Q60" s="239">
        <f>+P60</f>
        <v>4.5000000000000005E-2</v>
      </c>
      <c r="R60" s="235">
        <f t="shared" si="5"/>
        <v>0</v>
      </c>
      <c r="S60" s="229"/>
      <c r="T60" s="229"/>
      <c r="U60" s="229"/>
      <c r="V60" s="229"/>
      <c r="W60" s="229"/>
      <c r="X60" s="229"/>
      <c r="Y60" s="229"/>
      <c r="Z60" s="229"/>
      <c r="AA60" s="229"/>
      <c r="AB60" s="229"/>
      <c r="AC60" s="229"/>
      <c r="AD60" s="229"/>
    </row>
    <row r="61" spans="1:30" x14ac:dyDescent="0.25">
      <c r="A61" s="620" t="str">
        <f>A42</f>
        <v>8. Convocar y gestionar las sesiones de las Mesas Locales de las Manzanas del Cuidado que se encuentran en funcionamiento</v>
      </c>
      <c r="B61" s="625">
        <f>B42</f>
        <v>0.05</v>
      </c>
      <c r="C61" s="231" t="s">
        <v>68</v>
      </c>
      <c r="D61" s="232">
        <f t="shared" ref="D61:O62" si="7">D42*$B$42/$P$42</f>
        <v>0</v>
      </c>
      <c r="E61" s="232">
        <f t="shared" si="7"/>
        <v>4.5045045045045045E-3</v>
      </c>
      <c r="F61" s="232">
        <f t="shared" si="7"/>
        <v>4.5495495495495499E-3</v>
      </c>
      <c r="G61" s="232">
        <f t="shared" si="7"/>
        <v>4.5495495495495499E-3</v>
      </c>
      <c r="H61" s="232">
        <f t="shared" si="7"/>
        <v>4.5495495495495499E-3</v>
      </c>
      <c r="I61" s="232">
        <f t="shared" si="7"/>
        <v>4.5495495495495499E-3</v>
      </c>
      <c r="J61" s="232">
        <f t="shared" si="7"/>
        <v>4.5495495495495499E-3</v>
      </c>
      <c r="K61" s="232">
        <f t="shared" si="7"/>
        <v>4.5495495495495499E-3</v>
      </c>
      <c r="L61" s="232">
        <f t="shared" si="7"/>
        <v>4.5495495495495499E-3</v>
      </c>
      <c r="M61" s="232">
        <f t="shared" si="7"/>
        <v>4.5495495495495499E-3</v>
      </c>
      <c r="N61" s="232">
        <f t="shared" si="7"/>
        <v>4.5495495495495499E-3</v>
      </c>
      <c r="O61" s="232">
        <f t="shared" si="7"/>
        <v>4.5495495495495499E-3</v>
      </c>
      <c r="P61" s="233">
        <f t="shared" si="4"/>
        <v>5.0000000000000017E-2</v>
      </c>
      <c r="Q61" s="234">
        <v>2.5000000000000001E-2</v>
      </c>
      <c r="R61" s="235">
        <f t="shared" si="5"/>
        <v>2.5000000000000015E-2</v>
      </c>
      <c r="S61" s="229"/>
      <c r="T61" s="229"/>
      <c r="U61" s="229"/>
      <c r="V61" s="229"/>
      <c r="W61" s="229"/>
      <c r="X61" s="229"/>
      <c r="Y61" s="229"/>
      <c r="Z61" s="229"/>
      <c r="AA61" s="229"/>
      <c r="AB61" s="229"/>
      <c r="AC61" s="229"/>
      <c r="AD61" s="229"/>
    </row>
    <row r="62" spans="1:30" x14ac:dyDescent="0.25">
      <c r="A62" s="624"/>
      <c r="B62" s="626"/>
      <c r="C62" s="236" t="s">
        <v>72</v>
      </c>
      <c r="D62" s="237">
        <f t="shared" si="7"/>
        <v>0</v>
      </c>
      <c r="E62" s="237">
        <f t="shared" si="7"/>
        <v>4.5045045045045045E-3</v>
      </c>
      <c r="F62" s="237">
        <f t="shared" si="7"/>
        <v>4.5495495495495499E-3</v>
      </c>
      <c r="G62" s="237">
        <f t="shared" si="7"/>
        <v>4.5495495495495499E-3</v>
      </c>
      <c r="H62" s="237">
        <f t="shared" si="7"/>
        <v>4.5495495495495499E-3</v>
      </c>
      <c r="I62" s="237">
        <f t="shared" si="7"/>
        <v>4.5495495495495499E-3</v>
      </c>
      <c r="J62" s="237">
        <f t="shared" si="7"/>
        <v>0</v>
      </c>
      <c r="K62" s="237">
        <f t="shared" si="7"/>
        <v>0</v>
      </c>
      <c r="L62" s="237">
        <f t="shared" si="7"/>
        <v>0</v>
      </c>
      <c r="M62" s="237">
        <f t="shared" si="7"/>
        <v>0</v>
      </c>
      <c r="N62" s="237">
        <f t="shared" si="7"/>
        <v>0</v>
      </c>
      <c r="O62" s="237">
        <f t="shared" si="7"/>
        <v>0</v>
      </c>
      <c r="P62" s="238">
        <f t="shared" si="4"/>
        <v>2.2702702702702707E-2</v>
      </c>
      <c r="Q62" s="239">
        <f>+P62</f>
        <v>2.2702702702702707E-2</v>
      </c>
      <c r="R62" s="235">
        <f t="shared" si="5"/>
        <v>0</v>
      </c>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D58+D60+D62</f>
        <v>0</v>
      </c>
      <c r="E65" s="250">
        <f t="shared" ref="E65:O65" si="8">E58+E60+E62</f>
        <v>1.952963013264521E-2</v>
      </c>
      <c r="F65" s="250">
        <f t="shared" si="8"/>
        <v>1.9323418896283223E-2</v>
      </c>
      <c r="G65" s="250">
        <f t="shared" si="8"/>
        <v>1.432341889628322E-2</v>
      </c>
      <c r="H65" s="250">
        <f t="shared" si="8"/>
        <v>1.9323418896283223E-2</v>
      </c>
      <c r="I65" s="250">
        <f t="shared" si="8"/>
        <v>1.9323418896283223E-2</v>
      </c>
      <c r="J65" s="250">
        <f t="shared" si="8"/>
        <v>0</v>
      </c>
      <c r="K65" s="250">
        <f t="shared" si="8"/>
        <v>0</v>
      </c>
      <c r="L65" s="250">
        <f t="shared" si="8"/>
        <v>0</v>
      </c>
      <c r="M65" s="250">
        <f t="shared" si="8"/>
        <v>0</v>
      </c>
      <c r="N65" s="250">
        <f t="shared" si="8"/>
        <v>0</v>
      </c>
      <c r="O65" s="250">
        <f t="shared" si="8"/>
        <v>0</v>
      </c>
      <c r="P65" s="250">
        <f>P58+P60+P62</f>
        <v>9.1823305717778095E-2</v>
      </c>
      <c r="Q65" s="228"/>
      <c r="R65" s="235">
        <f t="shared" si="5"/>
        <v>9.1823305717778095E-2</v>
      </c>
      <c r="S65" s="229"/>
      <c r="T65" s="229"/>
      <c r="U65" s="229"/>
      <c r="V65" s="229"/>
      <c r="W65" s="229"/>
      <c r="X65" s="229"/>
      <c r="Y65" s="229"/>
      <c r="Z65" s="229"/>
      <c r="AA65" s="229"/>
      <c r="AB65" s="229"/>
      <c r="AC65" s="229"/>
      <c r="AD65" s="229"/>
    </row>
    <row r="66" spans="1:30" x14ac:dyDescent="0.25">
      <c r="A66" s="228"/>
      <c r="B66" s="251"/>
      <c r="C66" s="252" t="s">
        <v>72</v>
      </c>
      <c r="D66" s="253">
        <f>D65*$W$17/$B$34</f>
        <v>0</v>
      </c>
      <c r="E66" s="253">
        <f t="shared" ref="E66:O66" si="9">E65*$W$17/$B$34</f>
        <v>3.2549383554408687E-2</v>
      </c>
      <c r="F66" s="253">
        <f t="shared" si="9"/>
        <v>3.2205698160472043E-2</v>
      </c>
      <c r="G66" s="253">
        <f t="shared" si="9"/>
        <v>2.3872364827138701E-2</v>
      </c>
      <c r="H66" s="253">
        <f t="shared" si="9"/>
        <v>3.2205698160472043E-2</v>
      </c>
      <c r="I66" s="253">
        <f t="shared" si="9"/>
        <v>3.2205698160472043E-2</v>
      </c>
      <c r="J66" s="253">
        <f t="shared" si="9"/>
        <v>0</v>
      </c>
      <c r="K66" s="253">
        <f t="shared" si="9"/>
        <v>0</v>
      </c>
      <c r="L66" s="253">
        <f t="shared" si="9"/>
        <v>0</v>
      </c>
      <c r="M66" s="253">
        <f t="shared" si="9"/>
        <v>0</v>
      </c>
      <c r="N66" s="253">
        <f t="shared" si="9"/>
        <v>0</v>
      </c>
      <c r="O66" s="253">
        <f t="shared" si="9"/>
        <v>0</v>
      </c>
      <c r="P66" s="254">
        <f>SUM(D66:O66)</f>
        <v>0.15303884286296351</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 t="shared" ref="D68:P68" si="10">+D57+D59+D61</f>
        <v>0</v>
      </c>
      <c r="E68" s="250">
        <f t="shared" si="10"/>
        <v>1.952963013264521E-2</v>
      </c>
      <c r="F68" s="250">
        <f t="shared" si="10"/>
        <v>1.9323418896283223E-2</v>
      </c>
      <c r="G68" s="250">
        <f t="shared" si="10"/>
        <v>1.9323418896283223E-2</v>
      </c>
      <c r="H68" s="250">
        <f t="shared" si="10"/>
        <v>9.3234188962832195E-3</v>
      </c>
      <c r="I68" s="250">
        <f t="shared" si="10"/>
        <v>9.3234188962832195E-3</v>
      </c>
      <c r="J68" s="250">
        <f t="shared" si="10"/>
        <v>1.9323418896283223E-2</v>
      </c>
      <c r="K68" s="250">
        <f t="shared" si="10"/>
        <v>9.3234188962832195E-3</v>
      </c>
      <c r="L68" s="250">
        <f t="shared" si="10"/>
        <v>1.9323418896283223E-2</v>
      </c>
      <c r="M68" s="250">
        <f t="shared" si="10"/>
        <v>9.3234188962832195E-3</v>
      </c>
      <c r="N68" s="250">
        <f t="shared" si="10"/>
        <v>9.3234188962832195E-3</v>
      </c>
      <c r="O68" s="250">
        <f t="shared" si="10"/>
        <v>6.5595998008058315E-3</v>
      </c>
      <c r="P68" s="250">
        <f t="shared" si="10"/>
        <v>0.15000000000000002</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11">D68*$W$17/$B$34</f>
        <v>0</v>
      </c>
      <c r="E69" s="253">
        <f t="shared" si="11"/>
        <v>3.2549383554408687E-2</v>
      </c>
      <c r="F69" s="253">
        <f t="shared" si="11"/>
        <v>3.2205698160472043E-2</v>
      </c>
      <c r="G69" s="253">
        <f t="shared" si="11"/>
        <v>3.2205698160472043E-2</v>
      </c>
      <c r="H69" s="253">
        <f t="shared" si="11"/>
        <v>1.5539031493805366E-2</v>
      </c>
      <c r="I69" s="253">
        <f t="shared" si="11"/>
        <v>1.5539031493805366E-2</v>
      </c>
      <c r="J69" s="253">
        <f t="shared" si="11"/>
        <v>3.2205698160472043E-2</v>
      </c>
      <c r="K69" s="253">
        <f t="shared" si="11"/>
        <v>1.5539031493805366E-2</v>
      </c>
      <c r="L69" s="253">
        <f t="shared" si="11"/>
        <v>3.2205698160472043E-2</v>
      </c>
      <c r="M69" s="253">
        <f t="shared" si="11"/>
        <v>1.5539031493805366E-2</v>
      </c>
      <c r="N69" s="253">
        <f t="shared" si="11"/>
        <v>1.5539031493805366E-2</v>
      </c>
      <c r="O69" s="253">
        <f t="shared" si="11"/>
        <v>1.0932666334676386E-2</v>
      </c>
      <c r="P69" s="254">
        <f>SUM(D69:O69)</f>
        <v>0.25000000000000006</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row r="75" spans="1:30" x14ac:dyDescent="0.25">
      <c r="A75" s="229"/>
      <c r="Q75" s="229"/>
      <c r="R75" s="229"/>
      <c r="S75" s="229"/>
      <c r="T75" s="229"/>
      <c r="U75" s="229"/>
      <c r="V75" s="229"/>
      <c r="W75" s="229"/>
      <c r="X75" s="229"/>
      <c r="Y75" s="229"/>
      <c r="Z75" s="229"/>
      <c r="AA75" s="229"/>
      <c r="AB75" s="229"/>
      <c r="AC75" s="229"/>
      <c r="AD75" s="229"/>
    </row>
    <row r="76" spans="1:30" x14ac:dyDescent="0.25">
      <c r="A76" s="229"/>
      <c r="Q76" s="229"/>
      <c r="R76" s="229"/>
      <c r="S76" s="229"/>
      <c r="T76" s="229"/>
      <c r="U76" s="229"/>
      <c r="V76" s="229"/>
      <c r="W76" s="229"/>
      <c r="X76" s="229"/>
      <c r="Y76" s="229"/>
      <c r="Z76" s="229"/>
      <c r="AA76" s="229"/>
      <c r="AB76" s="229"/>
      <c r="AC76" s="229"/>
      <c r="AD76" s="229"/>
    </row>
    <row r="77" spans="1:30" x14ac:dyDescent="0.25">
      <c r="A77" s="229"/>
      <c r="Q77" s="229"/>
      <c r="R77" s="229"/>
      <c r="S77" s="229"/>
      <c r="T77" s="229"/>
      <c r="U77" s="229"/>
      <c r="V77" s="229"/>
      <c r="W77" s="229"/>
      <c r="X77" s="229"/>
      <c r="Y77" s="229"/>
      <c r="Z77" s="229"/>
      <c r="AA77" s="229"/>
      <c r="AB77" s="229"/>
      <c r="AC77" s="229"/>
      <c r="AD77" s="229"/>
    </row>
    <row r="78" spans="1:30" x14ac:dyDescent="0.25">
      <c r="A78" s="229"/>
      <c r="Q78" s="229"/>
      <c r="R78" s="229"/>
      <c r="S78" s="229"/>
      <c r="T78" s="229"/>
      <c r="U78" s="229"/>
      <c r="V78" s="229"/>
      <c r="W78" s="229"/>
      <c r="X78" s="229"/>
      <c r="Y78" s="229"/>
      <c r="Z78" s="229"/>
      <c r="AA78" s="229"/>
      <c r="AB78" s="229"/>
      <c r="AC78" s="229"/>
      <c r="AD78" s="229"/>
    </row>
    <row r="79" spans="1:30" x14ac:dyDescent="0.25">
      <c r="A79" s="229"/>
      <c r="Q79" s="229"/>
      <c r="R79" s="229"/>
      <c r="S79" s="229"/>
      <c r="T79" s="229"/>
      <c r="U79" s="229"/>
      <c r="V79" s="229"/>
      <c r="W79" s="229"/>
      <c r="X79" s="229"/>
      <c r="Y79" s="229"/>
      <c r="Z79" s="229"/>
      <c r="AA79" s="229"/>
      <c r="AB79" s="229"/>
      <c r="AC79" s="229"/>
      <c r="AD79" s="229"/>
    </row>
    <row r="80" spans="1:30" x14ac:dyDescent="0.25">
      <c r="A80" s="229"/>
      <c r="Q80" s="229"/>
      <c r="R80" s="229"/>
      <c r="S80" s="229"/>
      <c r="T80" s="229"/>
      <c r="U80" s="229"/>
      <c r="V80" s="229"/>
      <c r="W80" s="229"/>
      <c r="X80" s="229"/>
      <c r="Y80" s="229"/>
      <c r="Z80" s="229"/>
      <c r="AA80" s="229"/>
      <c r="AB80" s="229"/>
      <c r="AC80" s="229"/>
      <c r="AD80" s="229"/>
    </row>
    <row r="81" spans="1:30" x14ac:dyDescent="0.25">
      <c r="A81" s="229"/>
      <c r="Q81" s="229"/>
      <c r="R81" s="229"/>
      <c r="S81" s="229"/>
      <c r="T81" s="229"/>
      <c r="U81" s="229"/>
      <c r="V81" s="229"/>
      <c r="W81" s="229"/>
      <c r="X81" s="229"/>
      <c r="Y81" s="229"/>
      <c r="Z81" s="229"/>
      <c r="AA81" s="229"/>
      <c r="AB81" s="229"/>
      <c r="AC81" s="229"/>
      <c r="AD81" s="229"/>
    </row>
    <row r="82" spans="1:30" x14ac:dyDescent="0.25">
      <c r="A82" s="229"/>
      <c r="Q82" s="229"/>
      <c r="R82" s="229"/>
      <c r="S82" s="229"/>
      <c r="T82" s="229"/>
      <c r="U82" s="229"/>
      <c r="V82" s="229"/>
      <c r="W82" s="229"/>
      <c r="X82" s="229"/>
      <c r="Y82" s="229"/>
      <c r="Z82" s="229"/>
      <c r="AA82" s="229"/>
      <c r="AB82" s="229"/>
      <c r="AC82" s="229"/>
      <c r="AD82" s="229"/>
    </row>
    <row r="83" spans="1:30" x14ac:dyDescent="0.25">
      <c r="A83" s="229"/>
      <c r="Q83" s="229"/>
      <c r="R83" s="229"/>
      <c r="S83" s="229"/>
      <c r="T83" s="229"/>
      <c r="U83" s="229"/>
      <c r="V83" s="229"/>
      <c r="W83" s="229"/>
      <c r="X83" s="229"/>
      <c r="Y83" s="229"/>
      <c r="Z83" s="229"/>
      <c r="AA83" s="229"/>
      <c r="AB83" s="229"/>
      <c r="AC83" s="229"/>
      <c r="AD83" s="229"/>
    </row>
    <row r="84" spans="1:30" x14ac:dyDescent="0.25">
      <c r="A84" s="229"/>
      <c r="Q84" s="229"/>
      <c r="R84" s="229"/>
      <c r="S84" s="229"/>
      <c r="T84" s="229"/>
      <c r="U84" s="229"/>
      <c r="V84" s="229"/>
      <c r="W84" s="229"/>
      <c r="X84" s="229"/>
      <c r="Y84" s="229"/>
      <c r="Z84" s="229"/>
      <c r="AA84" s="229"/>
      <c r="AB84" s="229"/>
      <c r="AC84" s="229"/>
      <c r="AD84" s="229"/>
    </row>
    <row r="85" spans="1:30" x14ac:dyDescent="0.25">
      <c r="A85" s="229"/>
      <c r="Q85" s="229"/>
      <c r="R85" s="229"/>
      <c r="S85" s="229"/>
      <c r="T85" s="229"/>
      <c r="U85" s="229"/>
      <c r="V85" s="229"/>
      <c r="W85" s="229"/>
      <c r="X85" s="229"/>
      <c r="Y85" s="229"/>
      <c r="Z85" s="229"/>
      <c r="AA85" s="229"/>
      <c r="AB85" s="229"/>
      <c r="AC85" s="229"/>
      <c r="AD85" s="229"/>
    </row>
    <row r="86" spans="1:30" x14ac:dyDescent="0.25">
      <c r="A86" s="229"/>
      <c r="Q86" s="229"/>
      <c r="R86" s="229"/>
      <c r="S86" s="229"/>
      <c r="T86" s="229"/>
      <c r="U86" s="229"/>
      <c r="V86" s="229"/>
      <c r="W86" s="229"/>
      <c r="X86" s="229"/>
      <c r="Y86" s="229"/>
      <c r="Z86" s="229"/>
      <c r="AA86" s="229"/>
      <c r="AB86" s="229"/>
      <c r="AC86" s="229"/>
      <c r="AD86" s="229"/>
    </row>
    <row r="87" spans="1:30" x14ac:dyDescent="0.25">
      <c r="A87" s="229"/>
      <c r="Q87" s="229"/>
      <c r="R87" s="229"/>
      <c r="S87" s="229"/>
      <c r="T87" s="229"/>
      <c r="U87" s="229"/>
      <c r="V87" s="229"/>
      <c r="W87" s="229"/>
      <c r="X87" s="229"/>
      <c r="Y87" s="229"/>
      <c r="Z87" s="229"/>
      <c r="AA87" s="229"/>
      <c r="AB87" s="229"/>
      <c r="AC87" s="229"/>
      <c r="AD87" s="229"/>
    </row>
    <row r="88" spans="1:30" x14ac:dyDescent="0.25">
      <c r="A88" s="229"/>
      <c r="Q88" s="229"/>
      <c r="R88" s="229"/>
      <c r="S88" s="229"/>
      <c r="T88" s="229"/>
      <c r="U88" s="229"/>
      <c r="V88" s="229"/>
      <c r="W88" s="229"/>
      <c r="X88" s="229"/>
      <c r="Y88" s="229"/>
      <c r="Z88" s="229"/>
      <c r="AA88" s="229"/>
      <c r="AB88" s="229"/>
      <c r="AC88" s="229"/>
      <c r="AD88" s="229"/>
    </row>
    <row r="89" spans="1:30" x14ac:dyDescent="0.25">
      <c r="A89" s="229"/>
      <c r="Q89" s="229"/>
      <c r="R89" s="229"/>
      <c r="S89" s="229"/>
      <c r="T89" s="229"/>
      <c r="U89" s="229"/>
      <c r="V89" s="229"/>
      <c r="W89" s="229"/>
      <c r="X89" s="229"/>
      <c r="Y89" s="229"/>
      <c r="Z89" s="229"/>
      <c r="AA89" s="229"/>
      <c r="AB89" s="229"/>
      <c r="AC89" s="229"/>
      <c r="AD89" s="229"/>
    </row>
    <row r="90" spans="1:30" x14ac:dyDescent="0.25">
      <c r="A90" s="229"/>
      <c r="Q90" s="229"/>
      <c r="R90" s="229"/>
      <c r="S90" s="229"/>
      <c r="T90" s="229"/>
      <c r="U90" s="229"/>
      <c r="V90" s="229"/>
      <c r="W90" s="229"/>
      <c r="X90" s="229"/>
      <c r="Y90" s="229"/>
      <c r="Z90" s="229"/>
      <c r="AA90" s="229"/>
      <c r="AB90" s="229"/>
      <c r="AC90" s="229"/>
      <c r="AD90" s="229"/>
    </row>
    <row r="91" spans="1:30" x14ac:dyDescent="0.25">
      <c r="A91" s="229"/>
      <c r="Q91" s="229"/>
      <c r="R91" s="229"/>
      <c r="S91" s="229"/>
      <c r="T91" s="229"/>
      <c r="U91" s="229"/>
      <c r="V91" s="229"/>
      <c r="W91" s="229"/>
      <c r="X91" s="229"/>
      <c r="Y91" s="229"/>
      <c r="Z91" s="229"/>
      <c r="AA91" s="229"/>
      <c r="AB91" s="229"/>
      <c r="AC91" s="229"/>
      <c r="AD91" s="229"/>
    </row>
    <row r="92" spans="1:30" x14ac:dyDescent="0.25">
      <c r="A92" s="229"/>
      <c r="Q92" s="229"/>
      <c r="R92" s="229"/>
      <c r="S92" s="229"/>
      <c r="T92" s="229"/>
      <c r="U92" s="229"/>
      <c r="V92" s="229"/>
      <c r="W92" s="229"/>
      <c r="X92" s="229"/>
      <c r="Y92" s="229"/>
      <c r="Z92" s="229"/>
      <c r="AA92" s="229"/>
      <c r="AB92" s="229"/>
      <c r="AC92" s="229"/>
      <c r="AD92" s="229"/>
    </row>
    <row r="93" spans="1:30" x14ac:dyDescent="0.25">
      <c r="A93" s="229"/>
      <c r="Q93" s="229"/>
      <c r="R93" s="229"/>
      <c r="S93" s="229"/>
      <c r="T93" s="229"/>
      <c r="U93" s="229"/>
      <c r="V93" s="229"/>
      <c r="W93" s="229"/>
      <c r="X93" s="229"/>
      <c r="Y93" s="229"/>
      <c r="Z93" s="229"/>
      <c r="AA93" s="229"/>
      <c r="AB93" s="229"/>
      <c r="AC93" s="229"/>
      <c r="AD93" s="229"/>
    </row>
    <row r="94" spans="1:30" x14ac:dyDescent="0.25">
      <c r="A94" s="229"/>
      <c r="Q94" s="229"/>
      <c r="R94" s="229"/>
      <c r="S94" s="229"/>
      <c r="T94" s="229"/>
      <c r="U94" s="229"/>
      <c r="V94" s="229"/>
      <c r="W94" s="229"/>
      <c r="X94" s="229"/>
      <c r="Y94" s="229"/>
      <c r="Z94" s="229"/>
      <c r="AA94" s="229"/>
      <c r="AB94" s="229"/>
      <c r="AC94" s="229"/>
      <c r="AD94" s="229"/>
    </row>
    <row r="95" spans="1:30" x14ac:dyDescent="0.25">
      <c r="A95" s="229"/>
      <c r="Q95" s="229"/>
      <c r="R95" s="229"/>
      <c r="S95" s="229"/>
      <c r="T95" s="229"/>
      <c r="U95" s="229"/>
      <c r="V95" s="229"/>
      <c r="W95" s="229"/>
      <c r="X95" s="229"/>
      <c r="Y95" s="229"/>
      <c r="Z95" s="229"/>
      <c r="AA95" s="229"/>
      <c r="AB95" s="229"/>
      <c r="AC95" s="229"/>
      <c r="AD95" s="229"/>
    </row>
    <row r="96" spans="1:30" x14ac:dyDescent="0.25">
      <c r="A96" s="229"/>
      <c r="Q96" s="229"/>
      <c r="R96" s="229"/>
      <c r="S96" s="229"/>
      <c r="T96" s="229"/>
      <c r="U96" s="229"/>
      <c r="V96" s="229"/>
      <c r="W96" s="229"/>
      <c r="X96" s="229"/>
      <c r="Y96" s="229"/>
      <c r="Z96" s="229"/>
      <c r="AA96" s="229"/>
      <c r="AB96" s="229"/>
      <c r="AC96" s="229"/>
      <c r="AD96" s="229"/>
    </row>
    <row r="97" spans="1:30" x14ac:dyDescent="0.25">
      <c r="A97" s="229"/>
      <c r="Q97" s="229"/>
      <c r="R97" s="229"/>
      <c r="S97" s="229"/>
      <c r="T97" s="229"/>
      <c r="U97" s="229"/>
      <c r="V97" s="229"/>
      <c r="W97" s="229"/>
      <c r="X97" s="229"/>
      <c r="Y97" s="229"/>
      <c r="Z97" s="229"/>
      <c r="AA97" s="229"/>
      <c r="AB97" s="229"/>
      <c r="AC97" s="229"/>
      <c r="AD97" s="229"/>
    </row>
    <row r="98" spans="1:30" x14ac:dyDescent="0.25">
      <c r="A98" s="229"/>
      <c r="Q98" s="229"/>
      <c r="R98" s="229"/>
      <c r="S98" s="229"/>
      <c r="T98" s="229"/>
      <c r="U98" s="229"/>
      <c r="V98" s="229"/>
      <c r="W98" s="229"/>
      <c r="X98" s="229"/>
      <c r="Y98" s="229"/>
      <c r="Z98" s="229"/>
      <c r="AA98" s="229"/>
      <c r="AB98" s="229"/>
      <c r="AC98" s="229"/>
      <c r="AD98" s="229"/>
    </row>
  </sheetData>
  <mergeCells count="89">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2">
    <dataValidation type="list" allowBlank="1" showInputMessage="1" showErrorMessage="1" sqref="C7:C9" xr:uid="{8EBF0961-82AB-4C60-AF3C-01FD0AF1D5EB}">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0" orientation="landscape" r:id="rId1"/>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BA69"/>
  <sheetViews>
    <sheetView showGridLines="0" tabSelected="1" topLeftCell="P34" zoomScale="60" zoomScaleNormal="60" workbookViewId="0">
      <selection activeCell="T34" sqref="T34:V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23.7109375" style="50" customWidth="1"/>
    <col min="20" max="22" width="27.1406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43"/>
      <c r="B1" s="446"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8"/>
      <c r="AB1" s="449" t="s">
        <v>1</v>
      </c>
      <c r="AC1" s="450"/>
      <c r="AD1" s="451"/>
    </row>
    <row r="2" spans="1:53" ht="30.75" customHeight="1" thickBot="1" x14ac:dyDescent="0.3">
      <c r="A2" s="444"/>
      <c r="B2" s="446" t="s">
        <v>97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470" t="s">
        <v>3</v>
      </c>
      <c r="AC2" s="471"/>
      <c r="AD2" s="472"/>
    </row>
    <row r="3" spans="1:53" ht="24" customHeight="1" x14ac:dyDescent="0.25">
      <c r="A3" s="444"/>
      <c r="B3" s="473" t="s">
        <v>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470" t="s">
        <v>5</v>
      </c>
      <c r="AC3" s="471"/>
      <c r="AD3" s="472"/>
    </row>
    <row r="4" spans="1:53" ht="21.95" customHeight="1" thickBot="1" x14ac:dyDescent="0.3">
      <c r="A4" s="445"/>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64" t="s">
        <v>7</v>
      </c>
      <c r="B7" s="465"/>
      <c r="C7" s="500" t="s">
        <v>8</v>
      </c>
      <c r="D7" s="464" t="s">
        <v>9</v>
      </c>
      <c r="E7" s="482"/>
      <c r="F7" s="482"/>
      <c r="G7" s="482"/>
      <c r="H7" s="465"/>
      <c r="I7" s="485">
        <v>45113</v>
      </c>
      <c r="J7" s="486"/>
      <c r="K7" s="464" t="s">
        <v>10</v>
      </c>
      <c r="L7" s="465"/>
      <c r="M7" s="456" t="s">
        <v>98</v>
      </c>
      <c r="N7" s="457"/>
      <c r="O7" s="458"/>
      <c r="P7" s="459"/>
      <c r="Q7" s="54"/>
      <c r="R7" s="54"/>
      <c r="S7" s="54"/>
      <c r="T7" s="54"/>
      <c r="U7" s="54"/>
      <c r="V7" s="54"/>
      <c r="W7" s="54"/>
      <c r="X7" s="54"/>
      <c r="Y7" s="54"/>
      <c r="Z7" s="55"/>
      <c r="AA7" s="54"/>
      <c r="AB7" s="54"/>
      <c r="AC7" s="60"/>
      <c r="AD7" s="61"/>
    </row>
    <row r="8" spans="1:53" ht="15" customHeight="1" x14ac:dyDescent="0.25">
      <c r="A8" s="466"/>
      <c r="B8" s="467"/>
      <c r="C8" s="501"/>
      <c r="D8" s="466"/>
      <c r="E8" s="483"/>
      <c r="F8" s="483"/>
      <c r="G8" s="483"/>
      <c r="H8" s="467"/>
      <c r="I8" s="487"/>
      <c r="J8" s="488"/>
      <c r="K8" s="466"/>
      <c r="L8" s="467"/>
      <c r="M8" s="460" t="s">
        <v>99</v>
      </c>
      <c r="N8" s="461"/>
      <c r="O8" s="462" t="s">
        <v>14</v>
      </c>
      <c r="P8" s="463"/>
      <c r="Q8" s="54"/>
      <c r="R8" s="54"/>
      <c r="S8" s="54"/>
      <c r="T8" s="54"/>
      <c r="U8" s="54"/>
      <c r="V8" s="54"/>
      <c r="W8" s="54"/>
      <c r="X8" s="54"/>
      <c r="Y8" s="54"/>
      <c r="Z8" s="55"/>
      <c r="AA8" s="54"/>
      <c r="AB8" s="54"/>
      <c r="AC8" s="60"/>
      <c r="AD8" s="61"/>
    </row>
    <row r="9" spans="1:53" ht="15.75" customHeight="1" thickBot="1" x14ac:dyDescent="0.3">
      <c r="A9" s="468"/>
      <c r="B9" s="469"/>
      <c r="C9" s="502"/>
      <c r="D9" s="468"/>
      <c r="E9" s="484"/>
      <c r="F9" s="484"/>
      <c r="G9" s="484"/>
      <c r="H9" s="469"/>
      <c r="I9" s="489"/>
      <c r="J9" s="490"/>
      <c r="K9" s="468"/>
      <c r="L9" s="469"/>
      <c r="M9" s="452" t="s">
        <v>13</v>
      </c>
      <c r="N9" s="453"/>
      <c r="O9" s="454" t="s">
        <v>14</v>
      </c>
      <c r="P9" s="455"/>
      <c r="Q9" s="54"/>
      <c r="R9" s="54"/>
      <c r="S9" s="54"/>
      <c r="T9" s="54"/>
      <c r="U9" s="54"/>
      <c r="V9" s="54"/>
      <c r="W9" s="54"/>
      <c r="X9" s="54"/>
      <c r="Y9" s="54"/>
      <c r="Z9" s="55"/>
      <c r="AA9" s="54"/>
      <c r="AB9" s="54"/>
      <c r="AC9" s="60"/>
      <c r="AD9" s="61"/>
    </row>
    <row r="10" spans="1:53"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64" t="s">
        <v>15</v>
      </c>
      <c r="B11" s="465"/>
      <c r="C11" s="491" t="s">
        <v>16</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3"/>
      <c r="BA11" s="327"/>
    </row>
    <row r="12" spans="1:53" ht="15" customHeight="1" x14ac:dyDescent="0.25">
      <c r="A12" s="466"/>
      <c r="B12" s="467"/>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6"/>
      <c r="BA12" s="327"/>
    </row>
    <row r="13" spans="1:53" ht="15" customHeight="1" thickBot="1" x14ac:dyDescent="0.3">
      <c r="A13" s="468"/>
      <c r="B13" s="469"/>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9"/>
      <c r="BA13" s="327"/>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7"/>
    </row>
    <row r="15" spans="1:53" ht="39" customHeight="1" thickBot="1" x14ac:dyDescent="0.3">
      <c r="A15" s="528" t="s">
        <v>17</v>
      </c>
      <c r="B15" s="529"/>
      <c r="C15" s="538" t="s">
        <v>18</v>
      </c>
      <c r="D15" s="539"/>
      <c r="E15" s="539"/>
      <c r="F15" s="539"/>
      <c r="G15" s="539"/>
      <c r="H15" s="539"/>
      <c r="I15" s="539"/>
      <c r="J15" s="539"/>
      <c r="K15" s="540"/>
      <c r="L15" s="503" t="s">
        <v>19</v>
      </c>
      <c r="M15" s="504"/>
      <c r="N15" s="504"/>
      <c r="O15" s="504"/>
      <c r="P15" s="504"/>
      <c r="Q15" s="505"/>
      <c r="R15" s="533" t="s">
        <v>20</v>
      </c>
      <c r="S15" s="534"/>
      <c r="T15" s="534"/>
      <c r="U15" s="534"/>
      <c r="V15" s="534"/>
      <c r="W15" s="534"/>
      <c r="X15" s="535"/>
      <c r="Y15" s="503" t="s">
        <v>21</v>
      </c>
      <c r="Z15" s="505"/>
      <c r="AA15" s="524" t="s">
        <v>22</v>
      </c>
      <c r="AB15" s="525"/>
      <c r="AC15" s="525"/>
      <c r="AD15" s="526"/>
      <c r="BA15" s="327"/>
    </row>
    <row r="16" spans="1:53" ht="105" customHeight="1" thickBot="1" x14ac:dyDescent="0.3">
      <c r="A16" s="59"/>
      <c r="B16" s="54"/>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73"/>
      <c r="AD16" s="74"/>
      <c r="AX16" s="388" t="s">
        <v>23</v>
      </c>
      <c r="BA16" s="327"/>
    </row>
    <row r="17" spans="1:53" s="76" customFormat="1" ht="37.5" customHeight="1" thickBot="1" x14ac:dyDescent="0.3">
      <c r="A17" s="528" t="s">
        <v>24</v>
      </c>
      <c r="B17" s="529"/>
      <c r="C17" s="530" t="s">
        <v>123</v>
      </c>
      <c r="D17" s="531"/>
      <c r="E17" s="531"/>
      <c r="F17" s="531"/>
      <c r="G17" s="531"/>
      <c r="H17" s="531"/>
      <c r="I17" s="531"/>
      <c r="J17" s="531"/>
      <c r="K17" s="531"/>
      <c r="L17" s="531"/>
      <c r="M17" s="531"/>
      <c r="N17" s="531"/>
      <c r="O17" s="531"/>
      <c r="P17" s="531"/>
      <c r="Q17" s="532"/>
      <c r="R17" s="503" t="s">
        <v>26</v>
      </c>
      <c r="S17" s="504"/>
      <c r="T17" s="504"/>
      <c r="U17" s="504"/>
      <c r="V17" s="505"/>
      <c r="W17" s="691">
        <v>0.24</v>
      </c>
      <c r="X17" s="692"/>
      <c r="Y17" s="504" t="s">
        <v>27</v>
      </c>
      <c r="Z17" s="504"/>
      <c r="AA17" s="504"/>
      <c r="AB17" s="505"/>
      <c r="AC17" s="514">
        <v>0.15</v>
      </c>
      <c r="AD17" s="515"/>
      <c r="AX17" s="387"/>
      <c r="BA17" s="328"/>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7"/>
    </row>
    <row r="19" spans="1:53" ht="32.1" customHeight="1" thickBot="1" x14ac:dyDescent="0.3">
      <c r="A19" s="503" t="s">
        <v>28</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c r="BA19" s="327"/>
    </row>
    <row r="20" spans="1:53" ht="32.1" customHeight="1" thickBot="1" x14ac:dyDescent="0.3">
      <c r="A20" s="82"/>
      <c r="B20" s="60"/>
      <c r="C20" s="509" t="s">
        <v>29</v>
      </c>
      <c r="D20" s="510"/>
      <c r="E20" s="510"/>
      <c r="F20" s="510"/>
      <c r="G20" s="510"/>
      <c r="H20" s="510"/>
      <c r="I20" s="510"/>
      <c r="J20" s="510"/>
      <c r="K20" s="510"/>
      <c r="L20" s="510"/>
      <c r="M20" s="510"/>
      <c r="N20" s="510"/>
      <c r="O20" s="510"/>
      <c r="P20" s="511"/>
      <c r="Q20" s="506" t="s">
        <v>30</v>
      </c>
      <c r="R20" s="507"/>
      <c r="S20" s="507"/>
      <c r="T20" s="507"/>
      <c r="U20" s="507"/>
      <c r="V20" s="507"/>
      <c r="W20" s="507"/>
      <c r="X20" s="507"/>
      <c r="Y20" s="507"/>
      <c r="Z20" s="507"/>
      <c r="AA20" s="507"/>
      <c r="AB20" s="507"/>
      <c r="AC20" s="507"/>
      <c r="AD20" s="508"/>
      <c r="AE20" s="83"/>
      <c r="AF20" s="83"/>
      <c r="BA20" s="327"/>
    </row>
    <row r="21" spans="1:53" ht="32.1" customHeight="1" thickBot="1" x14ac:dyDescent="0.3">
      <c r="A21" s="59"/>
      <c r="B21" s="54"/>
      <c r="C21" s="353" t="s">
        <v>31</v>
      </c>
      <c r="D21" s="352" t="s">
        <v>32</v>
      </c>
      <c r="E21" s="352" t="s">
        <v>33</v>
      </c>
      <c r="F21" s="352" t="s">
        <v>34</v>
      </c>
      <c r="G21" s="352" t="s">
        <v>35</v>
      </c>
      <c r="H21" s="352" t="s">
        <v>8</v>
      </c>
      <c r="I21" s="352" t="s">
        <v>36</v>
      </c>
      <c r="J21" s="352" t="s">
        <v>37</v>
      </c>
      <c r="K21" s="352" t="s">
        <v>38</v>
      </c>
      <c r="L21" s="352" t="s">
        <v>39</v>
      </c>
      <c r="M21" s="352" t="s">
        <v>40</v>
      </c>
      <c r="N21" s="352" t="s">
        <v>41</v>
      </c>
      <c r="O21" s="352" t="s">
        <v>42</v>
      </c>
      <c r="P21" s="354" t="s">
        <v>43</v>
      </c>
      <c r="Q21" s="353" t="s">
        <v>31</v>
      </c>
      <c r="R21" s="352" t="s">
        <v>32</v>
      </c>
      <c r="S21" s="352" t="s">
        <v>33</v>
      </c>
      <c r="T21" s="352" t="s">
        <v>34</v>
      </c>
      <c r="U21" s="352" t="s">
        <v>35</v>
      </c>
      <c r="V21" s="352" t="s">
        <v>8</v>
      </c>
      <c r="W21" s="352" t="s">
        <v>36</v>
      </c>
      <c r="X21" s="352" t="s">
        <v>37</v>
      </c>
      <c r="Y21" s="352" t="s">
        <v>38</v>
      </c>
      <c r="Z21" s="352" t="s">
        <v>39</v>
      </c>
      <c r="AA21" s="352" t="s">
        <v>40</v>
      </c>
      <c r="AB21" s="352" t="s">
        <v>41</v>
      </c>
      <c r="AC21" s="352" t="s">
        <v>42</v>
      </c>
      <c r="AD21" s="354" t="s">
        <v>43</v>
      </c>
      <c r="AE21" s="3"/>
      <c r="AF21" s="3"/>
      <c r="BA21" s="327"/>
    </row>
    <row r="22" spans="1:53" ht="32.1" customHeight="1" x14ac:dyDescent="0.25">
      <c r="A22" s="512" t="s">
        <v>101</v>
      </c>
      <c r="B22" s="513"/>
      <c r="C22" s="355"/>
      <c r="D22" s="356"/>
      <c r="E22" s="356"/>
      <c r="F22" s="356"/>
      <c r="G22" s="356"/>
      <c r="H22" s="356"/>
      <c r="I22" s="356"/>
      <c r="J22" s="356"/>
      <c r="K22" s="356"/>
      <c r="L22" s="356"/>
      <c r="M22" s="356"/>
      <c r="N22" s="356"/>
      <c r="O22" s="356">
        <f>SUM(C22:N22)</f>
        <v>0</v>
      </c>
      <c r="P22" s="433"/>
      <c r="Q22" s="355">
        <v>1788742712</v>
      </c>
      <c r="R22" s="356"/>
      <c r="S22" s="356">
        <f>19186926+10126937+6986000</f>
        <v>36299863</v>
      </c>
      <c r="T22" s="356">
        <f>35000000+21559511</f>
        <v>56559511</v>
      </c>
      <c r="U22" s="356"/>
      <c r="V22" s="356">
        <f>2139478+34249272-35249417</f>
        <v>1139333</v>
      </c>
      <c r="W22" s="356"/>
      <c r="X22" s="356"/>
      <c r="Y22" s="356"/>
      <c r="Z22" s="356"/>
      <c r="AA22" s="356"/>
      <c r="AB22" s="356"/>
      <c r="AC22" s="429">
        <f>SUM(Q22:AB22)</f>
        <v>1882741419</v>
      </c>
      <c r="AD22" s="357"/>
      <c r="AE22" s="3"/>
      <c r="AF22" s="442" t="s">
        <v>116</v>
      </c>
      <c r="AG22" s="442"/>
      <c r="AH22" s="442"/>
      <c r="AI22" s="442"/>
      <c r="AJ22" s="442"/>
      <c r="AK22" s="442"/>
      <c r="AL22" s="442"/>
      <c r="AM22" s="442"/>
    </row>
    <row r="23" spans="1:53" ht="32.1" customHeight="1" x14ac:dyDescent="0.25">
      <c r="A23" s="520" t="s">
        <v>47</v>
      </c>
      <c r="B23" s="521"/>
      <c r="C23" s="175"/>
      <c r="D23" s="174"/>
      <c r="E23" s="174"/>
      <c r="F23" s="174"/>
      <c r="G23" s="174"/>
      <c r="H23" s="174"/>
      <c r="I23" s="174"/>
      <c r="J23" s="174"/>
      <c r="K23" s="174"/>
      <c r="L23" s="174"/>
      <c r="M23" s="174"/>
      <c r="N23" s="174"/>
      <c r="O23" s="174">
        <f>SUM(C23:N23)</f>
        <v>0</v>
      </c>
      <c r="P23" s="434"/>
      <c r="Q23" s="175">
        <v>84263629</v>
      </c>
      <c r="R23" s="174">
        <v>1319717051</v>
      </c>
      <c r="S23" s="174">
        <v>198188775</v>
      </c>
      <c r="T23" s="174">
        <v>-33051211</v>
      </c>
      <c r="U23" s="174">
        <v>30963345</v>
      </c>
      <c r="V23" s="174">
        <v>40445825</v>
      </c>
      <c r="W23" s="174"/>
      <c r="X23" s="174"/>
      <c r="Y23" s="174"/>
      <c r="Z23" s="174"/>
      <c r="AA23" s="174"/>
      <c r="AB23" s="174"/>
      <c r="AC23" s="430">
        <f>SUM(Q23:AB23)</f>
        <v>1640527414</v>
      </c>
      <c r="AD23" s="182">
        <f>+AC23/AC22</f>
        <v>0.87135036040761793</v>
      </c>
      <c r="AE23" s="3"/>
      <c r="AF23" s="442"/>
      <c r="AG23" s="442"/>
      <c r="AH23" s="442"/>
      <c r="AI23" s="442"/>
      <c r="AJ23" s="442"/>
      <c r="AK23" s="442"/>
      <c r="AL23" s="442"/>
      <c r="AM23" s="442"/>
    </row>
    <row r="24" spans="1:53" ht="32.1" customHeight="1" x14ac:dyDescent="0.25">
      <c r="A24" s="520" t="s">
        <v>103</v>
      </c>
      <c r="B24" s="521"/>
      <c r="C24" s="175">
        <f>25110243+698600+1646344+1804187+19304533</f>
        <v>48563907</v>
      </c>
      <c r="D24" s="174">
        <f>1749516+3375000+698600+1646344+3750000+461423+840000+713790+713790+1545000+1545000+432600+475860+4505045</f>
        <v>22451968</v>
      </c>
      <c r="E24" s="174">
        <f>698600+1646344+4956875</f>
        <v>7301819</v>
      </c>
      <c r="F24" s="174">
        <f>698600+1646344+5038625</f>
        <v>7383569</v>
      </c>
      <c r="G24" s="174">
        <f>548900+1646344</f>
        <v>2195244</v>
      </c>
      <c r="H24" s="174">
        <f>1646344-840000</f>
        <v>806344</v>
      </c>
      <c r="I24" s="174">
        <v>1049770</v>
      </c>
      <c r="J24" s="174"/>
      <c r="K24" s="174"/>
      <c r="L24" s="174"/>
      <c r="M24" s="174"/>
      <c r="N24" s="174"/>
      <c r="O24" s="213">
        <f>SUM(C24:N24)</f>
        <v>89752621</v>
      </c>
      <c r="P24" s="178"/>
      <c r="Q24" s="175"/>
      <c r="R24" s="174">
        <v>76648064</v>
      </c>
      <c r="S24" s="174">
        <v>155644968</v>
      </c>
      <c r="T24" s="174">
        <f>155644968+1918693+1646342+776223</f>
        <v>159986226</v>
      </c>
      <c r="U24" s="174">
        <f>155644968+1918693+3888889+1646342+21559511+776223</f>
        <v>185434626</v>
      </c>
      <c r="V24" s="174">
        <f>155644968+1918693+3888889+1646342+776222-35249417</f>
        <v>128625697</v>
      </c>
      <c r="W24" s="174">
        <f>155644968+1918693+2139478+3888889+741130+11416424+776222</f>
        <v>176525804</v>
      </c>
      <c r="X24" s="174">
        <f>155644968+1918693+3888889+741130+776222</f>
        <v>162969902</v>
      </c>
      <c r="Y24" s="174">
        <f>155644968+1918693+3888889+741130+11416424+776222</f>
        <v>174386326</v>
      </c>
      <c r="Z24" s="174">
        <f>155644968+1918692+3888889+741130+776222</f>
        <v>162969901</v>
      </c>
      <c r="AA24" s="174">
        <f>155644968+1918692+3888889+741130+11416424+776222</f>
        <v>174386325</v>
      </c>
      <c r="AB24" s="174">
        <f>311289936+3837384+7777777+1482261+776222</f>
        <v>325163580</v>
      </c>
      <c r="AC24" s="213">
        <f>SUM(Q24:AB24)</f>
        <v>1882741419</v>
      </c>
      <c r="AD24" s="182"/>
      <c r="AE24" s="3"/>
      <c r="AF24" s="442"/>
      <c r="AG24" s="442"/>
      <c r="AH24" s="442"/>
      <c r="AI24" s="442"/>
      <c r="AJ24" s="442"/>
      <c r="AK24" s="442"/>
      <c r="AL24" s="442"/>
      <c r="AM24" s="442"/>
    </row>
    <row r="25" spans="1:53" ht="32.1" customHeight="1" thickBot="1" x14ac:dyDescent="0.3">
      <c r="A25" s="522" t="s">
        <v>50</v>
      </c>
      <c r="B25" s="523"/>
      <c r="C25" s="358">
        <v>9139172</v>
      </c>
      <c r="D25" s="176">
        <v>34332596</v>
      </c>
      <c r="E25" s="176">
        <v>24384979</v>
      </c>
      <c r="F25" s="176">
        <v>10889552</v>
      </c>
      <c r="G25" s="176">
        <v>4540188</v>
      </c>
      <c r="H25" s="176">
        <v>384894</v>
      </c>
      <c r="I25" s="176"/>
      <c r="J25" s="176"/>
      <c r="K25" s="176"/>
      <c r="L25" s="176"/>
      <c r="M25" s="176"/>
      <c r="N25" s="176"/>
      <c r="O25" s="176">
        <f>SUM(C25:N25)</f>
        <v>83671381</v>
      </c>
      <c r="P25" s="181">
        <f>+O25/O24</f>
        <v>0.93224442994260859</v>
      </c>
      <c r="Q25" s="358" t="s">
        <v>104</v>
      </c>
      <c r="R25" s="176">
        <v>944067</v>
      </c>
      <c r="S25" s="176">
        <v>49626360</v>
      </c>
      <c r="T25" s="176">
        <v>137705564</v>
      </c>
      <c r="U25" s="176">
        <v>153450831</v>
      </c>
      <c r="V25" s="176">
        <v>162705131</v>
      </c>
      <c r="W25" s="176"/>
      <c r="X25" s="176"/>
      <c r="Y25" s="176"/>
      <c r="Z25" s="176"/>
      <c r="AA25" s="176"/>
      <c r="AB25" s="176"/>
      <c r="AC25" s="176">
        <f>SUM(Q25:AB25)</f>
        <v>504431953</v>
      </c>
      <c r="AD25" s="183">
        <f>+AC25/AC23</f>
        <v>0.30748157494672623</v>
      </c>
      <c r="AE25" s="3"/>
      <c r="AF25" s="442"/>
      <c r="AG25" s="442"/>
      <c r="AH25" s="442"/>
      <c r="AI25" s="442"/>
      <c r="AJ25" s="442"/>
      <c r="AK25" s="442"/>
      <c r="AL25" s="442"/>
      <c r="AM25" s="44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516" t="s">
        <v>53</v>
      </c>
      <c r="B27" s="517"/>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row>
    <row r="28" spans="1:53" ht="15" customHeight="1" x14ac:dyDescent="0.25">
      <c r="A28" s="541" t="s">
        <v>54</v>
      </c>
      <c r="B28" s="543" t="s">
        <v>55</v>
      </c>
      <c r="C28" s="544"/>
      <c r="D28" s="521" t="s">
        <v>56</v>
      </c>
      <c r="E28" s="547"/>
      <c r="F28" s="547"/>
      <c r="G28" s="547"/>
      <c r="H28" s="547"/>
      <c r="I28" s="547"/>
      <c r="J28" s="547"/>
      <c r="K28" s="547"/>
      <c r="L28" s="547"/>
      <c r="M28" s="547"/>
      <c r="N28" s="547"/>
      <c r="O28" s="548"/>
      <c r="P28" s="549" t="s">
        <v>42</v>
      </c>
      <c r="Q28" s="549" t="s">
        <v>57</v>
      </c>
      <c r="R28" s="549"/>
      <c r="S28" s="549"/>
      <c r="T28" s="549"/>
      <c r="U28" s="549"/>
      <c r="V28" s="549"/>
      <c r="W28" s="549"/>
      <c r="X28" s="549"/>
      <c r="Y28" s="549"/>
      <c r="Z28" s="549"/>
      <c r="AA28" s="549"/>
      <c r="AB28" s="549"/>
      <c r="AC28" s="549"/>
      <c r="AD28" s="550"/>
    </row>
    <row r="29" spans="1:53" ht="27" customHeight="1" x14ac:dyDescent="0.25">
      <c r="A29" s="542"/>
      <c r="B29" s="545"/>
      <c r="C29" s="546"/>
      <c r="D29" s="88" t="s">
        <v>31</v>
      </c>
      <c r="E29" s="88" t="s">
        <v>32</v>
      </c>
      <c r="F29" s="88" t="s">
        <v>33</v>
      </c>
      <c r="G29" s="88" t="s">
        <v>34</v>
      </c>
      <c r="H29" s="88" t="s">
        <v>35</v>
      </c>
      <c r="I29" s="88" t="s">
        <v>8</v>
      </c>
      <c r="J29" s="88" t="s">
        <v>36</v>
      </c>
      <c r="K29" s="88" t="s">
        <v>37</v>
      </c>
      <c r="L29" s="88" t="s">
        <v>38</v>
      </c>
      <c r="M29" s="88" t="s">
        <v>39</v>
      </c>
      <c r="N29" s="88" t="s">
        <v>40</v>
      </c>
      <c r="O29" s="88" t="s">
        <v>41</v>
      </c>
      <c r="P29" s="548"/>
      <c r="Q29" s="549"/>
      <c r="R29" s="549"/>
      <c r="S29" s="549"/>
      <c r="T29" s="549"/>
      <c r="U29" s="549"/>
      <c r="V29" s="549"/>
      <c r="W29" s="549"/>
      <c r="X29" s="549"/>
      <c r="Y29" s="549"/>
      <c r="Z29" s="549"/>
      <c r="AA29" s="549"/>
      <c r="AB29" s="549"/>
      <c r="AC29" s="549"/>
      <c r="AD29" s="550"/>
    </row>
    <row r="30" spans="1:53" ht="68.25" customHeight="1" thickBot="1" x14ac:dyDescent="0.3">
      <c r="A30" s="85" t="s">
        <v>124</v>
      </c>
      <c r="B30" s="551"/>
      <c r="C30" s="552"/>
      <c r="D30" s="89"/>
      <c r="E30" s="89"/>
      <c r="F30" s="89"/>
      <c r="G30" s="89"/>
      <c r="H30" s="89"/>
      <c r="I30" s="89"/>
      <c r="J30" s="89"/>
      <c r="K30" s="89"/>
      <c r="L30" s="89"/>
      <c r="M30" s="89"/>
      <c r="N30" s="89"/>
      <c r="O30" s="89"/>
      <c r="P30" s="86">
        <f>SUM(D30:O30)</f>
        <v>0</v>
      </c>
      <c r="Q30" s="553"/>
      <c r="R30" s="553"/>
      <c r="S30" s="553"/>
      <c r="T30" s="553"/>
      <c r="U30" s="553"/>
      <c r="V30" s="553"/>
      <c r="W30" s="553"/>
      <c r="X30" s="553"/>
      <c r="Y30" s="553"/>
      <c r="Z30" s="553"/>
      <c r="AA30" s="553"/>
      <c r="AB30" s="553"/>
      <c r="AC30" s="553"/>
      <c r="AD30" s="554"/>
    </row>
    <row r="31" spans="1:53" ht="45" customHeight="1" thickBot="1" x14ac:dyDescent="0.3">
      <c r="A31" s="555" t="s">
        <v>59</v>
      </c>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7"/>
    </row>
    <row r="32" spans="1:53" ht="20.25" customHeight="1" x14ac:dyDescent="0.25">
      <c r="A32" s="512" t="s">
        <v>60</v>
      </c>
      <c r="B32" s="558" t="s">
        <v>61</v>
      </c>
      <c r="C32" s="558" t="s">
        <v>55</v>
      </c>
      <c r="D32" s="561" t="s">
        <v>62</v>
      </c>
      <c r="E32" s="558"/>
      <c r="F32" s="558"/>
      <c r="G32" s="558"/>
      <c r="H32" s="558"/>
      <c r="I32" s="558"/>
      <c r="J32" s="558"/>
      <c r="K32" s="558"/>
      <c r="L32" s="558"/>
      <c r="M32" s="558"/>
      <c r="N32" s="558"/>
      <c r="O32" s="558"/>
      <c r="P32" s="559"/>
      <c r="Q32" s="512" t="s">
        <v>63</v>
      </c>
      <c r="R32" s="558"/>
      <c r="S32" s="558"/>
      <c r="T32" s="558"/>
      <c r="U32" s="558"/>
      <c r="V32" s="558"/>
      <c r="W32" s="558"/>
      <c r="X32" s="558"/>
      <c r="Y32" s="558"/>
      <c r="Z32" s="558"/>
      <c r="AA32" s="558"/>
      <c r="AB32" s="558"/>
      <c r="AC32" s="558"/>
      <c r="AD32" s="559"/>
      <c r="AG32" s="87"/>
      <c r="AH32" s="87"/>
      <c r="AI32" s="87"/>
      <c r="AJ32" s="87"/>
      <c r="AK32" s="87"/>
      <c r="AL32" s="87"/>
      <c r="AM32" s="87"/>
      <c r="AN32" s="87"/>
      <c r="AO32" s="87"/>
    </row>
    <row r="33" spans="1:41" ht="36.75" customHeight="1" thickBot="1" x14ac:dyDescent="0.3">
      <c r="A33" s="520"/>
      <c r="B33" s="549"/>
      <c r="C33" s="719"/>
      <c r="D33" s="274" t="s">
        <v>31</v>
      </c>
      <c r="E33" s="265" t="s">
        <v>32</v>
      </c>
      <c r="F33" s="265" t="s">
        <v>33</v>
      </c>
      <c r="G33" s="265" t="s">
        <v>34</v>
      </c>
      <c r="H33" s="265" t="s">
        <v>35</v>
      </c>
      <c r="I33" s="265" t="s">
        <v>8</v>
      </c>
      <c r="J33" s="265" t="s">
        <v>36</v>
      </c>
      <c r="K33" s="265" t="s">
        <v>37</v>
      </c>
      <c r="L33" s="265" t="s">
        <v>38</v>
      </c>
      <c r="M33" s="265" t="s">
        <v>39</v>
      </c>
      <c r="N33" s="265" t="s">
        <v>40</v>
      </c>
      <c r="O33" s="265" t="s">
        <v>41</v>
      </c>
      <c r="P33" s="266" t="s">
        <v>42</v>
      </c>
      <c r="Q33" s="522" t="s">
        <v>64</v>
      </c>
      <c r="R33" s="593"/>
      <c r="S33" s="593"/>
      <c r="T33" s="593" t="s">
        <v>65</v>
      </c>
      <c r="U33" s="593"/>
      <c r="V33" s="593"/>
      <c r="W33" s="657" t="s">
        <v>106</v>
      </c>
      <c r="X33" s="510"/>
      <c r="Y33" s="510"/>
      <c r="Z33" s="658"/>
      <c r="AA33" s="657" t="s">
        <v>67</v>
      </c>
      <c r="AB33" s="510"/>
      <c r="AC33" s="510"/>
      <c r="AD33" s="511"/>
      <c r="AG33" s="87"/>
      <c r="AH33" s="87"/>
      <c r="AI33" s="87"/>
      <c r="AJ33" s="87"/>
      <c r="AK33" s="87"/>
      <c r="AL33" s="87"/>
      <c r="AM33" s="87"/>
      <c r="AN33" s="87"/>
      <c r="AO33" s="87"/>
    </row>
    <row r="34" spans="1:41" ht="108" customHeight="1" x14ac:dyDescent="0.25">
      <c r="A34" s="684" t="s">
        <v>124</v>
      </c>
      <c r="B34" s="565">
        <v>0.15</v>
      </c>
      <c r="C34" s="102" t="s">
        <v>68</v>
      </c>
      <c r="D34" s="271">
        <f>D69</f>
        <v>6.4019205761728509E-3</v>
      </c>
      <c r="E34" s="272">
        <f t="shared" ref="E34:O34" si="0">E69</f>
        <v>2.2401920576172858E-2</v>
      </c>
      <c r="F34" s="272">
        <f t="shared" si="0"/>
        <v>2.1865999799939986E-2</v>
      </c>
      <c r="G34" s="272">
        <f t="shared" si="0"/>
        <v>2.1865999799939986E-2</v>
      </c>
      <c r="H34" s="272">
        <f t="shared" si="0"/>
        <v>2.1865999799939986E-2</v>
      </c>
      <c r="I34" s="272">
        <f t="shared" si="0"/>
        <v>2.1865999799939986E-2</v>
      </c>
      <c r="J34" s="272">
        <f t="shared" si="0"/>
        <v>2.1865999799939986E-2</v>
      </c>
      <c r="K34" s="272">
        <f t="shared" si="0"/>
        <v>2.1865999799939986E-2</v>
      </c>
      <c r="L34" s="272">
        <f t="shared" si="0"/>
        <v>2.1865999799939986E-2</v>
      </c>
      <c r="M34" s="272">
        <f t="shared" si="0"/>
        <v>2.1865999799939986E-2</v>
      </c>
      <c r="N34" s="272">
        <f t="shared" si="0"/>
        <v>2.1065999799939981E-2</v>
      </c>
      <c r="O34" s="273">
        <f t="shared" si="0"/>
        <v>1.5202160648194461E-2</v>
      </c>
      <c r="P34" s="267">
        <f>SUM(D34:O34)</f>
        <v>0.24000000000000002</v>
      </c>
      <c r="Q34" s="713" t="s">
        <v>125</v>
      </c>
      <c r="R34" s="708"/>
      <c r="S34" s="714"/>
      <c r="T34" s="716" t="s">
        <v>584</v>
      </c>
      <c r="U34" s="708"/>
      <c r="V34" s="714"/>
      <c r="W34" s="717" t="s">
        <v>126</v>
      </c>
      <c r="X34" s="717"/>
      <c r="Y34" s="717"/>
      <c r="Z34" s="717"/>
      <c r="AA34" s="707"/>
      <c r="AB34" s="708"/>
      <c r="AC34" s="708"/>
      <c r="AD34" s="709"/>
      <c r="AG34" s="87"/>
      <c r="AH34" s="87"/>
      <c r="AI34" s="87"/>
      <c r="AJ34" s="87"/>
      <c r="AK34" s="87"/>
      <c r="AL34" s="87"/>
      <c r="AM34" s="87"/>
      <c r="AN34" s="87"/>
      <c r="AO34" s="87"/>
    </row>
    <row r="35" spans="1:41" ht="108" customHeight="1" thickBot="1" x14ac:dyDescent="0.3">
      <c r="A35" s="685"/>
      <c r="B35" s="477"/>
      <c r="C35" s="91" t="s">
        <v>72</v>
      </c>
      <c r="D35" s="269">
        <f>D66</f>
        <v>6.4019205761728509E-3</v>
      </c>
      <c r="E35" s="259">
        <f t="shared" ref="E35:O35" si="1">E66</f>
        <v>1.8401920576172855E-2</v>
      </c>
      <c r="F35" s="259">
        <f t="shared" si="1"/>
        <v>2.1865999799939986E-2</v>
      </c>
      <c r="G35" s="259">
        <f t="shared" si="1"/>
        <v>2.1865999799939986E-2</v>
      </c>
      <c r="H35" s="259">
        <f t="shared" si="1"/>
        <v>2.1865999799939986E-2</v>
      </c>
      <c r="I35" s="259">
        <v>0.02</v>
      </c>
      <c r="J35" s="259">
        <f t="shared" si="1"/>
        <v>0</v>
      </c>
      <c r="K35" s="259">
        <f t="shared" si="1"/>
        <v>0</v>
      </c>
      <c r="L35" s="259">
        <f t="shared" si="1"/>
        <v>0</v>
      </c>
      <c r="M35" s="259">
        <f t="shared" si="1"/>
        <v>0</v>
      </c>
      <c r="N35" s="259">
        <f t="shared" si="1"/>
        <v>0</v>
      </c>
      <c r="O35" s="260">
        <f t="shared" si="1"/>
        <v>0</v>
      </c>
      <c r="P35" s="268">
        <f>SUM(D35:O35)</f>
        <v>0.11040184055216568</v>
      </c>
      <c r="Q35" s="715"/>
      <c r="R35" s="573"/>
      <c r="S35" s="576"/>
      <c r="T35" s="572"/>
      <c r="U35" s="573"/>
      <c r="V35" s="576"/>
      <c r="W35" s="718"/>
      <c r="X35" s="718"/>
      <c r="Y35" s="718"/>
      <c r="Z35" s="718"/>
      <c r="AA35" s="572"/>
      <c r="AB35" s="573"/>
      <c r="AC35" s="573"/>
      <c r="AD35" s="574"/>
      <c r="AE35" s="49"/>
      <c r="AG35" s="87"/>
      <c r="AH35" s="87"/>
      <c r="AI35" s="87"/>
      <c r="AJ35" s="87"/>
      <c r="AK35" s="87"/>
      <c r="AL35" s="87"/>
      <c r="AM35" s="87"/>
      <c r="AN35" s="87"/>
      <c r="AO35" s="87"/>
    </row>
    <row r="36" spans="1:41" ht="26.1" customHeight="1" x14ac:dyDescent="0.25">
      <c r="A36" s="512" t="s">
        <v>73</v>
      </c>
      <c r="B36" s="558" t="s">
        <v>74</v>
      </c>
      <c r="C36" s="561" t="s">
        <v>75</v>
      </c>
      <c r="D36" s="558"/>
      <c r="E36" s="558"/>
      <c r="F36" s="558"/>
      <c r="G36" s="558"/>
      <c r="H36" s="558"/>
      <c r="I36" s="558"/>
      <c r="J36" s="558"/>
      <c r="K36" s="558"/>
      <c r="L36" s="558"/>
      <c r="M36" s="558"/>
      <c r="N36" s="558"/>
      <c r="O36" s="558"/>
      <c r="P36" s="559"/>
      <c r="Q36" s="710" t="s">
        <v>76</v>
      </c>
      <c r="R36" s="711"/>
      <c r="S36" s="711"/>
      <c r="T36" s="711"/>
      <c r="U36" s="711"/>
      <c r="V36" s="711"/>
      <c r="W36" s="711"/>
      <c r="X36" s="711"/>
      <c r="Y36" s="711"/>
      <c r="Z36" s="711"/>
      <c r="AA36" s="711"/>
      <c r="AB36" s="711"/>
      <c r="AC36" s="711"/>
      <c r="AD36" s="712"/>
      <c r="AG36" s="87"/>
      <c r="AH36" s="87"/>
      <c r="AI36" s="87"/>
      <c r="AJ36" s="87"/>
      <c r="AK36" s="87"/>
      <c r="AL36" s="87"/>
      <c r="AM36" s="87"/>
      <c r="AN36" s="87"/>
      <c r="AO36" s="87"/>
    </row>
    <row r="37" spans="1:41" ht="26.1" customHeight="1" thickBot="1" x14ac:dyDescent="0.3">
      <c r="A37" s="522"/>
      <c r="B37" s="593"/>
      <c r="C37" s="274" t="s">
        <v>77</v>
      </c>
      <c r="D37" s="265" t="s">
        <v>78</v>
      </c>
      <c r="E37" s="265" t="s">
        <v>79</v>
      </c>
      <c r="F37" s="265" t="s">
        <v>80</v>
      </c>
      <c r="G37" s="265" t="s">
        <v>81</v>
      </c>
      <c r="H37" s="265" t="s">
        <v>82</v>
      </c>
      <c r="I37" s="265" t="s">
        <v>83</v>
      </c>
      <c r="J37" s="265" t="s">
        <v>84</v>
      </c>
      <c r="K37" s="265" t="s">
        <v>85</v>
      </c>
      <c r="L37" s="265" t="s">
        <v>86</v>
      </c>
      <c r="M37" s="265" t="s">
        <v>87</v>
      </c>
      <c r="N37" s="265" t="s">
        <v>88</v>
      </c>
      <c r="O37" s="265" t="s">
        <v>89</v>
      </c>
      <c r="P37" s="266" t="s">
        <v>90</v>
      </c>
      <c r="Q37" s="597" t="s">
        <v>91</v>
      </c>
      <c r="R37" s="598"/>
      <c r="S37" s="598"/>
      <c r="T37" s="598"/>
      <c r="U37" s="598"/>
      <c r="V37" s="598"/>
      <c r="W37" s="598"/>
      <c r="X37" s="598"/>
      <c r="Y37" s="598"/>
      <c r="Z37" s="598"/>
      <c r="AA37" s="598"/>
      <c r="AB37" s="598"/>
      <c r="AC37" s="598"/>
      <c r="AD37" s="599"/>
      <c r="AG37" s="94"/>
      <c r="AH37" s="94"/>
      <c r="AI37" s="94"/>
      <c r="AJ37" s="94"/>
      <c r="AK37" s="94"/>
      <c r="AL37" s="94"/>
      <c r="AM37" s="94"/>
      <c r="AN37" s="94"/>
      <c r="AO37" s="94"/>
    </row>
    <row r="38" spans="1:41" ht="35.25" customHeight="1" x14ac:dyDescent="0.25">
      <c r="A38" s="667" t="s">
        <v>127</v>
      </c>
      <c r="B38" s="669">
        <v>0.05</v>
      </c>
      <c r="C38" s="371" t="s">
        <v>68</v>
      </c>
      <c r="D38" s="365">
        <v>0</v>
      </c>
      <c r="E38" s="365">
        <v>0.1</v>
      </c>
      <c r="F38" s="367">
        <v>9.5000000000000001E-2</v>
      </c>
      <c r="G38" s="367">
        <v>9.5000000000000001E-2</v>
      </c>
      <c r="H38" s="367">
        <v>9.5000000000000001E-2</v>
      </c>
      <c r="I38" s="367">
        <v>9.5000000000000001E-2</v>
      </c>
      <c r="J38" s="367">
        <v>9.5000000000000001E-2</v>
      </c>
      <c r="K38" s="367">
        <v>9.5000000000000001E-2</v>
      </c>
      <c r="L38" s="367">
        <v>9.5000000000000001E-2</v>
      </c>
      <c r="M38" s="367">
        <v>9.5000000000000001E-2</v>
      </c>
      <c r="N38" s="367">
        <v>0.09</v>
      </c>
      <c r="O38" s="367">
        <v>0.05</v>
      </c>
      <c r="P38" s="416">
        <f t="shared" ref="P38:P43" si="2">SUM(D38:O38)</f>
        <v>0.99999999999999989</v>
      </c>
      <c r="Q38" s="701" t="s">
        <v>562</v>
      </c>
      <c r="R38" s="702"/>
      <c r="S38" s="702"/>
      <c r="T38" s="702"/>
      <c r="U38" s="702"/>
      <c r="V38" s="702"/>
      <c r="W38" s="702"/>
      <c r="X38" s="702"/>
      <c r="Y38" s="702"/>
      <c r="Z38" s="702"/>
      <c r="AA38" s="702"/>
      <c r="AB38" s="702"/>
      <c r="AC38" s="702"/>
      <c r="AD38" s="703"/>
      <c r="AE38" s="97"/>
      <c r="AG38" s="98"/>
      <c r="AH38" s="98"/>
      <c r="AI38" s="98"/>
      <c r="AJ38" s="98"/>
      <c r="AK38" s="98"/>
      <c r="AL38" s="98"/>
      <c r="AM38" s="98"/>
      <c r="AN38" s="98"/>
      <c r="AO38" s="98"/>
    </row>
    <row r="39" spans="1:41" ht="81.75" customHeight="1" thickBot="1" x14ac:dyDescent="0.3">
      <c r="A39" s="668"/>
      <c r="B39" s="602"/>
      <c r="C39" s="225" t="s">
        <v>72</v>
      </c>
      <c r="D39" s="283">
        <v>0</v>
      </c>
      <c r="E39" s="283">
        <v>0.05</v>
      </c>
      <c r="F39" s="283">
        <v>9.5000000000000001E-2</v>
      </c>
      <c r="G39" s="283">
        <v>9.5000000000000001E-2</v>
      </c>
      <c r="H39" s="283">
        <v>9.5000000000000001E-2</v>
      </c>
      <c r="I39" s="283">
        <v>0.1</v>
      </c>
      <c r="J39" s="100"/>
      <c r="K39" s="100"/>
      <c r="L39" s="100"/>
      <c r="M39" s="100"/>
      <c r="N39" s="100"/>
      <c r="O39" s="100"/>
      <c r="P39" s="307">
        <f t="shared" si="2"/>
        <v>0.43500000000000005</v>
      </c>
      <c r="Q39" s="704"/>
      <c r="R39" s="705"/>
      <c r="S39" s="705"/>
      <c r="T39" s="705"/>
      <c r="U39" s="705"/>
      <c r="V39" s="705"/>
      <c r="W39" s="705"/>
      <c r="X39" s="705"/>
      <c r="Y39" s="705"/>
      <c r="Z39" s="705"/>
      <c r="AA39" s="705"/>
      <c r="AB39" s="705"/>
      <c r="AC39" s="705"/>
      <c r="AD39" s="706"/>
      <c r="AE39" s="97"/>
    </row>
    <row r="40" spans="1:41" ht="35.25" customHeight="1" x14ac:dyDescent="0.25">
      <c r="A40" s="659" t="s">
        <v>128</v>
      </c>
      <c r="B40" s="584">
        <v>0.05</v>
      </c>
      <c r="C40" s="226" t="s">
        <v>68</v>
      </c>
      <c r="D40" s="288">
        <v>0</v>
      </c>
      <c r="E40" s="288">
        <v>0.1</v>
      </c>
      <c r="F40" s="299">
        <v>9.5000000000000001E-2</v>
      </c>
      <c r="G40" s="299">
        <v>9.5000000000000001E-2</v>
      </c>
      <c r="H40" s="220">
        <v>9.5000000000000001E-2</v>
      </c>
      <c r="I40" s="220">
        <v>9.5000000000000001E-2</v>
      </c>
      <c r="J40" s="220">
        <v>9.5000000000000001E-2</v>
      </c>
      <c r="K40" s="220">
        <v>9.5000000000000001E-2</v>
      </c>
      <c r="L40" s="220">
        <v>9.5000000000000001E-2</v>
      </c>
      <c r="M40" s="220">
        <v>9.5000000000000001E-2</v>
      </c>
      <c r="N40" s="220">
        <v>0.09</v>
      </c>
      <c r="O40" s="220">
        <v>0.05</v>
      </c>
      <c r="P40" s="307">
        <f t="shared" si="2"/>
        <v>0.99999999999999989</v>
      </c>
      <c r="Q40" s="701" t="s">
        <v>563</v>
      </c>
      <c r="R40" s="702"/>
      <c r="S40" s="702"/>
      <c r="T40" s="702"/>
      <c r="U40" s="702"/>
      <c r="V40" s="702"/>
      <c r="W40" s="702"/>
      <c r="X40" s="702"/>
      <c r="Y40" s="702"/>
      <c r="Z40" s="702"/>
      <c r="AA40" s="702"/>
      <c r="AB40" s="702"/>
      <c r="AC40" s="702"/>
      <c r="AD40" s="703"/>
      <c r="AE40" s="97"/>
    </row>
    <row r="41" spans="1:41" ht="35.25" customHeight="1" x14ac:dyDescent="0.25">
      <c r="A41" s="668"/>
      <c r="B41" s="602"/>
      <c r="C41" s="225" t="s">
        <v>72</v>
      </c>
      <c r="D41" s="287"/>
      <c r="E41" s="283">
        <v>0.1</v>
      </c>
      <c r="F41" s="283">
        <v>9.5000000000000001E-2</v>
      </c>
      <c r="G41" s="283">
        <v>9.5000000000000001E-2</v>
      </c>
      <c r="H41" s="283">
        <v>9.5000000000000001E-2</v>
      </c>
      <c r="I41" s="283">
        <v>0.1</v>
      </c>
      <c r="J41" s="100"/>
      <c r="K41" s="100"/>
      <c r="L41" s="100"/>
      <c r="M41" s="100"/>
      <c r="N41" s="100"/>
      <c r="O41" s="100"/>
      <c r="P41" s="307">
        <f t="shared" si="2"/>
        <v>0.48499999999999999</v>
      </c>
      <c r="Q41" s="704"/>
      <c r="R41" s="705"/>
      <c r="S41" s="705"/>
      <c r="T41" s="705"/>
      <c r="U41" s="705"/>
      <c r="V41" s="705"/>
      <c r="W41" s="705"/>
      <c r="X41" s="705"/>
      <c r="Y41" s="705"/>
      <c r="Z41" s="705"/>
      <c r="AA41" s="705"/>
      <c r="AB41" s="705"/>
      <c r="AC41" s="705"/>
      <c r="AD41" s="706"/>
      <c r="AE41" s="97"/>
    </row>
    <row r="42" spans="1:41" ht="35.25" customHeight="1" x14ac:dyDescent="0.25">
      <c r="A42" s="693" t="s">
        <v>129</v>
      </c>
      <c r="B42" s="601">
        <v>0.05</v>
      </c>
      <c r="C42" s="226" t="s">
        <v>68</v>
      </c>
      <c r="D42" s="288">
        <v>0.08</v>
      </c>
      <c r="E42" s="288">
        <v>0.08</v>
      </c>
      <c r="F42" s="299">
        <v>8.3299999999999999E-2</v>
      </c>
      <c r="G42" s="299">
        <v>8.3299999999999999E-2</v>
      </c>
      <c r="H42" s="220">
        <v>8.3299999999999999E-2</v>
      </c>
      <c r="I42" s="220">
        <v>8.3299999999999999E-2</v>
      </c>
      <c r="J42" s="220">
        <v>8.3299999999999999E-2</v>
      </c>
      <c r="K42" s="220">
        <v>8.3299999999999999E-2</v>
      </c>
      <c r="L42" s="220">
        <v>8.3299999999999999E-2</v>
      </c>
      <c r="M42" s="220">
        <v>8.3299999999999999E-2</v>
      </c>
      <c r="N42" s="220">
        <v>8.3299999999999999E-2</v>
      </c>
      <c r="O42" s="220">
        <v>0.09</v>
      </c>
      <c r="P42" s="307">
        <f t="shared" si="2"/>
        <v>0.99970000000000014</v>
      </c>
      <c r="Q42" s="695" t="s">
        <v>130</v>
      </c>
      <c r="R42" s="696"/>
      <c r="S42" s="696"/>
      <c r="T42" s="696"/>
      <c r="U42" s="696"/>
      <c r="V42" s="696"/>
      <c r="W42" s="696"/>
      <c r="X42" s="696"/>
      <c r="Y42" s="696"/>
      <c r="Z42" s="696"/>
      <c r="AA42" s="696"/>
      <c r="AB42" s="696"/>
      <c r="AC42" s="696"/>
      <c r="AD42" s="697"/>
      <c r="AE42" s="97"/>
    </row>
    <row r="43" spans="1:41" ht="87.75" customHeight="1" thickBot="1" x14ac:dyDescent="0.3">
      <c r="A43" s="694"/>
      <c r="B43" s="585"/>
      <c r="C43" s="280" t="s">
        <v>72</v>
      </c>
      <c r="D43" s="284">
        <v>0.08</v>
      </c>
      <c r="E43" s="284">
        <v>0.08</v>
      </c>
      <c r="F43" s="284">
        <v>8.3299999999999999E-2</v>
      </c>
      <c r="G43" s="284">
        <v>8.3299999999999999E-2</v>
      </c>
      <c r="H43" s="284">
        <v>8.3299999999999999E-2</v>
      </c>
      <c r="I43" s="284">
        <v>0.08</v>
      </c>
      <c r="J43" s="105"/>
      <c r="K43" s="105"/>
      <c r="L43" s="105"/>
      <c r="M43" s="105"/>
      <c r="N43" s="105"/>
      <c r="O43" s="105"/>
      <c r="P43" s="308">
        <f t="shared" si="2"/>
        <v>0.4899</v>
      </c>
      <c r="Q43" s="698"/>
      <c r="R43" s="699"/>
      <c r="S43" s="699"/>
      <c r="T43" s="699"/>
      <c r="U43" s="699"/>
      <c r="V43" s="699"/>
      <c r="W43" s="699"/>
      <c r="X43" s="699"/>
      <c r="Y43" s="699"/>
      <c r="Z43" s="699"/>
      <c r="AA43" s="699"/>
      <c r="AB43" s="699"/>
      <c r="AC43" s="699"/>
      <c r="AD43" s="700"/>
      <c r="AE43" s="97"/>
    </row>
    <row r="44" spans="1:41" x14ac:dyDescent="0.25">
      <c r="A44" s="50" t="s">
        <v>95</v>
      </c>
    </row>
    <row r="55" spans="1:30" x14ac:dyDescent="0.25">
      <c r="A55" s="613" t="s">
        <v>96</v>
      </c>
      <c r="B55" s="615" t="s">
        <v>74</v>
      </c>
      <c r="C55" s="617" t="s">
        <v>75</v>
      </c>
      <c r="D55" s="618"/>
      <c r="E55" s="618"/>
      <c r="F55" s="618"/>
      <c r="G55" s="618"/>
      <c r="H55" s="618"/>
      <c r="I55" s="618"/>
      <c r="J55" s="618"/>
      <c r="K55" s="618"/>
      <c r="L55" s="618"/>
      <c r="M55" s="618"/>
      <c r="N55" s="618"/>
      <c r="O55" s="618"/>
      <c r="P55" s="619"/>
      <c r="Q55" s="228"/>
      <c r="R55" s="228"/>
      <c r="S55" s="229"/>
      <c r="T55" s="229"/>
      <c r="U55" s="229"/>
      <c r="V55" s="229"/>
      <c r="W55" s="229"/>
      <c r="X55" s="229"/>
      <c r="Y55" s="229"/>
      <c r="Z55" s="229"/>
      <c r="AA55" s="229"/>
      <c r="AB55" s="229"/>
      <c r="AC55" s="229"/>
      <c r="AD55" s="229"/>
    </row>
    <row r="56" spans="1:30" ht="21" x14ac:dyDescent="0.25">
      <c r="A56" s="614"/>
      <c r="B56" s="616"/>
      <c r="C56" s="230" t="s">
        <v>77</v>
      </c>
      <c r="D56" s="230" t="s">
        <v>78</v>
      </c>
      <c r="E56" s="230" t="s">
        <v>79</v>
      </c>
      <c r="F56" s="230" t="s">
        <v>80</v>
      </c>
      <c r="G56" s="230" t="s">
        <v>81</v>
      </c>
      <c r="H56" s="230" t="s">
        <v>82</v>
      </c>
      <c r="I56" s="230" t="s">
        <v>83</v>
      </c>
      <c r="J56" s="230" t="s">
        <v>84</v>
      </c>
      <c r="K56" s="230" t="s">
        <v>85</v>
      </c>
      <c r="L56" s="230" t="s">
        <v>86</v>
      </c>
      <c r="M56" s="230" t="s">
        <v>87</v>
      </c>
      <c r="N56" s="230" t="s">
        <v>88</v>
      </c>
      <c r="O56" s="230" t="s">
        <v>89</v>
      </c>
      <c r="P56" s="230" t="s">
        <v>90</v>
      </c>
      <c r="Q56" s="228"/>
      <c r="R56" s="228"/>
      <c r="S56" s="229"/>
      <c r="T56" s="229"/>
      <c r="U56" s="229"/>
      <c r="V56" s="229"/>
      <c r="W56" s="229"/>
      <c r="X56" s="229"/>
      <c r="Y56" s="229"/>
      <c r="Z56" s="229"/>
      <c r="AA56" s="229"/>
      <c r="AB56" s="229"/>
      <c r="AC56" s="229"/>
      <c r="AD56" s="229"/>
    </row>
    <row r="57" spans="1:30" x14ac:dyDescent="0.25">
      <c r="A57" s="620" t="str">
        <f>A38</f>
        <v>9. Implementar el componente de formación para cuidadoras</v>
      </c>
      <c r="B57" s="622">
        <f>B38</f>
        <v>0.05</v>
      </c>
      <c r="C57" s="231" t="s">
        <v>68</v>
      </c>
      <c r="D57" s="232">
        <f>D38*$B$38/$P$38</f>
        <v>0</v>
      </c>
      <c r="E57" s="232">
        <f t="shared" ref="D57:O58" si="3">E38*$B$38/$P$38</f>
        <v>5.0000000000000018E-3</v>
      </c>
      <c r="F57" s="232">
        <f t="shared" si="3"/>
        <v>4.7500000000000016E-3</v>
      </c>
      <c r="G57" s="232">
        <f t="shared" si="3"/>
        <v>4.7500000000000016E-3</v>
      </c>
      <c r="H57" s="232">
        <f t="shared" si="3"/>
        <v>4.7500000000000016E-3</v>
      </c>
      <c r="I57" s="232">
        <f t="shared" si="3"/>
        <v>4.7500000000000016E-3</v>
      </c>
      <c r="J57" s="232">
        <f t="shared" si="3"/>
        <v>4.7500000000000016E-3</v>
      </c>
      <c r="K57" s="232">
        <f t="shared" si="3"/>
        <v>4.7500000000000016E-3</v>
      </c>
      <c r="L57" s="232">
        <f t="shared" si="3"/>
        <v>4.7500000000000016E-3</v>
      </c>
      <c r="M57" s="232">
        <f t="shared" si="3"/>
        <v>4.7500000000000016E-3</v>
      </c>
      <c r="N57" s="232">
        <f t="shared" si="3"/>
        <v>4.5000000000000005E-3</v>
      </c>
      <c r="O57" s="232">
        <f t="shared" si="3"/>
        <v>2.5000000000000009E-3</v>
      </c>
      <c r="P57" s="233">
        <f t="shared" ref="P57:P62" si="4">SUM(D57:O57)</f>
        <v>5.0000000000000017E-2</v>
      </c>
      <c r="Q57" s="234">
        <v>0.05</v>
      </c>
      <c r="R57" s="235">
        <f t="shared" ref="R57:R65" si="5">+P57-Q57</f>
        <v>0</v>
      </c>
      <c r="S57" s="229"/>
      <c r="T57" s="229"/>
      <c r="U57" s="229"/>
      <c r="V57" s="229"/>
      <c r="W57" s="229"/>
      <c r="X57" s="229"/>
      <c r="Y57" s="229"/>
      <c r="Z57" s="229"/>
      <c r="AA57" s="229"/>
      <c r="AB57" s="229"/>
      <c r="AC57" s="229"/>
      <c r="AD57" s="229"/>
    </row>
    <row r="58" spans="1:30" x14ac:dyDescent="0.25">
      <c r="A58" s="621"/>
      <c r="B58" s="623"/>
      <c r="C58" s="236" t="s">
        <v>72</v>
      </c>
      <c r="D58" s="237">
        <f t="shared" si="3"/>
        <v>0</v>
      </c>
      <c r="E58" s="237">
        <f t="shared" si="3"/>
        <v>2.5000000000000009E-3</v>
      </c>
      <c r="F58" s="237">
        <f t="shared" si="3"/>
        <v>4.7500000000000016E-3</v>
      </c>
      <c r="G58" s="237">
        <f t="shared" si="3"/>
        <v>4.7500000000000016E-3</v>
      </c>
      <c r="H58" s="237">
        <f t="shared" si="3"/>
        <v>4.7500000000000016E-3</v>
      </c>
      <c r="I58" s="237">
        <f t="shared" si="3"/>
        <v>5.0000000000000018E-3</v>
      </c>
      <c r="J58" s="237">
        <f t="shared" si="3"/>
        <v>0</v>
      </c>
      <c r="K58" s="237">
        <f t="shared" si="3"/>
        <v>0</v>
      </c>
      <c r="L58" s="237">
        <f t="shared" si="3"/>
        <v>0</v>
      </c>
      <c r="M58" s="237">
        <f t="shared" si="3"/>
        <v>0</v>
      </c>
      <c r="N58" s="237">
        <f t="shared" si="3"/>
        <v>0</v>
      </c>
      <c r="O58" s="237">
        <f t="shared" si="3"/>
        <v>0</v>
      </c>
      <c r="P58" s="238">
        <f t="shared" si="4"/>
        <v>2.1750000000000005E-2</v>
      </c>
      <c r="Q58" s="239">
        <f>+P58</f>
        <v>2.1750000000000005E-2</v>
      </c>
      <c r="R58" s="235">
        <f t="shared" si="5"/>
        <v>0</v>
      </c>
      <c r="S58" s="229"/>
      <c r="T58" s="229"/>
      <c r="U58" s="229"/>
      <c r="V58" s="229"/>
      <c r="W58" s="229"/>
      <c r="X58" s="229"/>
      <c r="Y58" s="229"/>
      <c r="Z58" s="229"/>
      <c r="AA58" s="229"/>
      <c r="AB58" s="229"/>
      <c r="AC58" s="229"/>
      <c r="AD58" s="229"/>
    </row>
    <row r="59" spans="1:30" x14ac:dyDescent="0.25">
      <c r="A59" s="620" t="str">
        <f>A40</f>
        <v xml:space="preserve">10. Implementar el componente de orientación psicojurídica para cuidadoras </v>
      </c>
      <c r="B59" s="625">
        <f>B40</f>
        <v>0.05</v>
      </c>
      <c r="C59" s="231" t="s">
        <v>68</v>
      </c>
      <c r="D59" s="232">
        <f t="shared" ref="D59:O60" si="6">D40*$B$40/$P$40</f>
        <v>0</v>
      </c>
      <c r="E59" s="232">
        <f t="shared" si="6"/>
        <v>5.0000000000000018E-3</v>
      </c>
      <c r="F59" s="232">
        <f t="shared" si="6"/>
        <v>4.7500000000000016E-3</v>
      </c>
      <c r="G59" s="232">
        <f t="shared" si="6"/>
        <v>4.7500000000000016E-3</v>
      </c>
      <c r="H59" s="232">
        <f t="shared" si="6"/>
        <v>4.7500000000000016E-3</v>
      </c>
      <c r="I59" s="232">
        <f t="shared" si="6"/>
        <v>4.7500000000000016E-3</v>
      </c>
      <c r="J59" s="232">
        <f t="shared" si="6"/>
        <v>4.7500000000000016E-3</v>
      </c>
      <c r="K59" s="232">
        <f t="shared" si="6"/>
        <v>4.7500000000000016E-3</v>
      </c>
      <c r="L59" s="232">
        <f t="shared" si="6"/>
        <v>4.7500000000000016E-3</v>
      </c>
      <c r="M59" s="232">
        <f t="shared" si="6"/>
        <v>4.7500000000000016E-3</v>
      </c>
      <c r="N59" s="232">
        <f t="shared" si="6"/>
        <v>4.5000000000000005E-3</v>
      </c>
      <c r="O59" s="232">
        <f t="shared" si="6"/>
        <v>2.5000000000000009E-3</v>
      </c>
      <c r="P59" s="233">
        <f t="shared" si="4"/>
        <v>5.0000000000000017E-2</v>
      </c>
      <c r="Q59" s="234">
        <v>2.5000000000000001E-2</v>
      </c>
      <c r="R59" s="235">
        <f t="shared" si="5"/>
        <v>2.5000000000000015E-2</v>
      </c>
      <c r="S59" s="229"/>
      <c r="T59" s="229"/>
      <c r="U59" s="229"/>
      <c r="V59" s="229"/>
      <c r="W59" s="229"/>
      <c r="X59" s="229"/>
      <c r="Y59" s="229"/>
      <c r="Z59" s="229"/>
      <c r="AA59" s="229"/>
      <c r="AB59" s="229"/>
      <c r="AC59" s="229"/>
      <c r="AD59" s="229"/>
    </row>
    <row r="60" spans="1:30" x14ac:dyDescent="0.25">
      <c r="A60" s="624"/>
      <c r="B60" s="626"/>
      <c r="C60" s="236" t="s">
        <v>72</v>
      </c>
      <c r="D60" s="237">
        <f t="shared" si="6"/>
        <v>0</v>
      </c>
      <c r="E60" s="237">
        <f t="shared" si="6"/>
        <v>5.0000000000000018E-3</v>
      </c>
      <c r="F60" s="237">
        <f t="shared" si="6"/>
        <v>4.7500000000000016E-3</v>
      </c>
      <c r="G60" s="237">
        <f t="shared" si="6"/>
        <v>4.7500000000000016E-3</v>
      </c>
      <c r="H60" s="237">
        <f t="shared" si="6"/>
        <v>4.7500000000000016E-3</v>
      </c>
      <c r="I60" s="237">
        <f t="shared" si="6"/>
        <v>5.0000000000000018E-3</v>
      </c>
      <c r="J60" s="237">
        <f t="shared" si="6"/>
        <v>0</v>
      </c>
      <c r="K60" s="237">
        <f t="shared" si="6"/>
        <v>0</v>
      </c>
      <c r="L60" s="237">
        <f t="shared" si="6"/>
        <v>0</v>
      </c>
      <c r="M60" s="237">
        <f t="shared" si="6"/>
        <v>0</v>
      </c>
      <c r="N60" s="237">
        <f t="shared" si="6"/>
        <v>0</v>
      </c>
      <c r="O60" s="237">
        <f t="shared" si="6"/>
        <v>0</v>
      </c>
      <c r="P60" s="238">
        <f t="shared" si="4"/>
        <v>2.4250000000000008E-2</v>
      </c>
      <c r="Q60" s="239">
        <f>+P60</f>
        <v>2.4250000000000008E-2</v>
      </c>
      <c r="R60" s="235">
        <f t="shared" si="5"/>
        <v>0</v>
      </c>
      <c r="S60" s="229"/>
      <c r="T60" s="229"/>
      <c r="U60" s="229"/>
      <c r="V60" s="229"/>
      <c r="W60" s="229"/>
      <c r="X60" s="229"/>
      <c r="Y60" s="229"/>
      <c r="Z60" s="229"/>
      <c r="AA60" s="229"/>
      <c r="AB60" s="229"/>
      <c r="AC60" s="229"/>
      <c r="AD60" s="229"/>
    </row>
    <row r="61" spans="1:30" x14ac:dyDescent="0.25">
      <c r="A61" s="620" t="str">
        <f>A42</f>
        <v xml:space="preserve">11. Implementar, monitorear y hacer seguimiento al Plan Integral de Acciones Afirmativas </v>
      </c>
      <c r="B61" s="625">
        <f>B42</f>
        <v>0.05</v>
      </c>
      <c r="C61" s="231" t="s">
        <v>68</v>
      </c>
      <c r="D61" s="232">
        <f t="shared" ref="D61:O62" si="7">D42*$B$42/$P$42</f>
        <v>4.0012003601080318E-3</v>
      </c>
      <c r="E61" s="232">
        <f t="shared" si="7"/>
        <v>4.0012003601080318E-3</v>
      </c>
      <c r="F61" s="232">
        <f t="shared" si="7"/>
        <v>4.1662498749624882E-3</v>
      </c>
      <c r="G61" s="232">
        <f t="shared" si="7"/>
        <v>4.1662498749624882E-3</v>
      </c>
      <c r="H61" s="232">
        <f t="shared" si="7"/>
        <v>4.1662498749624882E-3</v>
      </c>
      <c r="I61" s="232">
        <f t="shared" si="7"/>
        <v>4.1662498749624882E-3</v>
      </c>
      <c r="J61" s="232">
        <f t="shared" si="7"/>
        <v>4.1662498749624882E-3</v>
      </c>
      <c r="K61" s="232">
        <f t="shared" si="7"/>
        <v>4.1662498749624882E-3</v>
      </c>
      <c r="L61" s="232">
        <f t="shared" si="7"/>
        <v>4.1662498749624882E-3</v>
      </c>
      <c r="M61" s="232">
        <f t="shared" si="7"/>
        <v>4.1662498749624882E-3</v>
      </c>
      <c r="N61" s="232">
        <f t="shared" si="7"/>
        <v>4.1662498749624882E-3</v>
      </c>
      <c r="O61" s="232">
        <f t="shared" si="7"/>
        <v>4.5013504051215356E-3</v>
      </c>
      <c r="P61" s="233">
        <f t="shared" si="4"/>
        <v>4.9999999999999989E-2</v>
      </c>
      <c r="Q61" s="234">
        <v>2.5000000000000001E-2</v>
      </c>
      <c r="R61" s="235">
        <f t="shared" si="5"/>
        <v>2.4999999999999988E-2</v>
      </c>
      <c r="S61" s="229"/>
      <c r="T61" s="229"/>
      <c r="U61" s="229"/>
      <c r="V61" s="229"/>
      <c r="W61" s="229"/>
      <c r="X61" s="229"/>
      <c r="Y61" s="229"/>
      <c r="Z61" s="229"/>
      <c r="AA61" s="229"/>
      <c r="AB61" s="229"/>
      <c r="AC61" s="229"/>
      <c r="AD61" s="229"/>
    </row>
    <row r="62" spans="1:30" x14ac:dyDescent="0.25">
      <c r="A62" s="624"/>
      <c r="B62" s="626"/>
      <c r="C62" s="236" t="s">
        <v>72</v>
      </c>
      <c r="D62" s="237">
        <f t="shared" si="7"/>
        <v>4.0012003601080318E-3</v>
      </c>
      <c r="E62" s="237">
        <f t="shared" si="7"/>
        <v>4.0012003601080318E-3</v>
      </c>
      <c r="F62" s="237">
        <f t="shared" si="7"/>
        <v>4.1662498749624882E-3</v>
      </c>
      <c r="G62" s="237">
        <f t="shared" si="7"/>
        <v>4.1662498749624882E-3</v>
      </c>
      <c r="H62" s="237">
        <f t="shared" si="7"/>
        <v>4.1662498749624882E-3</v>
      </c>
      <c r="I62" s="237">
        <f t="shared" si="7"/>
        <v>4.0012003601080318E-3</v>
      </c>
      <c r="J62" s="237">
        <f t="shared" si="7"/>
        <v>0</v>
      </c>
      <c r="K62" s="237">
        <f t="shared" si="7"/>
        <v>0</v>
      </c>
      <c r="L62" s="237">
        <f t="shared" si="7"/>
        <v>0</v>
      </c>
      <c r="M62" s="237">
        <f t="shared" si="7"/>
        <v>0</v>
      </c>
      <c r="N62" s="237">
        <f t="shared" si="7"/>
        <v>0</v>
      </c>
      <c r="O62" s="237">
        <f t="shared" si="7"/>
        <v>0</v>
      </c>
      <c r="P62" s="238">
        <f t="shared" si="4"/>
        <v>2.4502350705211562E-2</v>
      </c>
      <c r="Q62" s="239">
        <f>+P62</f>
        <v>2.4502350705211562E-2</v>
      </c>
      <c r="R62" s="235">
        <f t="shared" si="5"/>
        <v>0</v>
      </c>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D58+D60+D62</f>
        <v>4.0012003601080318E-3</v>
      </c>
      <c r="E65" s="250">
        <f t="shared" ref="E65:O65" si="8">E58+E60+E62</f>
        <v>1.1501200360108035E-2</v>
      </c>
      <c r="F65" s="250">
        <f t="shared" si="8"/>
        <v>1.3666249874962491E-2</v>
      </c>
      <c r="G65" s="250">
        <f t="shared" si="8"/>
        <v>1.3666249874962491E-2</v>
      </c>
      <c r="H65" s="250">
        <f t="shared" si="8"/>
        <v>1.3666249874962491E-2</v>
      </c>
      <c r="I65" s="250">
        <f t="shared" si="8"/>
        <v>1.4001200360108036E-2</v>
      </c>
      <c r="J65" s="250">
        <f t="shared" si="8"/>
        <v>0</v>
      </c>
      <c r="K65" s="250">
        <f t="shared" si="8"/>
        <v>0</v>
      </c>
      <c r="L65" s="250">
        <f t="shared" si="8"/>
        <v>0</v>
      </c>
      <c r="M65" s="250">
        <f t="shared" si="8"/>
        <v>0</v>
      </c>
      <c r="N65" s="250">
        <f t="shared" si="8"/>
        <v>0</v>
      </c>
      <c r="O65" s="250">
        <f t="shared" si="8"/>
        <v>0</v>
      </c>
      <c r="P65" s="250">
        <f>P58+P60+P62</f>
        <v>7.0502350705211575E-2</v>
      </c>
      <c r="Q65" s="228"/>
      <c r="R65" s="235">
        <f t="shared" si="5"/>
        <v>7.0502350705211575E-2</v>
      </c>
      <c r="S65" s="229"/>
      <c r="T65" s="229"/>
      <c r="U65" s="229"/>
      <c r="V65" s="229"/>
      <c r="W65" s="229"/>
      <c r="X65" s="229"/>
      <c r="Y65" s="229"/>
      <c r="Z65" s="229"/>
      <c r="AA65" s="229"/>
      <c r="AB65" s="229"/>
      <c r="AC65" s="229"/>
      <c r="AD65" s="229"/>
    </row>
    <row r="66" spans="1:30" x14ac:dyDescent="0.25">
      <c r="A66" s="228"/>
      <c r="B66" s="251"/>
      <c r="C66" s="252" t="s">
        <v>72</v>
      </c>
      <c r="D66" s="253">
        <f>D65*$W$17/$B$34</f>
        <v>6.4019205761728509E-3</v>
      </c>
      <c r="E66" s="253">
        <f t="shared" ref="E66:O66" si="9">E65*$W$17/$B$34</f>
        <v>1.8401920576172855E-2</v>
      </c>
      <c r="F66" s="253">
        <f t="shared" si="9"/>
        <v>2.1865999799939986E-2</v>
      </c>
      <c r="G66" s="253">
        <f t="shared" si="9"/>
        <v>2.1865999799939986E-2</v>
      </c>
      <c r="H66" s="253">
        <f t="shared" si="9"/>
        <v>2.1865999799939986E-2</v>
      </c>
      <c r="I66" s="253">
        <f t="shared" si="9"/>
        <v>2.2401920576172858E-2</v>
      </c>
      <c r="J66" s="253">
        <f t="shared" si="9"/>
        <v>0</v>
      </c>
      <c r="K66" s="253">
        <f t="shared" si="9"/>
        <v>0</v>
      </c>
      <c r="L66" s="253">
        <f t="shared" si="9"/>
        <v>0</v>
      </c>
      <c r="M66" s="253">
        <f t="shared" si="9"/>
        <v>0</v>
      </c>
      <c r="N66" s="253">
        <f t="shared" si="9"/>
        <v>0</v>
      </c>
      <c r="O66" s="253">
        <f t="shared" si="9"/>
        <v>0</v>
      </c>
      <c r="P66" s="254">
        <f>SUM(D66:O66)</f>
        <v>0.11280376112833854</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 t="shared" ref="D68:P68" si="10">+D57+D59+D61</f>
        <v>4.0012003601080318E-3</v>
      </c>
      <c r="E68" s="250">
        <f t="shared" si="10"/>
        <v>1.4001200360108036E-2</v>
      </c>
      <c r="F68" s="250">
        <f t="shared" si="10"/>
        <v>1.3666249874962491E-2</v>
      </c>
      <c r="G68" s="250">
        <f t="shared" si="10"/>
        <v>1.3666249874962491E-2</v>
      </c>
      <c r="H68" s="250">
        <f t="shared" si="10"/>
        <v>1.3666249874962491E-2</v>
      </c>
      <c r="I68" s="250">
        <f t="shared" si="10"/>
        <v>1.3666249874962491E-2</v>
      </c>
      <c r="J68" s="250">
        <f t="shared" si="10"/>
        <v>1.3666249874962491E-2</v>
      </c>
      <c r="K68" s="250">
        <f t="shared" si="10"/>
        <v>1.3666249874962491E-2</v>
      </c>
      <c r="L68" s="250">
        <f t="shared" si="10"/>
        <v>1.3666249874962491E-2</v>
      </c>
      <c r="M68" s="250">
        <f t="shared" si="10"/>
        <v>1.3666249874962491E-2</v>
      </c>
      <c r="N68" s="250">
        <f t="shared" si="10"/>
        <v>1.3166249874962489E-2</v>
      </c>
      <c r="O68" s="250">
        <f t="shared" si="10"/>
        <v>9.5013504051215374E-3</v>
      </c>
      <c r="P68" s="250">
        <f t="shared" si="10"/>
        <v>0.15000000000000002</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11">D68*$W$17/$B$34</f>
        <v>6.4019205761728509E-3</v>
      </c>
      <c r="E69" s="253">
        <f t="shared" si="11"/>
        <v>2.2401920576172858E-2</v>
      </c>
      <c r="F69" s="253">
        <f t="shared" si="11"/>
        <v>2.1865999799939986E-2</v>
      </c>
      <c r="G69" s="253">
        <f t="shared" si="11"/>
        <v>2.1865999799939986E-2</v>
      </c>
      <c r="H69" s="253">
        <f t="shared" si="11"/>
        <v>2.1865999799939986E-2</v>
      </c>
      <c r="I69" s="253">
        <f t="shared" si="11"/>
        <v>2.1865999799939986E-2</v>
      </c>
      <c r="J69" s="253">
        <f t="shared" si="11"/>
        <v>2.1865999799939986E-2</v>
      </c>
      <c r="K69" s="253">
        <f t="shared" si="11"/>
        <v>2.1865999799939986E-2</v>
      </c>
      <c r="L69" s="253">
        <f t="shared" si="11"/>
        <v>2.1865999799939986E-2</v>
      </c>
      <c r="M69" s="253">
        <f t="shared" si="11"/>
        <v>2.1865999799939986E-2</v>
      </c>
      <c r="N69" s="253">
        <f t="shared" si="11"/>
        <v>2.1065999799939981E-2</v>
      </c>
      <c r="O69" s="253">
        <f t="shared" si="11"/>
        <v>1.5202160648194461E-2</v>
      </c>
      <c r="P69" s="254">
        <f>SUM(D69:O69)</f>
        <v>0.24000000000000002</v>
      </c>
      <c r="Q69" s="234"/>
      <c r="R69" s="234"/>
      <c r="S69" s="229"/>
      <c r="T69" s="229"/>
      <c r="U69" s="229"/>
      <c r="V69" s="229"/>
      <c r="W69" s="229"/>
      <c r="X69" s="229"/>
      <c r="Y69" s="229"/>
      <c r="Z69" s="229"/>
      <c r="AA69" s="229"/>
      <c r="AB69" s="229"/>
      <c r="AC69" s="229"/>
      <c r="AD69" s="229"/>
    </row>
  </sheetData>
  <mergeCells count="89">
    <mergeCell ref="A61:A62"/>
    <mergeCell ref="B61:B62"/>
    <mergeCell ref="C55:P55"/>
    <mergeCell ref="A55:A56"/>
    <mergeCell ref="B55:B56"/>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Q38:Q42 R38:AD41"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82346C5A-6204-44FB-97BA-E6250A7CEE42}">
      <formula1>$C$21:$N$21</formula1>
    </dataValidation>
  </dataValidations>
  <pageMargins left="0.25" right="0.25" top="0.75" bottom="0.75" header="0.3" footer="0.3"/>
  <pageSetup scale="19" orientation="landscape"/>
  <customProperties>
    <customPr name="_pios_id" r:id="rId1"/>
  </customProperti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BA72"/>
  <sheetViews>
    <sheetView showGridLines="0" topLeftCell="S29" zoomScale="138" zoomScaleNormal="60" workbookViewId="0">
      <selection activeCell="T33" sqref="T33:Z3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43"/>
      <c r="B1" s="446"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8"/>
      <c r="AB1" s="449" t="s">
        <v>1</v>
      </c>
      <c r="AC1" s="450"/>
      <c r="AD1" s="451"/>
    </row>
    <row r="2" spans="1:53" ht="30.75" customHeight="1" thickBot="1" x14ac:dyDescent="0.3">
      <c r="A2" s="444"/>
      <c r="B2" s="446" t="s">
        <v>97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470" t="s">
        <v>3</v>
      </c>
      <c r="AC2" s="471"/>
      <c r="AD2" s="472"/>
    </row>
    <row r="3" spans="1:53" ht="24" customHeight="1" x14ac:dyDescent="0.25">
      <c r="A3" s="444"/>
      <c r="B3" s="473" t="s">
        <v>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470" t="s">
        <v>5</v>
      </c>
      <c r="AC3" s="471"/>
      <c r="AD3" s="472"/>
    </row>
    <row r="4" spans="1:53" ht="21.95" customHeight="1" thickBot="1" x14ac:dyDescent="0.3">
      <c r="A4" s="445"/>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64" t="s">
        <v>7</v>
      </c>
      <c r="B7" s="465"/>
      <c r="C7" s="500" t="s">
        <v>33</v>
      </c>
      <c r="D7" s="464" t="s">
        <v>9</v>
      </c>
      <c r="E7" s="482"/>
      <c r="F7" s="482"/>
      <c r="G7" s="482"/>
      <c r="H7" s="465"/>
      <c r="I7" s="485">
        <v>45020</v>
      </c>
      <c r="J7" s="486"/>
      <c r="K7" s="464" t="s">
        <v>10</v>
      </c>
      <c r="L7" s="465"/>
      <c r="M7" s="456" t="s">
        <v>98</v>
      </c>
      <c r="N7" s="457"/>
      <c r="O7" s="458"/>
      <c r="P7" s="459"/>
      <c r="Q7" s="54"/>
      <c r="R7" s="54"/>
      <c r="S7" s="54"/>
      <c r="T7" s="54"/>
      <c r="U7" s="54"/>
      <c r="V7" s="54"/>
      <c r="W7" s="54"/>
      <c r="X7" s="54"/>
      <c r="Y7" s="54"/>
      <c r="Z7" s="55"/>
      <c r="AA7" s="54"/>
      <c r="AB7" s="54"/>
      <c r="AC7" s="60"/>
      <c r="AD7" s="61"/>
    </row>
    <row r="8" spans="1:53" ht="15" customHeight="1" x14ac:dyDescent="0.25">
      <c r="A8" s="466"/>
      <c r="B8" s="467"/>
      <c r="C8" s="501"/>
      <c r="D8" s="466"/>
      <c r="E8" s="483"/>
      <c r="F8" s="483"/>
      <c r="G8" s="483"/>
      <c r="H8" s="467"/>
      <c r="I8" s="487"/>
      <c r="J8" s="488"/>
      <c r="K8" s="466"/>
      <c r="L8" s="467"/>
      <c r="M8" s="460" t="s">
        <v>99</v>
      </c>
      <c r="N8" s="461"/>
      <c r="O8" s="736"/>
      <c r="P8" s="737"/>
      <c r="Q8" s="54"/>
      <c r="R8" s="54"/>
      <c r="S8" s="54"/>
      <c r="T8" s="54"/>
      <c r="U8" s="54"/>
      <c r="V8" s="54"/>
      <c r="W8" s="54"/>
      <c r="X8" s="54"/>
      <c r="Y8" s="54"/>
      <c r="Z8" s="55"/>
      <c r="AA8" s="54"/>
      <c r="AB8" s="54"/>
      <c r="AC8" s="60"/>
      <c r="AD8" s="61"/>
    </row>
    <row r="9" spans="1:53" ht="15.75" customHeight="1" thickBot="1" x14ac:dyDescent="0.3">
      <c r="A9" s="468"/>
      <c r="B9" s="469"/>
      <c r="C9" s="502"/>
      <c r="D9" s="468"/>
      <c r="E9" s="484"/>
      <c r="F9" s="484"/>
      <c r="G9" s="484"/>
      <c r="H9" s="469"/>
      <c r="I9" s="489"/>
      <c r="J9" s="490"/>
      <c r="K9" s="468"/>
      <c r="L9" s="469"/>
      <c r="M9" s="452" t="s">
        <v>13</v>
      </c>
      <c r="N9" s="453"/>
      <c r="O9" s="454" t="s">
        <v>14</v>
      </c>
      <c r="P9" s="455"/>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64" t="s">
        <v>15</v>
      </c>
      <c r="B11" s="465"/>
      <c r="C11" s="491" t="s">
        <v>16</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3"/>
      <c r="BA11" s="327"/>
    </row>
    <row r="12" spans="1:53" ht="15" customHeight="1" x14ac:dyDescent="0.25">
      <c r="A12" s="466"/>
      <c r="B12" s="467"/>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6"/>
      <c r="BA12" s="327"/>
    </row>
    <row r="13" spans="1:53" ht="15" customHeight="1" thickBot="1" x14ac:dyDescent="0.3">
      <c r="A13" s="468"/>
      <c r="B13" s="469"/>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9"/>
      <c r="BA13" s="327"/>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7"/>
    </row>
    <row r="15" spans="1:53" ht="39" customHeight="1" thickBot="1" x14ac:dyDescent="0.3">
      <c r="A15" s="528" t="s">
        <v>17</v>
      </c>
      <c r="B15" s="529"/>
      <c r="C15" s="538" t="s">
        <v>18</v>
      </c>
      <c r="D15" s="539"/>
      <c r="E15" s="539"/>
      <c r="F15" s="539"/>
      <c r="G15" s="539"/>
      <c r="H15" s="539"/>
      <c r="I15" s="539"/>
      <c r="J15" s="539"/>
      <c r="K15" s="540"/>
      <c r="L15" s="503" t="s">
        <v>19</v>
      </c>
      <c r="M15" s="504"/>
      <c r="N15" s="504"/>
      <c r="O15" s="504"/>
      <c r="P15" s="504"/>
      <c r="Q15" s="505"/>
      <c r="R15" s="533" t="s">
        <v>20</v>
      </c>
      <c r="S15" s="534"/>
      <c r="T15" s="534"/>
      <c r="U15" s="534"/>
      <c r="V15" s="534"/>
      <c r="W15" s="534"/>
      <c r="X15" s="535"/>
      <c r="Y15" s="503" t="s">
        <v>21</v>
      </c>
      <c r="Z15" s="505"/>
      <c r="AA15" s="524" t="s">
        <v>22</v>
      </c>
      <c r="AB15" s="525"/>
      <c r="AC15" s="525"/>
      <c r="AD15" s="526"/>
      <c r="BA15" s="327"/>
    </row>
    <row r="16" spans="1:53" ht="9" customHeight="1" thickBot="1" x14ac:dyDescent="0.3">
      <c r="A16" s="59"/>
      <c r="B16" s="54"/>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73"/>
      <c r="AD16" s="74"/>
      <c r="BA16" s="327"/>
    </row>
    <row r="17" spans="1:53" s="76" customFormat="1" ht="37.5" customHeight="1" thickBot="1" x14ac:dyDescent="0.3">
      <c r="A17" s="528" t="s">
        <v>24</v>
      </c>
      <c r="B17" s="529"/>
      <c r="C17" s="530" t="s">
        <v>131</v>
      </c>
      <c r="D17" s="531"/>
      <c r="E17" s="531"/>
      <c r="F17" s="531"/>
      <c r="G17" s="531"/>
      <c r="H17" s="531"/>
      <c r="I17" s="531"/>
      <c r="J17" s="531"/>
      <c r="K17" s="531"/>
      <c r="L17" s="531"/>
      <c r="M17" s="531"/>
      <c r="N17" s="531"/>
      <c r="O17" s="531"/>
      <c r="P17" s="531"/>
      <c r="Q17" s="532"/>
      <c r="R17" s="503" t="s">
        <v>26</v>
      </c>
      <c r="S17" s="504"/>
      <c r="T17" s="504"/>
      <c r="U17" s="504"/>
      <c r="V17" s="505"/>
      <c r="W17" s="536">
        <v>1</v>
      </c>
      <c r="X17" s="537"/>
      <c r="Y17" s="504" t="s">
        <v>27</v>
      </c>
      <c r="Z17" s="504"/>
      <c r="AA17" s="504"/>
      <c r="AB17" s="505"/>
      <c r="AC17" s="514">
        <v>0.1</v>
      </c>
      <c r="AD17" s="515"/>
      <c r="BA17" s="328"/>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7"/>
    </row>
    <row r="19" spans="1:53" ht="32.1" customHeight="1" thickBot="1" x14ac:dyDescent="0.3">
      <c r="A19" s="503" t="s">
        <v>28</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c r="BA19" s="327"/>
    </row>
    <row r="20" spans="1:53" ht="32.1" customHeight="1" thickBot="1" x14ac:dyDescent="0.3">
      <c r="A20" s="82"/>
      <c r="B20" s="60"/>
      <c r="C20" s="509" t="s">
        <v>29</v>
      </c>
      <c r="D20" s="510"/>
      <c r="E20" s="510"/>
      <c r="F20" s="510"/>
      <c r="G20" s="510"/>
      <c r="H20" s="510"/>
      <c r="I20" s="510"/>
      <c r="J20" s="510"/>
      <c r="K20" s="510"/>
      <c r="L20" s="510"/>
      <c r="M20" s="510"/>
      <c r="N20" s="510"/>
      <c r="O20" s="510"/>
      <c r="P20" s="511"/>
      <c r="Q20" s="506" t="s">
        <v>30</v>
      </c>
      <c r="R20" s="507"/>
      <c r="S20" s="507"/>
      <c r="T20" s="507"/>
      <c r="U20" s="507"/>
      <c r="V20" s="507"/>
      <c r="W20" s="507"/>
      <c r="X20" s="507"/>
      <c r="Y20" s="507"/>
      <c r="Z20" s="507"/>
      <c r="AA20" s="507"/>
      <c r="AB20" s="507"/>
      <c r="AC20" s="507"/>
      <c r="AD20" s="508"/>
      <c r="AE20" s="83"/>
      <c r="AF20" s="83"/>
      <c r="BA20" s="327"/>
    </row>
    <row r="21" spans="1:53" ht="32.1" customHeight="1" thickBot="1" x14ac:dyDescent="0.3">
      <c r="A21" s="59"/>
      <c r="B21" s="54"/>
      <c r="C21" s="158" t="s">
        <v>31</v>
      </c>
      <c r="D21" s="159" t="s">
        <v>32</v>
      </c>
      <c r="E21" s="159" t="s">
        <v>33</v>
      </c>
      <c r="F21" s="159" t="s">
        <v>34</v>
      </c>
      <c r="G21" s="159" t="s">
        <v>35</v>
      </c>
      <c r="H21" s="159" t="s">
        <v>8</v>
      </c>
      <c r="I21" s="159" t="s">
        <v>36</v>
      </c>
      <c r="J21" s="159" t="s">
        <v>37</v>
      </c>
      <c r="K21" s="159" t="s">
        <v>38</v>
      </c>
      <c r="L21" s="159" t="s">
        <v>39</v>
      </c>
      <c r="M21" s="159" t="s">
        <v>40</v>
      </c>
      <c r="N21" s="159" t="s">
        <v>41</v>
      </c>
      <c r="O21" s="159" t="s">
        <v>42</v>
      </c>
      <c r="P21" s="160" t="s">
        <v>43</v>
      </c>
      <c r="Q21" s="158" t="s">
        <v>31</v>
      </c>
      <c r="R21" s="159" t="s">
        <v>32</v>
      </c>
      <c r="S21" s="159" t="s">
        <v>33</v>
      </c>
      <c r="T21" s="159" t="s">
        <v>34</v>
      </c>
      <c r="U21" s="159" t="s">
        <v>35</v>
      </c>
      <c r="V21" s="159" t="s">
        <v>8</v>
      </c>
      <c r="W21" s="159" t="s">
        <v>36</v>
      </c>
      <c r="X21" s="159" t="s">
        <v>37</v>
      </c>
      <c r="Y21" s="159" t="s">
        <v>38</v>
      </c>
      <c r="Z21" s="159" t="s">
        <v>39</v>
      </c>
      <c r="AA21" s="159" t="s">
        <v>40</v>
      </c>
      <c r="AB21" s="159" t="s">
        <v>41</v>
      </c>
      <c r="AC21" s="159" t="s">
        <v>42</v>
      </c>
      <c r="AD21" s="160" t="s">
        <v>43</v>
      </c>
      <c r="AE21" s="3"/>
      <c r="AF21" s="3"/>
      <c r="BA21" s="327"/>
    </row>
    <row r="22" spans="1:53" ht="32.1" customHeight="1" x14ac:dyDescent="0.25">
      <c r="A22" s="512" t="s">
        <v>101</v>
      </c>
      <c r="B22" s="513"/>
      <c r="C22" s="179"/>
      <c r="D22" s="177"/>
      <c r="E22" s="177"/>
      <c r="F22" s="177"/>
      <c r="G22" s="177"/>
      <c r="H22" s="177"/>
      <c r="I22" s="177"/>
      <c r="J22" s="177"/>
      <c r="K22" s="177"/>
      <c r="L22" s="177"/>
      <c r="M22" s="177"/>
      <c r="N22" s="177"/>
      <c r="O22" s="177">
        <f>SUM(C22:N22)</f>
        <v>0</v>
      </c>
      <c r="P22" s="180"/>
      <c r="Q22" s="179">
        <v>367342350</v>
      </c>
      <c r="R22" s="177"/>
      <c r="S22" s="177"/>
      <c r="T22" s="177">
        <v>21559511</v>
      </c>
      <c r="U22" s="177"/>
      <c r="V22" s="177">
        <f>2139478+34249272</f>
        <v>36388750</v>
      </c>
      <c r="W22" s="177"/>
      <c r="X22" s="177"/>
      <c r="Y22" s="177"/>
      <c r="Z22" s="177"/>
      <c r="AA22" s="177"/>
      <c r="AB22" s="177"/>
      <c r="AC22" s="177">
        <f>SUM(Q22:AB22)</f>
        <v>425290611</v>
      </c>
      <c r="AD22" s="184"/>
      <c r="AE22" s="3"/>
      <c r="AF22" s="3"/>
    </row>
    <row r="23" spans="1:53" ht="32.1" customHeight="1" x14ac:dyDescent="0.25">
      <c r="A23" s="520" t="s">
        <v>47</v>
      </c>
      <c r="B23" s="521"/>
      <c r="C23" s="175"/>
      <c r="D23" s="174"/>
      <c r="E23" s="174"/>
      <c r="F23" s="174"/>
      <c r="G23" s="174"/>
      <c r="H23" s="174"/>
      <c r="I23" s="174"/>
      <c r="J23" s="174"/>
      <c r="K23" s="174"/>
      <c r="L23" s="174"/>
      <c r="M23" s="174"/>
      <c r="N23" s="174"/>
      <c r="O23" s="174">
        <f>SUM(C23:N23)</f>
        <v>0</v>
      </c>
      <c r="P23" s="192" t="str">
        <f>IFERROR(O23/(SUMIF(C23:N23,"&gt;0",C22:N22))," ")</f>
        <v xml:space="preserve"> </v>
      </c>
      <c r="Q23" s="179">
        <v>131719000</v>
      </c>
      <c r="R23" s="179">
        <v>160636483</v>
      </c>
      <c r="S23" s="179">
        <v>24103734</v>
      </c>
      <c r="T23" s="174"/>
      <c r="U23" s="174"/>
      <c r="V23" s="174"/>
      <c r="W23" s="174"/>
      <c r="X23" s="174"/>
      <c r="Y23" s="174"/>
      <c r="Z23" s="174"/>
      <c r="AA23" s="174"/>
      <c r="AB23" s="174"/>
      <c r="AC23" s="174">
        <f>SUM(Q23:AB23)</f>
        <v>316459217</v>
      </c>
      <c r="AD23" s="182">
        <f>+AC23/AC22</f>
        <v>0.74410111301516602</v>
      </c>
      <c r="AE23" s="3"/>
      <c r="AF23" s="3"/>
    </row>
    <row r="24" spans="1:53" ht="32.1" customHeight="1" x14ac:dyDescent="0.25">
      <c r="A24" s="520" t="s">
        <v>103</v>
      </c>
      <c r="B24" s="521"/>
      <c r="C24" s="175">
        <v>19304536</v>
      </c>
      <c r="D24" s="174">
        <f>1166667+432600+475860+4505046</f>
        <v>6580173</v>
      </c>
      <c r="E24" s="174"/>
      <c r="F24" s="174"/>
      <c r="G24" s="174"/>
      <c r="H24" s="174"/>
      <c r="I24" s="174"/>
      <c r="J24" s="174"/>
      <c r="K24" s="174"/>
      <c r="L24" s="174"/>
      <c r="M24" s="174"/>
      <c r="N24" s="174"/>
      <c r="O24" s="213">
        <f>SUM(C24:N24)</f>
        <v>25884709</v>
      </c>
      <c r="P24" s="178"/>
      <c r="Q24" s="175"/>
      <c r="R24" s="174">
        <v>15581050</v>
      </c>
      <c r="S24" s="174">
        <v>31978300</v>
      </c>
      <c r="T24" s="174">
        <v>31978300</v>
      </c>
      <c r="U24" s="174">
        <f>31978300+21559511</f>
        <v>53537811</v>
      </c>
      <c r="V24" s="174">
        <v>31978300</v>
      </c>
      <c r="W24" s="174">
        <f>31978300+2139478+11416424</f>
        <v>45534202</v>
      </c>
      <c r="X24" s="174">
        <v>31978300</v>
      </c>
      <c r="Y24" s="174">
        <f>31978300+11416424</f>
        <v>43394724</v>
      </c>
      <c r="Z24" s="174">
        <v>31978300</v>
      </c>
      <c r="AA24" s="174">
        <f>31978300+11416424</f>
        <v>43394724</v>
      </c>
      <c r="AB24" s="174">
        <v>63956600</v>
      </c>
      <c r="AC24" s="174">
        <f>SUM(Q24:AB24)</f>
        <v>425290611</v>
      </c>
      <c r="AD24" s="182"/>
      <c r="AE24" s="3"/>
      <c r="AF24" s="3"/>
    </row>
    <row r="25" spans="1:53" ht="32.1" customHeight="1" x14ac:dyDescent="0.25">
      <c r="A25" s="522" t="s">
        <v>50</v>
      </c>
      <c r="B25" s="523"/>
      <c r="C25" s="175">
        <v>475860</v>
      </c>
      <c r="D25" s="175">
        <v>18698718</v>
      </c>
      <c r="E25" s="175" t="s">
        <v>51</v>
      </c>
      <c r="F25" s="176"/>
      <c r="G25" s="176"/>
      <c r="H25" s="176"/>
      <c r="I25" s="176"/>
      <c r="J25" s="176"/>
      <c r="K25" s="176"/>
      <c r="L25" s="176"/>
      <c r="M25" s="176"/>
      <c r="N25" s="176"/>
      <c r="O25" s="176">
        <f>SUM(C25:N25)</f>
        <v>19174578</v>
      </c>
      <c r="P25" s="181">
        <f>+O25/O24</f>
        <v>0.74076853635866646</v>
      </c>
      <c r="Q25" s="179" t="s">
        <v>104</v>
      </c>
      <c r="R25" s="179">
        <v>1210733</v>
      </c>
      <c r="S25" s="179">
        <v>15704100</v>
      </c>
      <c r="T25" s="176"/>
      <c r="U25" s="176"/>
      <c r="V25" s="176"/>
      <c r="W25" s="176"/>
      <c r="X25" s="176"/>
      <c r="Y25" s="176"/>
      <c r="Z25" s="176"/>
      <c r="AA25" s="176"/>
      <c r="AB25" s="176"/>
      <c r="AC25" s="176">
        <f>SUM(Q25:AB25)</f>
        <v>16914833</v>
      </c>
      <c r="AD25" s="183">
        <f>+AC25/AC23</f>
        <v>5.3450277607177417E-2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516" t="s">
        <v>53</v>
      </c>
      <c r="B27" s="517"/>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row>
    <row r="28" spans="1:53" ht="15" customHeight="1" x14ac:dyDescent="0.25">
      <c r="A28" s="541" t="s">
        <v>54</v>
      </c>
      <c r="B28" s="543" t="s">
        <v>55</v>
      </c>
      <c r="C28" s="544"/>
      <c r="D28" s="521" t="s">
        <v>56</v>
      </c>
      <c r="E28" s="547"/>
      <c r="F28" s="547"/>
      <c r="G28" s="547"/>
      <c r="H28" s="547"/>
      <c r="I28" s="547"/>
      <c r="J28" s="547"/>
      <c r="K28" s="547"/>
      <c r="L28" s="547"/>
      <c r="M28" s="547"/>
      <c r="N28" s="547"/>
      <c r="O28" s="548"/>
      <c r="P28" s="549" t="s">
        <v>42</v>
      </c>
      <c r="Q28" s="549" t="s">
        <v>57</v>
      </c>
      <c r="R28" s="549"/>
      <c r="S28" s="549"/>
      <c r="T28" s="549"/>
      <c r="U28" s="549"/>
      <c r="V28" s="549"/>
      <c r="W28" s="549"/>
      <c r="X28" s="549"/>
      <c r="Y28" s="549"/>
      <c r="Z28" s="549"/>
      <c r="AA28" s="549"/>
      <c r="AB28" s="549"/>
      <c r="AC28" s="549"/>
      <c r="AD28" s="550"/>
    </row>
    <row r="29" spans="1:53" ht="27" customHeight="1" x14ac:dyDescent="0.25">
      <c r="A29" s="542"/>
      <c r="B29" s="545"/>
      <c r="C29" s="546"/>
      <c r="D29" s="88" t="s">
        <v>31</v>
      </c>
      <c r="E29" s="88" t="s">
        <v>32</v>
      </c>
      <c r="F29" s="88" t="s">
        <v>33</v>
      </c>
      <c r="G29" s="88" t="s">
        <v>34</v>
      </c>
      <c r="H29" s="88" t="s">
        <v>35</v>
      </c>
      <c r="I29" s="88" t="s">
        <v>8</v>
      </c>
      <c r="J29" s="88" t="s">
        <v>36</v>
      </c>
      <c r="K29" s="88" t="s">
        <v>37</v>
      </c>
      <c r="L29" s="88" t="s">
        <v>38</v>
      </c>
      <c r="M29" s="88" t="s">
        <v>39</v>
      </c>
      <c r="N29" s="88" t="s">
        <v>40</v>
      </c>
      <c r="O29" s="88" t="s">
        <v>41</v>
      </c>
      <c r="P29" s="548"/>
      <c r="Q29" s="549"/>
      <c r="R29" s="549"/>
      <c r="S29" s="549"/>
      <c r="T29" s="549"/>
      <c r="U29" s="549"/>
      <c r="V29" s="549"/>
      <c r="W29" s="549"/>
      <c r="X29" s="549"/>
      <c r="Y29" s="549"/>
      <c r="Z29" s="549"/>
      <c r="AA29" s="549"/>
      <c r="AB29" s="549"/>
      <c r="AC29" s="549"/>
      <c r="AD29" s="550"/>
    </row>
    <row r="30" spans="1:53" ht="86.25" customHeight="1" thickBot="1" x14ac:dyDescent="0.3">
      <c r="A30" s="85" t="s">
        <v>132</v>
      </c>
      <c r="B30" s="551"/>
      <c r="C30" s="552"/>
      <c r="D30" s="89"/>
      <c r="E30" s="89"/>
      <c r="F30" s="89"/>
      <c r="G30" s="89"/>
      <c r="H30" s="89"/>
      <c r="I30" s="89"/>
      <c r="J30" s="89"/>
      <c r="K30" s="89"/>
      <c r="L30" s="89"/>
      <c r="M30" s="89"/>
      <c r="N30" s="89"/>
      <c r="O30" s="89"/>
      <c r="P30" s="86">
        <f>SUM(D30:O30)</f>
        <v>0</v>
      </c>
      <c r="Q30" s="553"/>
      <c r="R30" s="553"/>
      <c r="S30" s="553"/>
      <c r="T30" s="553"/>
      <c r="U30" s="553"/>
      <c r="V30" s="553"/>
      <c r="W30" s="553"/>
      <c r="X30" s="553"/>
      <c r="Y30" s="553"/>
      <c r="Z30" s="553"/>
      <c r="AA30" s="553"/>
      <c r="AB30" s="553"/>
      <c r="AC30" s="553"/>
      <c r="AD30" s="554"/>
    </row>
    <row r="31" spans="1:53" ht="45" customHeight="1" thickBot="1" x14ac:dyDescent="0.3">
      <c r="A31" s="555" t="s">
        <v>59</v>
      </c>
      <c r="B31" s="556"/>
      <c r="C31" s="556"/>
      <c r="D31" s="556"/>
      <c r="E31" s="556"/>
      <c r="F31" s="556"/>
      <c r="G31" s="556"/>
      <c r="H31" s="556"/>
      <c r="I31" s="556"/>
      <c r="J31" s="556"/>
      <c r="K31" s="556"/>
      <c r="L31" s="556"/>
      <c r="M31" s="556"/>
      <c r="N31" s="556"/>
      <c r="O31" s="556"/>
      <c r="P31" s="556"/>
      <c r="Q31" s="474"/>
      <c r="R31" s="474"/>
      <c r="S31" s="474"/>
      <c r="T31" s="474"/>
      <c r="U31" s="474"/>
      <c r="V31" s="474"/>
      <c r="W31" s="474"/>
      <c r="X31" s="474"/>
      <c r="Y31" s="474"/>
      <c r="Z31" s="474"/>
      <c r="AA31" s="474"/>
      <c r="AB31" s="474"/>
      <c r="AC31" s="474"/>
      <c r="AD31" s="475"/>
    </row>
    <row r="32" spans="1:53" ht="20.25" customHeight="1" x14ac:dyDescent="0.25">
      <c r="A32" s="512" t="s">
        <v>60</v>
      </c>
      <c r="B32" s="558" t="s">
        <v>61</v>
      </c>
      <c r="C32" s="558" t="s">
        <v>55</v>
      </c>
      <c r="D32" s="561" t="s">
        <v>62</v>
      </c>
      <c r="E32" s="558"/>
      <c r="F32" s="558"/>
      <c r="G32" s="558"/>
      <c r="H32" s="558"/>
      <c r="I32" s="558"/>
      <c r="J32" s="558"/>
      <c r="K32" s="558"/>
      <c r="L32" s="558"/>
      <c r="M32" s="558"/>
      <c r="N32" s="558"/>
      <c r="O32" s="558"/>
      <c r="P32" s="559"/>
      <c r="Q32" s="512" t="s">
        <v>63</v>
      </c>
      <c r="R32" s="558"/>
      <c r="S32" s="558"/>
      <c r="T32" s="558"/>
      <c r="U32" s="558"/>
      <c r="V32" s="558"/>
      <c r="W32" s="558"/>
      <c r="X32" s="558"/>
      <c r="Y32" s="558"/>
      <c r="Z32" s="558"/>
      <c r="AA32" s="558"/>
      <c r="AB32" s="558"/>
      <c r="AC32" s="558"/>
      <c r="AD32" s="559"/>
      <c r="AG32" s="87"/>
      <c r="AH32" s="87"/>
      <c r="AI32" s="87"/>
      <c r="AJ32" s="87"/>
      <c r="AK32" s="87"/>
      <c r="AL32" s="87"/>
      <c r="AM32" s="87"/>
      <c r="AN32" s="87"/>
      <c r="AO32" s="87"/>
    </row>
    <row r="33" spans="1:41" ht="27" customHeight="1" thickBot="1" x14ac:dyDescent="0.3">
      <c r="A33" s="520"/>
      <c r="B33" s="549"/>
      <c r="C33" s="719"/>
      <c r="D33" s="274" t="s">
        <v>31</v>
      </c>
      <c r="E33" s="265" t="s">
        <v>32</v>
      </c>
      <c r="F33" s="265" t="s">
        <v>33</v>
      </c>
      <c r="G33" s="265" t="s">
        <v>34</v>
      </c>
      <c r="H33" s="265" t="s">
        <v>35</v>
      </c>
      <c r="I33" s="265" t="s">
        <v>8</v>
      </c>
      <c r="J33" s="265" t="s">
        <v>36</v>
      </c>
      <c r="K33" s="265" t="s">
        <v>37</v>
      </c>
      <c r="L33" s="265" t="s">
        <v>38</v>
      </c>
      <c r="M33" s="265" t="s">
        <v>39</v>
      </c>
      <c r="N33" s="265" t="s">
        <v>40</v>
      </c>
      <c r="O33" s="265" t="s">
        <v>41</v>
      </c>
      <c r="P33" s="266" t="s">
        <v>42</v>
      </c>
      <c r="Q33" s="522" t="s">
        <v>64</v>
      </c>
      <c r="R33" s="593"/>
      <c r="S33" s="593"/>
      <c r="T33" s="593" t="s">
        <v>65</v>
      </c>
      <c r="U33" s="593"/>
      <c r="V33" s="593"/>
      <c r="W33" s="657" t="s">
        <v>106</v>
      </c>
      <c r="X33" s="510"/>
      <c r="Y33" s="510"/>
      <c r="Z33" s="658"/>
      <c r="AA33" s="657" t="s">
        <v>67</v>
      </c>
      <c r="AB33" s="510"/>
      <c r="AC33" s="510"/>
      <c r="AD33" s="511"/>
      <c r="AG33" s="87"/>
      <c r="AH33" s="87"/>
      <c r="AI33" s="87"/>
      <c r="AJ33" s="87"/>
      <c r="AK33" s="87"/>
      <c r="AL33" s="87"/>
      <c r="AM33" s="87"/>
      <c r="AN33" s="87"/>
      <c r="AO33" s="87"/>
    </row>
    <row r="34" spans="1:41" ht="69.75" customHeight="1" x14ac:dyDescent="0.25">
      <c r="A34" s="684" t="s">
        <v>132</v>
      </c>
      <c r="B34" s="565">
        <v>0.1</v>
      </c>
      <c r="C34" s="102" t="s">
        <v>68</v>
      </c>
      <c r="D34" s="313">
        <f>D69</f>
        <v>0</v>
      </c>
      <c r="E34" s="314">
        <f>E69</f>
        <v>0.10000000000000002</v>
      </c>
      <c r="F34" s="314">
        <f t="shared" ref="F34:O34" si="0">F69</f>
        <v>9.5000000000000015E-2</v>
      </c>
      <c r="G34" s="314">
        <f t="shared" si="0"/>
        <v>9.5000000000000015E-2</v>
      </c>
      <c r="H34" s="314">
        <f t="shared" si="0"/>
        <v>9.5000000000000015E-2</v>
      </c>
      <c r="I34" s="314">
        <f t="shared" si="0"/>
        <v>9.5000000000000015E-2</v>
      </c>
      <c r="J34" s="314">
        <f t="shared" si="0"/>
        <v>9.5000000000000015E-2</v>
      </c>
      <c r="K34" s="314">
        <f t="shared" si="0"/>
        <v>9.5000000000000015E-2</v>
      </c>
      <c r="L34" s="314">
        <f t="shared" si="0"/>
        <v>9.5000000000000015E-2</v>
      </c>
      <c r="M34" s="314">
        <f t="shared" si="0"/>
        <v>9.5000000000000015E-2</v>
      </c>
      <c r="N34" s="314">
        <f t="shared" si="0"/>
        <v>9.5000000000000015E-2</v>
      </c>
      <c r="O34" s="315">
        <f t="shared" si="0"/>
        <v>4.5000000000000151E-2</v>
      </c>
      <c r="P34" s="316">
        <f>SUM(D34:O34)</f>
        <v>1</v>
      </c>
      <c r="Q34" s="727" t="s">
        <v>133</v>
      </c>
      <c r="R34" s="727"/>
      <c r="S34" s="732"/>
      <c r="T34" s="727" t="s">
        <v>134</v>
      </c>
      <c r="U34" s="727"/>
      <c r="V34" s="732"/>
      <c r="W34" s="734" t="s">
        <v>135</v>
      </c>
      <c r="X34" s="734"/>
      <c r="Y34" s="734"/>
      <c r="Z34" s="734"/>
      <c r="AA34" s="726"/>
      <c r="AB34" s="727"/>
      <c r="AC34" s="727"/>
      <c r="AD34" s="728"/>
      <c r="AG34" s="87"/>
      <c r="AH34" s="87"/>
      <c r="AI34" s="87"/>
      <c r="AJ34" s="87"/>
      <c r="AK34" s="87"/>
      <c r="AL34" s="87"/>
      <c r="AM34" s="87"/>
      <c r="AN34" s="87"/>
      <c r="AO34" s="87"/>
    </row>
    <row r="35" spans="1:41" ht="69.75" customHeight="1" thickBot="1" x14ac:dyDescent="0.3">
      <c r="A35" s="685"/>
      <c r="B35" s="477"/>
      <c r="C35" s="91" t="s">
        <v>72</v>
      </c>
      <c r="D35" s="317">
        <f>D66</f>
        <v>0</v>
      </c>
      <c r="E35" s="318">
        <f t="shared" ref="E35:O35" si="1">E66</f>
        <v>0.10000000000000002</v>
      </c>
      <c r="F35" s="318">
        <f t="shared" si="1"/>
        <v>9.5000000000000015E-2</v>
      </c>
      <c r="G35" s="318">
        <f t="shared" si="1"/>
        <v>0</v>
      </c>
      <c r="H35" s="318">
        <f t="shared" si="1"/>
        <v>0</v>
      </c>
      <c r="I35" s="318">
        <f t="shared" si="1"/>
        <v>0</v>
      </c>
      <c r="J35" s="318">
        <f t="shared" si="1"/>
        <v>0</v>
      </c>
      <c r="K35" s="318">
        <f t="shared" si="1"/>
        <v>0</v>
      </c>
      <c r="L35" s="318">
        <f t="shared" si="1"/>
        <v>0</v>
      </c>
      <c r="M35" s="318">
        <f t="shared" si="1"/>
        <v>0</v>
      </c>
      <c r="N35" s="318">
        <f t="shared" si="1"/>
        <v>0</v>
      </c>
      <c r="O35" s="319">
        <f t="shared" si="1"/>
        <v>0</v>
      </c>
      <c r="P35" s="320">
        <f>SUM(D35:O35)</f>
        <v>0.19500000000000003</v>
      </c>
      <c r="Q35" s="730"/>
      <c r="R35" s="730"/>
      <c r="S35" s="733"/>
      <c r="T35" s="730"/>
      <c r="U35" s="730"/>
      <c r="V35" s="733"/>
      <c r="W35" s="735"/>
      <c r="X35" s="735"/>
      <c r="Y35" s="735"/>
      <c r="Z35" s="735"/>
      <c r="AA35" s="729"/>
      <c r="AB35" s="730"/>
      <c r="AC35" s="730"/>
      <c r="AD35" s="731"/>
      <c r="AE35" s="49"/>
      <c r="AG35" s="87"/>
      <c r="AH35" s="87"/>
      <c r="AI35" s="87"/>
      <c r="AJ35" s="87"/>
      <c r="AK35" s="87"/>
      <c r="AL35" s="87"/>
      <c r="AM35" s="87"/>
      <c r="AN35" s="87"/>
      <c r="AO35" s="87"/>
    </row>
    <row r="36" spans="1:41" ht="26.1" customHeight="1" x14ac:dyDescent="0.25">
      <c r="A36" s="512" t="s">
        <v>73</v>
      </c>
      <c r="B36" s="513" t="s">
        <v>74</v>
      </c>
      <c r="C36" s="512" t="s">
        <v>75</v>
      </c>
      <c r="D36" s="558"/>
      <c r="E36" s="558"/>
      <c r="F36" s="558"/>
      <c r="G36" s="558"/>
      <c r="H36" s="558"/>
      <c r="I36" s="558"/>
      <c r="J36" s="558"/>
      <c r="K36" s="558"/>
      <c r="L36" s="558"/>
      <c r="M36" s="558"/>
      <c r="N36" s="558"/>
      <c r="O36" s="558"/>
      <c r="P36" s="559"/>
      <c r="Q36" s="595" t="s">
        <v>76</v>
      </c>
      <c r="R36" s="595"/>
      <c r="S36" s="595"/>
      <c r="T36" s="595"/>
      <c r="U36" s="595"/>
      <c r="V36" s="595"/>
      <c r="W36" s="595"/>
      <c r="X36" s="595"/>
      <c r="Y36" s="595"/>
      <c r="Z36" s="595"/>
      <c r="AA36" s="595"/>
      <c r="AB36" s="595"/>
      <c r="AC36" s="595"/>
      <c r="AD36" s="596"/>
      <c r="AG36" s="87"/>
      <c r="AH36" s="87"/>
      <c r="AI36" s="87"/>
      <c r="AJ36" s="87"/>
      <c r="AK36" s="87"/>
      <c r="AL36" s="87"/>
      <c r="AM36" s="87"/>
      <c r="AN36" s="87"/>
      <c r="AO36" s="87"/>
    </row>
    <row r="37" spans="1:41" ht="26.1" customHeight="1" thickBot="1" x14ac:dyDescent="0.3">
      <c r="A37" s="520"/>
      <c r="B37" s="521"/>
      <c r="C37" s="223" t="s">
        <v>77</v>
      </c>
      <c r="D37" s="265" t="s">
        <v>78</v>
      </c>
      <c r="E37" s="265" t="s">
        <v>79</v>
      </c>
      <c r="F37" s="265" t="s">
        <v>80</v>
      </c>
      <c r="G37" s="265" t="s">
        <v>81</v>
      </c>
      <c r="H37" s="265" t="s">
        <v>82</v>
      </c>
      <c r="I37" s="265" t="s">
        <v>83</v>
      </c>
      <c r="J37" s="265" t="s">
        <v>84</v>
      </c>
      <c r="K37" s="265" t="s">
        <v>85</v>
      </c>
      <c r="L37" s="265" t="s">
        <v>86</v>
      </c>
      <c r="M37" s="265" t="s">
        <v>87</v>
      </c>
      <c r="N37" s="265" t="s">
        <v>88</v>
      </c>
      <c r="O37" s="265" t="s">
        <v>89</v>
      </c>
      <c r="P37" s="266" t="s">
        <v>90</v>
      </c>
      <c r="Q37" s="598" t="s">
        <v>91</v>
      </c>
      <c r="R37" s="598"/>
      <c r="S37" s="598"/>
      <c r="T37" s="598"/>
      <c r="U37" s="598"/>
      <c r="V37" s="598"/>
      <c r="W37" s="598"/>
      <c r="X37" s="598"/>
      <c r="Y37" s="598"/>
      <c r="Z37" s="598"/>
      <c r="AA37" s="598"/>
      <c r="AB37" s="598"/>
      <c r="AC37" s="598"/>
      <c r="AD37" s="599"/>
      <c r="AG37" s="94"/>
      <c r="AH37" s="94"/>
      <c r="AI37" s="94"/>
      <c r="AJ37" s="94"/>
      <c r="AK37" s="94"/>
      <c r="AL37" s="94"/>
      <c r="AM37" s="94"/>
      <c r="AN37" s="94"/>
      <c r="AO37" s="94"/>
    </row>
    <row r="38" spans="1:41" ht="35.25" customHeight="1" x14ac:dyDescent="0.25">
      <c r="A38" s="659" t="s">
        <v>136</v>
      </c>
      <c r="B38" s="720">
        <v>0.1</v>
      </c>
      <c r="C38" s="102" t="s">
        <v>68</v>
      </c>
      <c r="D38" s="289">
        <v>0</v>
      </c>
      <c r="E38" s="309">
        <v>0.1</v>
      </c>
      <c r="F38" s="310">
        <v>9.5000000000000001E-2</v>
      </c>
      <c r="G38" s="310">
        <v>9.5000000000000001E-2</v>
      </c>
      <c r="H38" s="310">
        <v>9.5000000000000001E-2</v>
      </c>
      <c r="I38" s="310">
        <v>9.5000000000000001E-2</v>
      </c>
      <c r="J38" s="310">
        <v>9.5000000000000001E-2</v>
      </c>
      <c r="K38" s="310">
        <v>9.5000000000000001E-2</v>
      </c>
      <c r="L38" s="310">
        <v>9.5000000000000001E-2</v>
      </c>
      <c r="M38" s="310">
        <v>9.5000000000000001E-2</v>
      </c>
      <c r="N38" s="310">
        <v>9.5000000000000001E-2</v>
      </c>
      <c r="O38" s="310">
        <f>1-SUM(D38:N38)</f>
        <v>4.5000000000000151E-2</v>
      </c>
      <c r="P38" s="306">
        <f>SUM(D38:O38)</f>
        <v>1</v>
      </c>
      <c r="Q38" s="722" t="s">
        <v>137</v>
      </c>
      <c r="R38" s="722"/>
      <c r="S38" s="722"/>
      <c r="T38" s="722"/>
      <c r="U38" s="722"/>
      <c r="V38" s="722"/>
      <c r="W38" s="722"/>
      <c r="X38" s="722"/>
      <c r="Y38" s="722"/>
      <c r="Z38" s="722"/>
      <c r="AA38" s="722"/>
      <c r="AB38" s="722"/>
      <c r="AC38" s="722"/>
      <c r="AD38" s="723"/>
      <c r="AE38" s="97"/>
      <c r="AG38" s="98"/>
      <c r="AH38" s="98"/>
      <c r="AI38" s="98"/>
      <c r="AJ38" s="98"/>
      <c r="AK38" s="98"/>
      <c r="AL38" s="98"/>
      <c r="AM38" s="98"/>
      <c r="AN38" s="98"/>
      <c r="AO38" s="98"/>
    </row>
    <row r="39" spans="1:41" ht="35.25" customHeight="1" thickBot="1" x14ac:dyDescent="0.3">
      <c r="A39" s="660"/>
      <c r="B39" s="721"/>
      <c r="C39" s="91" t="s">
        <v>72</v>
      </c>
      <c r="D39" s="290"/>
      <c r="E39" s="312">
        <v>0.1</v>
      </c>
      <c r="F39" s="312">
        <v>9.5000000000000001E-2</v>
      </c>
      <c r="G39" s="275"/>
      <c r="H39" s="275"/>
      <c r="I39" s="275"/>
      <c r="J39" s="275"/>
      <c r="K39" s="275"/>
      <c r="L39" s="275"/>
      <c r="M39" s="275"/>
      <c r="N39" s="275"/>
      <c r="O39" s="275"/>
      <c r="P39" s="264">
        <f>SUM(D39:O39)</f>
        <v>0.19500000000000001</v>
      </c>
      <c r="Q39" s="724"/>
      <c r="R39" s="724"/>
      <c r="S39" s="724"/>
      <c r="T39" s="724"/>
      <c r="U39" s="724"/>
      <c r="V39" s="724"/>
      <c r="W39" s="724"/>
      <c r="X39" s="724"/>
      <c r="Y39" s="724"/>
      <c r="Z39" s="724"/>
      <c r="AA39" s="724"/>
      <c r="AB39" s="724"/>
      <c r="AC39" s="724"/>
      <c r="AD39" s="725"/>
      <c r="AE39" s="97"/>
    </row>
    <row r="40" spans="1:41" x14ac:dyDescent="0.25">
      <c r="A40" s="50" t="s">
        <v>95</v>
      </c>
      <c r="Q40" s="324"/>
      <c r="R40" s="324"/>
      <c r="S40" s="324"/>
      <c r="T40" s="324"/>
      <c r="U40" s="324"/>
      <c r="V40" s="324"/>
      <c r="W40" s="324"/>
      <c r="X40" s="324"/>
      <c r="Y40" s="324"/>
      <c r="Z40" s="324"/>
      <c r="AA40" s="324"/>
      <c r="AB40" s="324"/>
      <c r="AC40" s="324"/>
      <c r="AD40" s="324"/>
    </row>
    <row r="41" spans="1:41" x14ac:dyDescent="0.25">
      <c r="Q41" s="324"/>
      <c r="R41" s="324"/>
      <c r="S41" s="324"/>
      <c r="T41" s="324"/>
      <c r="U41" s="324"/>
      <c r="V41" s="324"/>
      <c r="W41" s="324"/>
      <c r="X41" s="324"/>
      <c r="Y41" s="324"/>
      <c r="Z41" s="324"/>
      <c r="AA41" s="324"/>
      <c r="AB41" s="324"/>
      <c r="AC41" s="324"/>
      <c r="AD41" s="324"/>
    </row>
    <row r="55" spans="1:30" x14ac:dyDescent="0.25">
      <c r="A55" s="613" t="s">
        <v>96</v>
      </c>
      <c r="B55" s="615" t="s">
        <v>74</v>
      </c>
      <c r="C55" s="617" t="s">
        <v>75</v>
      </c>
      <c r="D55" s="618"/>
      <c r="E55" s="618"/>
      <c r="F55" s="618"/>
      <c r="G55" s="618"/>
      <c r="H55" s="618"/>
      <c r="I55" s="618"/>
      <c r="J55" s="618"/>
      <c r="K55" s="618"/>
      <c r="L55" s="618"/>
      <c r="M55" s="618"/>
      <c r="N55" s="618"/>
      <c r="O55" s="618"/>
      <c r="P55" s="619"/>
      <c r="Q55" s="228"/>
      <c r="R55" s="228"/>
      <c r="S55" s="229"/>
      <c r="T55" s="229"/>
      <c r="U55" s="229"/>
      <c r="V55" s="229"/>
      <c r="W55" s="229"/>
      <c r="X55" s="229"/>
      <c r="Y55" s="229"/>
      <c r="Z55" s="229"/>
      <c r="AA55" s="229"/>
      <c r="AB55" s="229"/>
      <c r="AC55" s="229"/>
      <c r="AD55" s="229"/>
    </row>
    <row r="56" spans="1:30" ht="21" x14ac:dyDescent="0.25">
      <c r="A56" s="614"/>
      <c r="B56" s="616"/>
      <c r="C56" s="230" t="s">
        <v>77</v>
      </c>
      <c r="D56" s="230" t="s">
        <v>78</v>
      </c>
      <c r="E56" s="230" t="s">
        <v>79</v>
      </c>
      <c r="F56" s="230" t="s">
        <v>80</v>
      </c>
      <c r="G56" s="230" t="s">
        <v>81</v>
      </c>
      <c r="H56" s="230" t="s">
        <v>82</v>
      </c>
      <c r="I56" s="230" t="s">
        <v>83</v>
      </c>
      <c r="J56" s="230" t="s">
        <v>84</v>
      </c>
      <c r="K56" s="230" t="s">
        <v>85</v>
      </c>
      <c r="L56" s="230" t="s">
        <v>86</v>
      </c>
      <c r="M56" s="230" t="s">
        <v>87</v>
      </c>
      <c r="N56" s="230" t="s">
        <v>88</v>
      </c>
      <c r="O56" s="230" t="s">
        <v>89</v>
      </c>
      <c r="P56" s="230" t="s">
        <v>90</v>
      </c>
      <c r="Q56" s="228"/>
      <c r="R56" s="228"/>
      <c r="S56" s="229"/>
      <c r="T56" s="229"/>
      <c r="U56" s="229"/>
      <c r="V56" s="229"/>
      <c r="W56" s="229"/>
      <c r="X56" s="229"/>
      <c r="Y56" s="229"/>
      <c r="Z56" s="229"/>
      <c r="AA56" s="229"/>
      <c r="AB56" s="229"/>
      <c r="AC56" s="229"/>
      <c r="AD56" s="229"/>
    </row>
    <row r="57" spans="1:30" x14ac:dyDescent="0.25">
      <c r="A57" s="620" t="str">
        <f>A38</f>
        <v xml:space="preserve">12. Diseñar, publicar y socializar una caja de herramientas de la Estrategia Pedagógica y de Cambio Cultural.  </v>
      </c>
      <c r="B57" s="622">
        <f>B38</f>
        <v>0.1</v>
      </c>
      <c r="C57" s="231" t="s">
        <v>68</v>
      </c>
      <c r="D57" s="232">
        <f>D38*$B$38/$P$38</f>
        <v>0</v>
      </c>
      <c r="E57" s="232">
        <f t="shared" ref="D57:O58" si="2">E38*$B$38/$P$38</f>
        <v>1.0000000000000002E-2</v>
      </c>
      <c r="F57" s="232">
        <f t="shared" si="2"/>
        <v>9.5000000000000015E-3</v>
      </c>
      <c r="G57" s="232">
        <f t="shared" si="2"/>
        <v>9.5000000000000015E-3</v>
      </c>
      <c r="H57" s="232">
        <f t="shared" si="2"/>
        <v>9.5000000000000015E-3</v>
      </c>
      <c r="I57" s="232">
        <f t="shared" si="2"/>
        <v>9.5000000000000015E-3</v>
      </c>
      <c r="J57" s="232">
        <f t="shared" si="2"/>
        <v>9.5000000000000015E-3</v>
      </c>
      <c r="K57" s="232">
        <f t="shared" si="2"/>
        <v>9.5000000000000015E-3</v>
      </c>
      <c r="L57" s="232">
        <f t="shared" si="2"/>
        <v>9.5000000000000015E-3</v>
      </c>
      <c r="M57" s="232">
        <f t="shared" si="2"/>
        <v>9.5000000000000015E-3</v>
      </c>
      <c r="N57" s="232">
        <f t="shared" si="2"/>
        <v>9.5000000000000015E-3</v>
      </c>
      <c r="O57" s="232">
        <f t="shared" si="2"/>
        <v>4.5000000000000153E-3</v>
      </c>
      <c r="P57" s="233">
        <f>SUM(D57:O57)</f>
        <v>0.10000000000000005</v>
      </c>
      <c r="Q57" s="234">
        <v>0.05</v>
      </c>
      <c r="R57" s="235">
        <f>+P57-Q57</f>
        <v>5.0000000000000044E-2</v>
      </c>
      <c r="S57" s="229"/>
      <c r="T57" s="229"/>
      <c r="U57" s="229"/>
      <c r="V57" s="229"/>
      <c r="W57" s="229"/>
      <c r="X57" s="229"/>
      <c r="Y57" s="229"/>
      <c r="Z57" s="229"/>
      <c r="AA57" s="229"/>
      <c r="AB57" s="229"/>
      <c r="AC57" s="229"/>
      <c r="AD57" s="229"/>
    </row>
    <row r="58" spans="1:30" x14ac:dyDescent="0.25">
      <c r="A58" s="621"/>
      <c r="B58" s="623"/>
      <c r="C58" s="240" t="s">
        <v>72</v>
      </c>
      <c r="D58" s="237">
        <f t="shared" si="2"/>
        <v>0</v>
      </c>
      <c r="E58" s="237">
        <f t="shared" si="2"/>
        <v>1.0000000000000002E-2</v>
      </c>
      <c r="F58" s="237">
        <f t="shared" si="2"/>
        <v>9.5000000000000015E-3</v>
      </c>
      <c r="G58" s="237">
        <f t="shared" si="2"/>
        <v>0</v>
      </c>
      <c r="H58" s="237">
        <f t="shared" si="2"/>
        <v>0</v>
      </c>
      <c r="I58" s="237">
        <f t="shared" si="2"/>
        <v>0</v>
      </c>
      <c r="J58" s="237">
        <f t="shared" si="2"/>
        <v>0</v>
      </c>
      <c r="K58" s="237">
        <f t="shared" si="2"/>
        <v>0</v>
      </c>
      <c r="L58" s="237">
        <f t="shared" si="2"/>
        <v>0</v>
      </c>
      <c r="M58" s="237">
        <f t="shared" si="2"/>
        <v>0</v>
      </c>
      <c r="N58" s="237">
        <f t="shared" si="2"/>
        <v>0</v>
      </c>
      <c r="O58" s="237">
        <f t="shared" si="2"/>
        <v>0</v>
      </c>
      <c r="P58" s="238">
        <f>SUM(D58:O58)</f>
        <v>1.9500000000000003E-2</v>
      </c>
      <c r="Q58" s="239">
        <f>+P58</f>
        <v>1.9500000000000003E-2</v>
      </c>
      <c r="R58" s="235">
        <f>+P58-Q58</f>
        <v>0</v>
      </c>
      <c r="S58" s="229"/>
      <c r="T58" s="229"/>
      <c r="U58" s="229"/>
      <c r="V58" s="229"/>
      <c r="W58" s="229"/>
      <c r="X58" s="229"/>
      <c r="Y58" s="229"/>
      <c r="Z58" s="229"/>
      <c r="AA58" s="229"/>
      <c r="AB58" s="229"/>
      <c r="AC58" s="229"/>
      <c r="AD58" s="229"/>
    </row>
    <row r="59" spans="1:30" x14ac:dyDescent="0.25">
      <c r="A59" s="609"/>
      <c r="B59" s="611"/>
      <c r="C59" s="243"/>
      <c r="D59" s="232"/>
      <c r="E59" s="232"/>
      <c r="F59" s="232"/>
      <c r="G59" s="232"/>
      <c r="H59" s="232"/>
      <c r="I59" s="232"/>
      <c r="J59" s="232"/>
      <c r="K59" s="232"/>
      <c r="L59" s="232"/>
      <c r="M59" s="232"/>
      <c r="N59" s="232"/>
      <c r="O59" s="232"/>
      <c r="P59" s="244"/>
      <c r="Q59" s="234"/>
      <c r="R59" s="235"/>
      <c r="S59" s="229"/>
      <c r="T59" s="229"/>
      <c r="U59" s="229"/>
      <c r="V59" s="229"/>
      <c r="W59" s="229"/>
      <c r="X59" s="229"/>
      <c r="Y59" s="229"/>
      <c r="Z59" s="229"/>
      <c r="AA59" s="229"/>
      <c r="AB59" s="229"/>
      <c r="AC59" s="229"/>
      <c r="AD59" s="229"/>
    </row>
    <row r="60" spans="1:30" x14ac:dyDescent="0.25">
      <c r="A60" s="610"/>
      <c r="B60" s="612"/>
      <c r="C60" s="243"/>
      <c r="D60" s="247"/>
      <c r="E60" s="247"/>
      <c r="F60" s="247"/>
      <c r="G60" s="247"/>
      <c r="H60" s="247"/>
      <c r="I60" s="247"/>
      <c r="J60" s="247"/>
      <c r="K60" s="247"/>
      <c r="L60" s="247"/>
      <c r="M60" s="247"/>
      <c r="N60" s="247"/>
      <c r="O60" s="247"/>
      <c r="P60" s="244"/>
      <c r="Q60" s="239"/>
      <c r="R60" s="235"/>
      <c r="S60" s="229"/>
      <c r="T60" s="229"/>
      <c r="U60" s="229"/>
      <c r="V60" s="229"/>
      <c r="W60" s="229"/>
      <c r="X60" s="229"/>
      <c r="Y60" s="229"/>
      <c r="Z60" s="229"/>
      <c r="AA60" s="229"/>
      <c r="AB60" s="229"/>
      <c r="AC60" s="229"/>
      <c r="AD60" s="229"/>
    </row>
    <row r="61" spans="1:30" x14ac:dyDescent="0.25">
      <c r="A61" s="609"/>
      <c r="B61" s="611"/>
      <c r="C61" s="243"/>
      <c r="D61" s="232"/>
      <c r="E61" s="232"/>
      <c r="F61" s="232"/>
      <c r="G61" s="232"/>
      <c r="H61" s="232"/>
      <c r="I61" s="232"/>
      <c r="J61" s="232"/>
      <c r="K61" s="232"/>
      <c r="L61" s="232"/>
      <c r="M61" s="232"/>
      <c r="N61" s="232"/>
      <c r="O61" s="232"/>
      <c r="P61" s="244"/>
      <c r="Q61" s="234"/>
      <c r="R61" s="235"/>
      <c r="S61" s="229"/>
      <c r="T61" s="229"/>
      <c r="U61" s="229"/>
      <c r="V61" s="229"/>
      <c r="W61" s="229"/>
      <c r="X61" s="229"/>
      <c r="Y61" s="229"/>
      <c r="Z61" s="229"/>
      <c r="AA61" s="229"/>
      <c r="AB61" s="229"/>
      <c r="AC61" s="229"/>
      <c r="AD61" s="229"/>
    </row>
    <row r="62" spans="1:30" x14ac:dyDescent="0.25">
      <c r="A62" s="610"/>
      <c r="B62" s="612"/>
      <c r="C62" s="243"/>
      <c r="D62" s="247"/>
      <c r="E62" s="247"/>
      <c r="F62" s="247"/>
      <c r="G62" s="247"/>
      <c r="H62" s="247"/>
      <c r="I62" s="247"/>
      <c r="J62" s="247"/>
      <c r="K62" s="247"/>
      <c r="L62" s="247"/>
      <c r="M62" s="247"/>
      <c r="N62" s="247"/>
      <c r="O62" s="247"/>
      <c r="P62" s="244"/>
      <c r="Q62" s="239"/>
      <c r="R62" s="235"/>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f>
        <v>0</v>
      </c>
      <c r="E65" s="250">
        <f t="shared" ref="E65:O65" si="3">E58</f>
        <v>1.0000000000000002E-2</v>
      </c>
      <c r="F65" s="250">
        <f t="shared" si="3"/>
        <v>9.5000000000000015E-3</v>
      </c>
      <c r="G65" s="250">
        <f t="shared" si="3"/>
        <v>0</v>
      </c>
      <c r="H65" s="250">
        <f t="shared" si="3"/>
        <v>0</v>
      </c>
      <c r="I65" s="250">
        <f t="shared" si="3"/>
        <v>0</v>
      </c>
      <c r="J65" s="250">
        <f t="shared" si="3"/>
        <v>0</v>
      </c>
      <c r="K65" s="250">
        <f t="shared" si="3"/>
        <v>0</v>
      </c>
      <c r="L65" s="250">
        <f t="shared" si="3"/>
        <v>0</v>
      </c>
      <c r="M65" s="250">
        <f t="shared" si="3"/>
        <v>0</v>
      </c>
      <c r="N65" s="250">
        <f t="shared" si="3"/>
        <v>0</v>
      </c>
      <c r="O65" s="250">
        <f t="shared" si="3"/>
        <v>0</v>
      </c>
      <c r="P65" s="250">
        <f>P58+P60+P62</f>
        <v>1.9500000000000003E-2</v>
      </c>
      <c r="Q65" s="228"/>
      <c r="R65" s="235">
        <f>+P65-Q65</f>
        <v>1.9500000000000003E-2</v>
      </c>
      <c r="S65" s="229"/>
      <c r="T65" s="229"/>
      <c r="U65" s="229"/>
      <c r="V65" s="229"/>
      <c r="W65" s="229"/>
      <c r="X65" s="229"/>
      <c r="Y65" s="229"/>
      <c r="Z65" s="229"/>
      <c r="AA65" s="229"/>
      <c r="AB65" s="229"/>
      <c r="AC65" s="229"/>
      <c r="AD65" s="229"/>
    </row>
    <row r="66" spans="1:30" x14ac:dyDescent="0.25">
      <c r="A66" s="228"/>
      <c r="B66" s="251"/>
      <c r="C66" s="252" t="s">
        <v>72</v>
      </c>
      <c r="D66" s="253">
        <f>D65*$W$17/$B$34</f>
        <v>0</v>
      </c>
      <c r="E66" s="253">
        <f t="shared" ref="E66:O66" si="4">E65*$W$17/$B$34</f>
        <v>0.10000000000000002</v>
      </c>
      <c r="F66" s="253">
        <f t="shared" si="4"/>
        <v>9.5000000000000015E-2</v>
      </c>
      <c r="G66" s="253">
        <f t="shared" si="4"/>
        <v>0</v>
      </c>
      <c r="H66" s="253">
        <f t="shared" si="4"/>
        <v>0</v>
      </c>
      <c r="I66" s="253">
        <f t="shared" si="4"/>
        <v>0</v>
      </c>
      <c r="J66" s="253">
        <f t="shared" si="4"/>
        <v>0</v>
      </c>
      <c r="K66" s="253">
        <f t="shared" si="4"/>
        <v>0</v>
      </c>
      <c r="L66" s="253">
        <f t="shared" si="4"/>
        <v>0</v>
      </c>
      <c r="M66" s="253">
        <f t="shared" si="4"/>
        <v>0</v>
      </c>
      <c r="N66" s="253">
        <f t="shared" si="4"/>
        <v>0</v>
      </c>
      <c r="O66" s="253">
        <f t="shared" si="4"/>
        <v>0</v>
      </c>
      <c r="P66" s="254">
        <f>SUM(D66:O66)</f>
        <v>0.19500000000000003</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+D57</f>
        <v>0</v>
      </c>
      <c r="E68" s="250">
        <f t="shared" ref="E68:O68" si="5">+E57</f>
        <v>1.0000000000000002E-2</v>
      </c>
      <c r="F68" s="250">
        <f t="shared" si="5"/>
        <v>9.5000000000000015E-3</v>
      </c>
      <c r="G68" s="250">
        <f t="shared" si="5"/>
        <v>9.5000000000000015E-3</v>
      </c>
      <c r="H68" s="250">
        <f t="shared" si="5"/>
        <v>9.5000000000000015E-3</v>
      </c>
      <c r="I68" s="250">
        <f t="shared" si="5"/>
        <v>9.5000000000000015E-3</v>
      </c>
      <c r="J68" s="250">
        <f t="shared" si="5"/>
        <v>9.5000000000000015E-3</v>
      </c>
      <c r="K68" s="250">
        <f t="shared" si="5"/>
        <v>9.5000000000000015E-3</v>
      </c>
      <c r="L68" s="250">
        <f t="shared" si="5"/>
        <v>9.5000000000000015E-3</v>
      </c>
      <c r="M68" s="250">
        <f t="shared" si="5"/>
        <v>9.5000000000000015E-3</v>
      </c>
      <c r="N68" s="250">
        <f t="shared" si="5"/>
        <v>9.5000000000000015E-3</v>
      </c>
      <c r="O68" s="250">
        <f t="shared" si="5"/>
        <v>4.5000000000000153E-3</v>
      </c>
      <c r="P68" s="250">
        <f>+P57+P59+P61</f>
        <v>0.10000000000000005</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6">D68*$W$17/$B$34</f>
        <v>0</v>
      </c>
      <c r="E69" s="253">
        <f>E68*$W$17/$B$34</f>
        <v>0.10000000000000002</v>
      </c>
      <c r="F69" s="253">
        <f t="shared" si="6"/>
        <v>9.5000000000000015E-2</v>
      </c>
      <c r="G69" s="253">
        <f t="shared" si="6"/>
        <v>9.5000000000000015E-2</v>
      </c>
      <c r="H69" s="253">
        <f t="shared" si="6"/>
        <v>9.5000000000000015E-2</v>
      </c>
      <c r="I69" s="253">
        <f t="shared" si="6"/>
        <v>9.5000000000000015E-2</v>
      </c>
      <c r="J69" s="253">
        <f t="shared" si="6"/>
        <v>9.5000000000000015E-2</v>
      </c>
      <c r="K69" s="253">
        <f t="shared" si="6"/>
        <v>9.5000000000000015E-2</v>
      </c>
      <c r="L69" s="253">
        <f t="shared" si="6"/>
        <v>9.5000000000000015E-2</v>
      </c>
      <c r="M69" s="253">
        <f t="shared" si="6"/>
        <v>9.5000000000000015E-2</v>
      </c>
      <c r="N69" s="253">
        <f t="shared" si="6"/>
        <v>9.5000000000000015E-2</v>
      </c>
      <c r="O69" s="253">
        <f t="shared" si="6"/>
        <v>4.5000000000000151E-2</v>
      </c>
      <c r="P69" s="254">
        <f>SUM(D69:O69)</f>
        <v>1</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sheetData>
  <mergeCells count="82">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s>
  <dataValidations count="3">
    <dataValidation type="textLength" operator="lessThanOrEqual" allowBlank="1" showInputMessage="1" showErrorMessage="1" errorTitle="Máximo 2.000 caracteres" error="Máximo 2.000 caracteres" sqref="AA34 Q34 Q38:AD39"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A74"/>
  <sheetViews>
    <sheetView showGridLines="0" topLeftCell="BA14" zoomScale="114" zoomScaleNormal="60" workbookViewId="0">
      <selection activeCell="BA14" sqref="BA1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43"/>
      <c r="B1" s="446"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8"/>
      <c r="AB1" s="449" t="s">
        <v>1</v>
      </c>
      <c r="AC1" s="450"/>
      <c r="AD1" s="451"/>
    </row>
    <row r="2" spans="1:53" ht="30.75" customHeight="1" thickBot="1" x14ac:dyDescent="0.3">
      <c r="A2" s="444"/>
      <c r="B2" s="446" t="s">
        <v>97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470" t="s">
        <v>3</v>
      </c>
      <c r="AC2" s="471"/>
      <c r="AD2" s="472"/>
    </row>
    <row r="3" spans="1:53" ht="24" customHeight="1" x14ac:dyDescent="0.25">
      <c r="A3" s="444"/>
      <c r="B3" s="473" t="s">
        <v>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470" t="s">
        <v>5</v>
      </c>
      <c r="AC3" s="471"/>
      <c r="AD3" s="472"/>
    </row>
    <row r="4" spans="1:53" ht="21.95" customHeight="1" thickBot="1" x14ac:dyDescent="0.3">
      <c r="A4" s="445"/>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64" t="s">
        <v>7</v>
      </c>
      <c r="B7" s="465"/>
      <c r="C7" s="500" t="s">
        <v>33</v>
      </c>
      <c r="D7" s="464" t="s">
        <v>9</v>
      </c>
      <c r="E7" s="482"/>
      <c r="F7" s="482"/>
      <c r="G7" s="482"/>
      <c r="H7" s="465"/>
      <c r="I7" s="485">
        <v>45020</v>
      </c>
      <c r="J7" s="486"/>
      <c r="K7" s="464" t="s">
        <v>10</v>
      </c>
      <c r="L7" s="465"/>
      <c r="M7" s="456" t="s">
        <v>98</v>
      </c>
      <c r="N7" s="457"/>
      <c r="O7" s="458"/>
      <c r="P7" s="459"/>
      <c r="Q7" s="54"/>
      <c r="R7" s="54"/>
      <c r="S7" s="54"/>
      <c r="T7" s="54"/>
      <c r="U7" s="54"/>
      <c r="V7" s="54"/>
      <c r="W7" s="54"/>
      <c r="X7" s="54"/>
      <c r="Y7" s="54"/>
      <c r="Z7" s="55"/>
      <c r="AA7" s="54"/>
      <c r="AB7" s="54"/>
      <c r="AC7" s="60"/>
      <c r="AD7" s="61"/>
    </row>
    <row r="8" spans="1:53" ht="15" customHeight="1" x14ac:dyDescent="0.25">
      <c r="A8" s="466"/>
      <c r="B8" s="467"/>
      <c r="C8" s="501"/>
      <c r="D8" s="466"/>
      <c r="E8" s="483"/>
      <c r="F8" s="483"/>
      <c r="G8" s="483"/>
      <c r="H8" s="467"/>
      <c r="I8" s="487"/>
      <c r="J8" s="488"/>
      <c r="K8" s="466"/>
      <c r="L8" s="467"/>
      <c r="M8" s="460" t="s">
        <v>99</v>
      </c>
      <c r="N8" s="461"/>
      <c r="O8" s="736"/>
      <c r="P8" s="737"/>
      <c r="Q8" s="54"/>
      <c r="R8" s="54"/>
      <c r="S8" s="54"/>
      <c r="T8" s="54"/>
      <c r="U8" s="54"/>
      <c r="V8" s="54"/>
      <c r="W8" s="54"/>
      <c r="X8" s="54"/>
      <c r="Y8" s="54"/>
      <c r="Z8" s="55"/>
      <c r="AA8" s="54"/>
      <c r="AB8" s="54"/>
      <c r="AC8" s="60"/>
      <c r="AD8" s="61"/>
    </row>
    <row r="9" spans="1:53" ht="15.75" customHeight="1" thickBot="1" x14ac:dyDescent="0.3">
      <c r="A9" s="468"/>
      <c r="B9" s="469"/>
      <c r="C9" s="502"/>
      <c r="D9" s="468"/>
      <c r="E9" s="484"/>
      <c r="F9" s="484"/>
      <c r="G9" s="484"/>
      <c r="H9" s="469"/>
      <c r="I9" s="489"/>
      <c r="J9" s="490"/>
      <c r="K9" s="468"/>
      <c r="L9" s="469"/>
      <c r="M9" s="452" t="s">
        <v>13</v>
      </c>
      <c r="N9" s="453"/>
      <c r="O9" s="454" t="s">
        <v>14</v>
      </c>
      <c r="P9" s="455"/>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64" t="s">
        <v>15</v>
      </c>
      <c r="B11" s="465"/>
      <c r="C11" s="491" t="s">
        <v>16</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3"/>
      <c r="BA11" s="327"/>
    </row>
    <row r="12" spans="1:53" ht="15" customHeight="1" x14ac:dyDescent="0.25">
      <c r="A12" s="466"/>
      <c r="B12" s="467"/>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6"/>
      <c r="BA12" s="327"/>
    </row>
    <row r="13" spans="1:53" ht="15" customHeight="1" thickBot="1" x14ac:dyDescent="0.3">
      <c r="A13" s="468"/>
      <c r="B13" s="469"/>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9"/>
      <c r="BA13" s="327"/>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7"/>
    </row>
    <row r="15" spans="1:53" ht="39" customHeight="1" thickBot="1" x14ac:dyDescent="0.3">
      <c r="A15" s="528" t="s">
        <v>17</v>
      </c>
      <c r="B15" s="529"/>
      <c r="C15" s="538" t="s">
        <v>18</v>
      </c>
      <c r="D15" s="539"/>
      <c r="E15" s="539"/>
      <c r="F15" s="539"/>
      <c r="G15" s="539"/>
      <c r="H15" s="539"/>
      <c r="I15" s="539"/>
      <c r="J15" s="539"/>
      <c r="K15" s="540"/>
      <c r="L15" s="503" t="s">
        <v>19</v>
      </c>
      <c r="M15" s="504"/>
      <c r="N15" s="504"/>
      <c r="O15" s="504"/>
      <c r="P15" s="504"/>
      <c r="Q15" s="505"/>
      <c r="R15" s="533" t="s">
        <v>20</v>
      </c>
      <c r="S15" s="534"/>
      <c r="T15" s="534"/>
      <c r="U15" s="534"/>
      <c r="V15" s="534"/>
      <c r="W15" s="534"/>
      <c r="X15" s="535"/>
      <c r="Y15" s="503" t="s">
        <v>21</v>
      </c>
      <c r="Z15" s="505"/>
      <c r="AA15" s="524" t="s">
        <v>22</v>
      </c>
      <c r="AB15" s="525"/>
      <c r="AC15" s="525"/>
      <c r="AD15" s="526"/>
      <c r="BA15" s="327"/>
    </row>
    <row r="16" spans="1:53" ht="9" customHeight="1" thickBot="1" x14ac:dyDescent="0.3">
      <c r="A16" s="59"/>
      <c r="B16" s="54"/>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73"/>
      <c r="AD16" s="74"/>
      <c r="BA16" s="327"/>
    </row>
    <row r="17" spans="1:53" s="76" customFormat="1" ht="37.5" customHeight="1" thickBot="1" x14ac:dyDescent="0.3">
      <c r="A17" s="528" t="s">
        <v>24</v>
      </c>
      <c r="B17" s="529"/>
      <c r="C17" s="530" t="s">
        <v>138</v>
      </c>
      <c r="D17" s="531"/>
      <c r="E17" s="531"/>
      <c r="F17" s="531"/>
      <c r="G17" s="531"/>
      <c r="H17" s="531"/>
      <c r="I17" s="531"/>
      <c r="J17" s="531"/>
      <c r="K17" s="531"/>
      <c r="L17" s="531"/>
      <c r="M17" s="531"/>
      <c r="N17" s="531"/>
      <c r="O17" s="531"/>
      <c r="P17" s="531"/>
      <c r="Q17" s="532"/>
      <c r="R17" s="503" t="s">
        <v>26</v>
      </c>
      <c r="S17" s="504"/>
      <c r="T17" s="504"/>
      <c r="U17" s="504"/>
      <c r="V17" s="505"/>
      <c r="W17" s="536">
        <v>1</v>
      </c>
      <c r="X17" s="537"/>
      <c r="Y17" s="504" t="s">
        <v>27</v>
      </c>
      <c r="Z17" s="504"/>
      <c r="AA17" s="504"/>
      <c r="AB17" s="505"/>
      <c r="AC17" s="514">
        <v>0.2</v>
      </c>
      <c r="AD17" s="515"/>
      <c r="BA17" s="328"/>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7"/>
    </row>
    <row r="19" spans="1:53" ht="32.1" customHeight="1" thickBot="1" x14ac:dyDescent="0.3">
      <c r="A19" s="503" t="s">
        <v>28</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c r="BA19" s="327"/>
    </row>
    <row r="20" spans="1:53" ht="32.1" customHeight="1" thickBot="1" x14ac:dyDescent="0.3">
      <c r="A20" s="82"/>
      <c r="B20" s="60"/>
      <c r="C20" s="509" t="s">
        <v>29</v>
      </c>
      <c r="D20" s="510"/>
      <c r="E20" s="510"/>
      <c r="F20" s="510"/>
      <c r="G20" s="510"/>
      <c r="H20" s="510"/>
      <c r="I20" s="510"/>
      <c r="J20" s="510"/>
      <c r="K20" s="510"/>
      <c r="L20" s="510"/>
      <c r="M20" s="510"/>
      <c r="N20" s="510"/>
      <c r="O20" s="510"/>
      <c r="P20" s="511"/>
      <c r="Q20" s="506" t="s">
        <v>30</v>
      </c>
      <c r="R20" s="507"/>
      <c r="S20" s="507"/>
      <c r="T20" s="507"/>
      <c r="U20" s="507"/>
      <c r="V20" s="507"/>
      <c r="W20" s="507"/>
      <c r="X20" s="507"/>
      <c r="Y20" s="507"/>
      <c r="Z20" s="507"/>
      <c r="AA20" s="507"/>
      <c r="AB20" s="507"/>
      <c r="AC20" s="507"/>
      <c r="AD20" s="508"/>
      <c r="AE20" s="83"/>
      <c r="AF20" s="83"/>
      <c r="BA20" s="327"/>
    </row>
    <row r="21" spans="1:53" ht="32.1" customHeight="1" thickBot="1" x14ac:dyDescent="0.3">
      <c r="A21" s="59"/>
      <c r="B21" s="54"/>
      <c r="C21" s="158" t="s">
        <v>31</v>
      </c>
      <c r="D21" s="159" t="s">
        <v>32</v>
      </c>
      <c r="E21" s="159" t="s">
        <v>33</v>
      </c>
      <c r="F21" s="159" t="s">
        <v>34</v>
      </c>
      <c r="G21" s="159" t="s">
        <v>35</v>
      </c>
      <c r="H21" s="159" t="s">
        <v>8</v>
      </c>
      <c r="I21" s="159" t="s">
        <v>36</v>
      </c>
      <c r="J21" s="159" t="s">
        <v>37</v>
      </c>
      <c r="K21" s="159" t="s">
        <v>38</v>
      </c>
      <c r="L21" s="159" t="s">
        <v>39</v>
      </c>
      <c r="M21" s="159" t="s">
        <v>40</v>
      </c>
      <c r="N21" s="159" t="s">
        <v>41</v>
      </c>
      <c r="O21" s="159" t="s">
        <v>42</v>
      </c>
      <c r="P21" s="160" t="s">
        <v>43</v>
      </c>
      <c r="Q21" s="158" t="s">
        <v>31</v>
      </c>
      <c r="R21" s="159" t="s">
        <v>32</v>
      </c>
      <c r="S21" s="159" t="s">
        <v>33</v>
      </c>
      <c r="T21" s="159" t="s">
        <v>34</v>
      </c>
      <c r="U21" s="159" t="s">
        <v>35</v>
      </c>
      <c r="V21" s="159" t="s">
        <v>8</v>
      </c>
      <c r="W21" s="159" t="s">
        <v>36</v>
      </c>
      <c r="X21" s="159" t="s">
        <v>37</v>
      </c>
      <c r="Y21" s="159" t="s">
        <v>38</v>
      </c>
      <c r="Z21" s="159" t="s">
        <v>39</v>
      </c>
      <c r="AA21" s="159" t="s">
        <v>40</v>
      </c>
      <c r="AB21" s="159" t="s">
        <v>41</v>
      </c>
      <c r="AC21" s="159" t="s">
        <v>42</v>
      </c>
      <c r="AD21" s="160" t="s">
        <v>43</v>
      </c>
      <c r="AE21" s="3"/>
      <c r="AF21" s="3"/>
      <c r="BA21" s="327"/>
    </row>
    <row r="22" spans="1:53" ht="32.1" customHeight="1" x14ac:dyDescent="0.25">
      <c r="A22" s="512" t="s">
        <v>101</v>
      </c>
      <c r="B22" s="513"/>
      <c r="C22" s="179"/>
      <c r="D22" s="177"/>
      <c r="E22" s="177"/>
      <c r="F22" s="177"/>
      <c r="G22" s="177"/>
      <c r="H22" s="177"/>
      <c r="I22" s="177"/>
      <c r="J22" s="177"/>
      <c r="K22" s="177"/>
      <c r="L22" s="177"/>
      <c r="M22" s="177"/>
      <c r="N22" s="177"/>
      <c r="O22" s="177">
        <f>SUM(C22:N22)</f>
        <v>0</v>
      </c>
      <c r="P22" s="180"/>
      <c r="Q22" s="179">
        <v>425475150</v>
      </c>
      <c r="R22" s="177"/>
      <c r="S22" s="177">
        <v>19186925</v>
      </c>
      <c r="T22" s="177">
        <f>35000000+21559511</f>
        <v>56559511</v>
      </c>
      <c r="U22" s="177"/>
      <c r="V22" s="177">
        <f>2139477+34249272</f>
        <v>36388749</v>
      </c>
      <c r="W22" s="177"/>
      <c r="X22" s="177"/>
      <c r="Y22" s="177"/>
      <c r="Z22" s="177"/>
      <c r="AA22" s="177"/>
      <c r="AB22" s="177"/>
      <c r="AC22" s="177">
        <f>SUM(Q22:AB22)</f>
        <v>537610335</v>
      </c>
      <c r="AD22" s="184"/>
      <c r="AE22" s="3"/>
      <c r="AF22" s="3"/>
    </row>
    <row r="23" spans="1:53" ht="32.1" customHeight="1" x14ac:dyDescent="0.25">
      <c r="A23" s="520" t="s">
        <v>47</v>
      </c>
      <c r="B23" s="521"/>
      <c r="C23" s="175"/>
      <c r="D23" s="174"/>
      <c r="E23" s="174"/>
      <c r="F23" s="174"/>
      <c r="G23" s="174"/>
      <c r="H23" s="174"/>
      <c r="I23" s="174"/>
      <c r="J23" s="174"/>
      <c r="K23" s="174"/>
      <c r="L23" s="174"/>
      <c r="M23" s="174"/>
      <c r="N23" s="174"/>
      <c r="O23" s="174">
        <f>SUM(C23:N23)</f>
        <v>0</v>
      </c>
      <c r="P23" s="192" t="str">
        <f>IFERROR(O23/(SUMIF(C23:N23,"&gt;0",C22:N22))," ")</f>
        <v xml:space="preserve"> </v>
      </c>
      <c r="Q23" s="179">
        <v>45618029</v>
      </c>
      <c r="R23" s="179">
        <v>274389683</v>
      </c>
      <c r="S23" s="179">
        <v>37936095</v>
      </c>
      <c r="T23" s="174"/>
      <c r="U23" s="174"/>
      <c r="V23" s="174"/>
      <c r="W23" s="174"/>
      <c r="X23" s="174"/>
      <c r="Y23" s="174"/>
      <c r="Z23" s="174"/>
      <c r="AA23" s="174"/>
      <c r="AB23" s="174"/>
      <c r="AC23" s="174">
        <f>SUM(Q23:AB23)</f>
        <v>357943807</v>
      </c>
      <c r="AD23" s="182">
        <f>+AC23/AC22</f>
        <v>0.66580529371705621</v>
      </c>
      <c r="AE23" s="3"/>
      <c r="AF23" s="3"/>
    </row>
    <row r="24" spans="1:53" ht="32.1" customHeight="1" x14ac:dyDescent="0.25">
      <c r="A24" s="520" t="s">
        <v>103</v>
      </c>
      <c r="B24" s="521"/>
      <c r="C24" s="175">
        <f>25110242+1804187+19304540</f>
        <v>46218969</v>
      </c>
      <c r="D24" s="174">
        <f>1749515+3375000+3750000+461422+1166666+618000+432600+475860+4505045</f>
        <v>16534108</v>
      </c>
      <c r="E24" s="174">
        <v>4956875</v>
      </c>
      <c r="F24" s="174">
        <v>5038625</v>
      </c>
      <c r="G24" s="174"/>
      <c r="H24" s="174"/>
      <c r="I24" s="174"/>
      <c r="J24" s="174"/>
      <c r="K24" s="174"/>
      <c r="L24" s="174"/>
      <c r="M24" s="174"/>
      <c r="N24" s="174"/>
      <c r="O24" s="213">
        <f>SUM(C24:N24)</f>
        <v>72748577</v>
      </c>
      <c r="P24" s="178"/>
      <c r="Q24" s="175"/>
      <c r="R24" s="174">
        <v>18502650</v>
      </c>
      <c r="S24" s="174">
        <v>36997500</v>
      </c>
      <c r="T24" s="174">
        <f>36997500+1918693</f>
        <v>38916193</v>
      </c>
      <c r="U24" s="174">
        <f>36997500+1918693+3888889+21559511</f>
        <v>64364593</v>
      </c>
      <c r="V24" s="174">
        <f>36997500+1918693+3888889</f>
        <v>42805082</v>
      </c>
      <c r="W24" s="174">
        <f>36997500+1918693+2139477+3888889+11416424</f>
        <v>56360983</v>
      </c>
      <c r="X24" s="174">
        <f>36997500+1918693+3888889</f>
        <v>42805082</v>
      </c>
      <c r="Y24" s="174">
        <f>36997500+1918692+3888889+11416424</f>
        <v>54221505</v>
      </c>
      <c r="Z24" s="174">
        <f>36997500+1918692+3888889</f>
        <v>42805081</v>
      </c>
      <c r="AA24" s="174">
        <f>36997500+1918692+3888889+11416424</f>
        <v>54221505</v>
      </c>
      <c r="AB24" s="174">
        <f>73995000+3837384+7777777</f>
        <v>85610161</v>
      </c>
      <c r="AC24" s="174">
        <f>SUM(Q24:AB24)</f>
        <v>537610335</v>
      </c>
      <c r="AD24" s="182"/>
      <c r="AE24" s="3"/>
      <c r="AF24" s="3"/>
    </row>
    <row r="25" spans="1:53" ht="32.1" customHeight="1" x14ac:dyDescent="0.25">
      <c r="A25" s="522" t="s">
        <v>50</v>
      </c>
      <c r="B25" s="523"/>
      <c r="C25" s="175">
        <v>2894648</v>
      </c>
      <c r="D25" s="175">
        <v>31987653</v>
      </c>
      <c r="E25" s="175">
        <v>22040035</v>
      </c>
      <c r="F25" s="176"/>
      <c r="G25" s="176"/>
      <c r="H25" s="176"/>
      <c r="I25" s="176"/>
      <c r="J25" s="176"/>
      <c r="K25" s="176"/>
      <c r="L25" s="176"/>
      <c r="M25" s="176"/>
      <c r="N25" s="176"/>
      <c r="O25" s="176">
        <f>SUM(C25:N25)</f>
        <v>56922336</v>
      </c>
      <c r="P25" s="181">
        <f>+O25/O24</f>
        <v>0.78245291313395726</v>
      </c>
      <c r="Q25" s="179" t="s">
        <v>104</v>
      </c>
      <c r="R25" s="179">
        <v>944067</v>
      </c>
      <c r="S25" s="179">
        <v>14912614</v>
      </c>
      <c r="T25" s="176"/>
      <c r="U25" s="176"/>
      <c r="V25" s="176"/>
      <c r="W25" s="176"/>
      <c r="X25" s="176"/>
      <c r="Y25" s="176"/>
      <c r="Z25" s="176"/>
      <c r="AA25" s="176"/>
      <c r="AB25" s="176"/>
      <c r="AC25" s="176">
        <f>SUM(Q25:AB25)</f>
        <v>15856681</v>
      </c>
      <c r="AD25" s="183">
        <f>+AC25/AC23</f>
        <v>4.4299358418568753E-2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516" t="s">
        <v>53</v>
      </c>
      <c r="B27" s="517"/>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row>
    <row r="28" spans="1:53" ht="15" customHeight="1" x14ac:dyDescent="0.25">
      <c r="A28" s="541" t="s">
        <v>54</v>
      </c>
      <c r="B28" s="543" t="s">
        <v>55</v>
      </c>
      <c r="C28" s="544"/>
      <c r="D28" s="521" t="s">
        <v>56</v>
      </c>
      <c r="E28" s="547"/>
      <c r="F28" s="547"/>
      <c r="G28" s="547"/>
      <c r="H28" s="547"/>
      <c r="I28" s="547"/>
      <c r="J28" s="547"/>
      <c r="K28" s="547"/>
      <c r="L28" s="547"/>
      <c r="M28" s="547"/>
      <c r="N28" s="547"/>
      <c r="O28" s="548"/>
      <c r="P28" s="549" t="s">
        <v>42</v>
      </c>
      <c r="Q28" s="549" t="s">
        <v>57</v>
      </c>
      <c r="R28" s="549"/>
      <c r="S28" s="549"/>
      <c r="T28" s="549"/>
      <c r="U28" s="549"/>
      <c r="V28" s="549"/>
      <c r="W28" s="549"/>
      <c r="X28" s="549"/>
      <c r="Y28" s="549"/>
      <c r="Z28" s="549"/>
      <c r="AA28" s="549"/>
      <c r="AB28" s="549"/>
      <c r="AC28" s="549"/>
      <c r="AD28" s="550"/>
    </row>
    <row r="29" spans="1:53" ht="27" customHeight="1" x14ac:dyDescent="0.25">
      <c r="A29" s="542"/>
      <c r="B29" s="545"/>
      <c r="C29" s="546"/>
      <c r="D29" s="88" t="s">
        <v>31</v>
      </c>
      <c r="E29" s="88" t="s">
        <v>32</v>
      </c>
      <c r="F29" s="88" t="s">
        <v>33</v>
      </c>
      <c r="G29" s="88" t="s">
        <v>34</v>
      </c>
      <c r="H29" s="88" t="s">
        <v>35</v>
      </c>
      <c r="I29" s="88" t="s">
        <v>8</v>
      </c>
      <c r="J29" s="88" t="s">
        <v>36</v>
      </c>
      <c r="K29" s="88" t="s">
        <v>37</v>
      </c>
      <c r="L29" s="88" t="s">
        <v>38</v>
      </c>
      <c r="M29" s="88" t="s">
        <v>39</v>
      </c>
      <c r="N29" s="88" t="s">
        <v>40</v>
      </c>
      <c r="O29" s="88" t="s">
        <v>41</v>
      </c>
      <c r="P29" s="548"/>
      <c r="Q29" s="549"/>
      <c r="R29" s="549"/>
      <c r="S29" s="549"/>
      <c r="T29" s="549"/>
      <c r="U29" s="549"/>
      <c r="V29" s="549"/>
      <c r="W29" s="549"/>
      <c r="X29" s="549"/>
      <c r="Y29" s="549"/>
      <c r="Z29" s="549"/>
      <c r="AA29" s="549"/>
      <c r="AB29" s="549"/>
      <c r="AC29" s="549"/>
      <c r="AD29" s="550"/>
    </row>
    <row r="30" spans="1:53" ht="68.25" customHeight="1" thickBot="1" x14ac:dyDescent="0.3">
      <c r="A30" s="85" t="s">
        <v>139</v>
      </c>
      <c r="B30" s="551"/>
      <c r="C30" s="552"/>
      <c r="D30" s="89"/>
      <c r="E30" s="89"/>
      <c r="F30" s="89"/>
      <c r="G30" s="89"/>
      <c r="H30" s="89"/>
      <c r="I30" s="89"/>
      <c r="J30" s="89"/>
      <c r="K30" s="89"/>
      <c r="L30" s="89"/>
      <c r="M30" s="89"/>
      <c r="N30" s="89"/>
      <c r="O30" s="89"/>
      <c r="P30" s="86">
        <f>SUM(D30:O30)</f>
        <v>0</v>
      </c>
      <c r="Q30" s="553"/>
      <c r="R30" s="553"/>
      <c r="S30" s="553"/>
      <c r="T30" s="553"/>
      <c r="U30" s="553"/>
      <c r="V30" s="553"/>
      <c r="W30" s="553"/>
      <c r="X30" s="553"/>
      <c r="Y30" s="553"/>
      <c r="Z30" s="553"/>
      <c r="AA30" s="553"/>
      <c r="AB30" s="553"/>
      <c r="AC30" s="553"/>
      <c r="AD30" s="554"/>
    </row>
    <row r="31" spans="1:53" ht="45" customHeight="1" thickBot="1" x14ac:dyDescent="0.3">
      <c r="A31" s="555" t="s">
        <v>59</v>
      </c>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7"/>
    </row>
    <row r="32" spans="1:53" ht="23.1" customHeight="1" x14ac:dyDescent="0.25">
      <c r="A32" s="512" t="s">
        <v>60</v>
      </c>
      <c r="B32" s="558" t="s">
        <v>61</v>
      </c>
      <c r="C32" s="558" t="s">
        <v>55</v>
      </c>
      <c r="D32" s="561" t="s">
        <v>62</v>
      </c>
      <c r="E32" s="558"/>
      <c r="F32" s="558"/>
      <c r="G32" s="558"/>
      <c r="H32" s="558"/>
      <c r="I32" s="558"/>
      <c r="J32" s="558"/>
      <c r="K32" s="558"/>
      <c r="L32" s="558"/>
      <c r="M32" s="558"/>
      <c r="N32" s="558"/>
      <c r="O32" s="558"/>
      <c r="P32" s="559"/>
      <c r="Q32" s="512" t="s">
        <v>63</v>
      </c>
      <c r="R32" s="558"/>
      <c r="S32" s="558"/>
      <c r="T32" s="558"/>
      <c r="U32" s="558"/>
      <c r="V32" s="558"/>
      <c r="W32" s="558"/>
      <c r="X32" s="558"/>
      <c r="Y32" s="558"/>
      <c r="Z32" s="558"/>
      <c r="AA32" s="558"/>
      <c r="AB32" s="558"/>
      <c r="AC32" s="558"/>
      <c r="AD32" s="559"/>
      <c r="AG32" s="87"/>
      <c r="AH32" s="87"/>
      <c r="AI32" s="87"/>
      <c r="AJ32" s="87"/>
      <c r="AK32" s="87"/>
      <c r="AL32" s="87"/>
      <c r="AM32" s="87"/>
      <c r="AN32" s="87"/>
      <c r="AO32" s="87"/>
    </row>
    <row r="33" spans="1:41" ht="27" customHeight="1" thickBot="1" x14ac:dyDescent="0.3">
      <c r="A33" s="520"/>
      <c r="B33" s="549"/>
      <c r="C33" s="719"/>
      <c r="D33" s="274" t="s">
        <v>31</v>
      </c>
      <c r="E33" s="265" t="s">
        <v>32</v>
      </c>
      <c r="F33" s="265" t="s">
        <v>33</v>
      </c>
      <c r="G33" s="265" t="s">
        <v>34</v>
      </c>
      <c r="H33" s="265" t="s">
        <v>35</v>
      </c>
      <c r="I33" s="265" t="s">
        <v>8</v>
      </c>
      <c r="J33" s="265" t="s">
        <v>36</v>
      </c>
      <c r="K33" s="265" t="s">
        <v>37</v>
      </c>
      <c r="L33" s="265" t="s">
        <v>38</v>
      </c>
      <c r="M33" s="265" t="s">
        <v>39</v>
      </c>
      <c r="N33" s="265" t="s">
        <v>40</v>
      </c>
      <c r="O33" s="265" t="s">
        <v>41</v>
      </c>
      <c r="P33" s="266" t="s">
        <v>42</v>
      </c>
      <c r="Q33" s="522" t="s">
        <v>64</v>
      </c>
      <c r="R33" s="593"/>
      <c r="S33" s="593"/>
      <c r="T33" s="593" t="s">
        <v>65</v>
      </c>
      <c r="U33" s="593"/>
      <c r="V33" s="593"/>
      <c r="W33" s="657" t="s">
        <v>106</v>
      </c>
      <c r="X33" s="510"/>
      <c r="Y33" s="510"/>
      <c r="Z33" s="658"/>
      <c r="AA33" s="657" t="s">
        <v>67</v>
      </c>
      <c r="AB33" s="510"/>
      <c r="AC33" s="510"/>
      <c r="AD33" s="511"/>
      <c r="AG33" s="87"/>
      <c r="AH33" s="87"/>
      <c r="AI33" s="87"/>
      <c r="AJ33" s="87"/>
      <c r="AK33" s="87"/>
      <c r="AL33" s="87"/>
      <c r="AM33" s="87"/>
      <c r="AN33" s="87"/>
      <c r="AO33" s="87"/>
    </row>
    <row r="34" spans="1:41" ht="53.25" customHeight="1" x14ac:dyDescent="0.25">
      <c r="A34" s="684" t="s">
        <v>139</v>
      </c>
      <c r="B34" s="565">
        <v>0.2</v>
      </c>
      <c r="C34" s="102" t="s">
        <v>68</v>
      </c>
      <c r="D34" s="271">
        <f>D69</f>
        <v>0</v>
      </c>
      <c r="E34" s="272">
        <f t="shared" ref="E34:O34" si="0">E69</f>
        <v>9.9750000000000005E-2</v>
      </c>
      <c r="F34" s="272">
        <f t="shared" si="0"/>
        <v>7.5250000000000011E-2</v>
      </c>
      <c r="G34" s="272">
        <f t="shared" si="0"/>
        <v>0.11675000000000001</v>
      </c>
      <c r="H34" s="272">
        <f t="shared" si="0"/>
        <v>7.5250000000000011E-2</v>
      </c>
      <c r="I34" s="272">
        <f t="shared" si="0"/>
        <v>0.11675000000000001</v>
      </c>
      <c r="J34" s="272">
        <f t="shared" si="0"/>
        <v>7.5250000000000011E-2</v>
      </c>
      <c r="K34" s="272">
        <f t="shared" si="0"/>
        <v>0.11675000000000001</v>
      </c>
      <c r="L34" s="272">
        <f t="shared" si="0"/>
        <v>7.5250000000000011E-2</v>
      </c>
      <c r="M34" s="272">
        <f t="shared" si="0"/>
        <v>0.11675000000000001</v>
      </c>
      <c r="N34" s="272">
        <f t="shared" si="0"/>
        <v>7.325000000000001E-2</v>
      </c>
      <c r="O34" s="273">
        <f t="shared" si="0"/>
        <v>5.9000000000000004E-2</v>
      </c>
      <c r="P34" s="267">
        <f>SUM(D34:O34)</f>
        <v>1.0000000000000002</v>
      </c>
      <c r="Q34" s="727" t="s">
        <v>140</v>
      </c>
      <c r="R34" s="727"/>
      <c r="S34" s="732"/>
      <c r="T34" s="727" t="s">
        <v>141</v>
      </c>
      <c r="U34" s="727"/>
      <c r="V34" s="732"/>
      <c r="W34" s="745" t="s">
        <v>142</v>
      </c>
      <c r="X34" s="746"/>
      <c r="Y34" s="746"/>
      <c r="Z34" s="747"/>
      <c r="AA34" s="726"/>
      <c r="AB34" s="727"/>
      <c r="AC34" s="727"/>
      <c r="AD34" s="728"/>
      <c r="AG34" s="87"/>
      <c r="AH34" s="87"/>
      <c r="AI34" s="87"/>
      <c r="AJ34" s="87"/>
      <c r="AK34" s="87"/>
      <c r="AL34" s="87"/>
      <c r="AM34" s="87"/>
      <c r="AN34" s="87"/>
      <c r="AO34" s="87"/>
    </row>
    <row r="35" spans="1:41" ht="53.25" customHeight="1" thickBot="1" x14ac:dyDescent="0.3">
      <c r="A35" s="685"/>
      <c r="B35" s="477"/>
      <c r="C35" s="91" t="s">
        <v>72</v>
      </c>
      <c r="D35" s="269">
        <f>D66</f>
        <v>0</v>
      </c>
      <c r="E35" s="259">
        <f t="shared" ref="E35:O35" si="1">E66</f>
        <v>0.10150000000000001</v>
      </c>
      <c r="F35" s="259">
        <f t="shared" si="1"/>
        <v>7.5250000000000011E-2</v>
      </c>
      <c r="G35" s="259">
        <f t="shared" si="1"/>
        <v>0</v>
      </c>
      <c r="H35" s="259">
        <f t="shared" si="1"/>
        <v>0</v>
      </c>
      <c r="I35" s="259">
        <f t="shared" si="1"/>
        <v>0</v>
      </c>
      <c r="J35" s="259">
        <f t="shared" si="1"/>
        <v>0</v>
      </c>
      <c r="K35" s="259">
        <f t="shared" si="1"/>
        <v>0</v>
      </c>
      <c r="L35" s="259">
        <f t="shared" si="1"/>
        <v>0</v>
      </c>
      <c r="M35" s="259">
        <f t="shared" si="1"/>
        <v>0</v>
      </c>
      <c r="N35" s="259">
        <f t="shared" si="1"/>
        <v>0</v>
      </c>
      <c r="O35" s="260">
        <f t="shared" si="1"/>
        <v>0</v>
      </c>
      <c r="P35" s="268">
        <f>SUM(D35:O35)</f>
        <v>0.17675000000000002</v>
      </c>
      <c r="Q35" s="730"/>
      <c r="R35" s="730"/>
      <c r="S35" s="733"/>
      <c r="T35" s="730"/>
      <c r="U35" s="730"/>
      <c r="V35" s="733"/>
      <c r="W35" s="748"/>
      <c r="X35" s="749"/>
      <c r="Y35" s="749"/>
      <c r="Z35" s="750"/>
      <c r="AA35" s="729"/>
      <c r="AB35" s="730"/>
      <c r="AC35" s="730"/>
      <c r="AD35" s="731"/>
      <c r="AE35" s="49"/>
      <c r="AG35" s="87"/>
      <c r="AH35" s="87"/>
      <c r="AI35" s="87"/>
      <c r="AJ35" s="87"/>
      <c r="AK35" s="87"/>
      <c r="AL35" s="87"/>
      <c r="AM35" s="87"/>
      <c r="AN35" s="87"/>
      <c r="AO35" s="87"/>
    </row>
    <row r="36" spans="1:41" ht="26.1" customHeight="1" x14ac:dyDescent="0.25">
      <c r="A36" s="512" t="s">
        <v>73</v>
      </c>
      <c r="B36" s="558" t="s">
        <v>74</v>
      </c>
      <c r="C36" s="561" t="s">
        <v>75</v>
      </c>
      <c r="D36" s="558"/>
      <c r="E36" s="558"/>
      <c r="F36" s="558"/>
      <c r="G36" s="558"/>
      <c r="H36" s="558"/>
      <c r="I36" s="558"/>
      <c r="J36" s="558"/>
      <c r="K36" s="558"/>
      <c r="L36" s="558"/>
      <c r="M36" s="558"/>
      <c r="N36" s="558"/>
      <c r="O36" s="558"/>
      <c r="P36" s="559"/>
      <c r="Q36" s="594" t="s">
        <v>76</v>
      </c>
      <c r="R36" s="595"/>
      <c r="S36" s="595"/>
      <c r="T36" s="595"/>
      <c r="U36" s="595"/>
      <c r="V36" s="595"/>
      <c r="W36" s="595"/>
      <c r="X36" s="595"/>
      <c r="Y36" s="595"/>
      <c r="Z36" s="595"/>
      <c r="AA36" s="595"/>
      <c r="AB36" s="595"/>
      <c r="AC36" s="595"/>
      <c r="AD36" s="596"/>
      <c r="AG36" s="87"/>
      <c r="AH36" s="87"/>
      <c r="AI36" s="87"/>
      <c r="AJ36" s="87"/>
      <c r="AK36" s="87"/>
      <c r="AL36" s="87"/>
      <c r="AM36" s="87"/>
      <c r="AN36" s="87"/>
      <c r="AO36" s="87"/>
    </row>
    <row r="37" spans="1:41" ht="26.1" customHeight="1" thickBot="1" x14ac:dyDescent="0.3">
      <c r="A37" s="522"/>
      <c r="B37" s="593"/>
      <c r="C37" s="274" t="s">
        <v>77</v>
      </c>
      <c r="D37" s="265" t="s">
        <v>78</v>
      </c>
      <c r="E37" s="265" t="s">
        <v>79</v>
      </c>
      <c r="F37" s="265" t="s">
        <v>80</v>
      </c>
      <c r="G37" s="265" t="s">
        <v>81</v>
      </c>
      <c r="H37" s="265" t="s">
        <v>82</v>
      </c>
      <c r="I37" s="265" t="s">
        <v>83</v>
      </c>
      <c r="J37" s="265" t="s">
        <v>84</v>
      </c>
      <c r="K37" s="265" t="s">
        <v>85</v>
      </c>
      <c r="L37" s="265" t="s">
        <v>86</v>
      </c>
      <c r="M37" s="265" t="s">
        <v>87</v>
      </c>
      <c r="N37" s="265" t="s">
        <v>88</v>
      </c>
      <c r="O37" s="265" t="s">
        <v>89</v>
      </c>
      <c r="P37" s="266" t="s">
        <v>90</v>
      </c>
      <c r="Q37" s="597" t="s">
        <v>91</v>
      </c>
      <c r="R37" s="598"/>
      <c r="S37" s="598"/>
      <c r="T37" s="598"/>
      <c r="U37" s="598"/>
      <c r="V37" s="598"/>
      <c r="W37" s="598"/>
      <c r="X37" s="598"/>
      <c r="Y37" s="598"/>
      <c r="Z37" s="598"/>
      <c r="AA37" s="598"/>
      <c r="AB37" s="598"/>
      <c r="AC37" s="598"/>
      <c r="AD37" s="599"/>
      <c r="AG37" s="94"/>
      <c r="AH37" s="94"/>
      <c r="AI37" s="94"/>
      <c r="AJ37" s="94"/>
      <c r="AK37" s="94"/>
      <c r="AL37" s="94"/>
      <c r="AM37" s="94"/>
      <c r="AN37" s="94"/>
      <c r="AO37" s="94"/>
    </row>
    <row r="38" spans="1:41" ht="46.5" customHeight="1" x14ac:dyDescent="0.25">
      <c r="A38" s="738" t="s">
        <v>143</v>
      </c>
      <c r="B38" s="601">
        <v>0.08</v>
      </c>
      <c r="C38" s="224" t="s">
        <v>68</v>
      </c>
      <c r="D38" s="282">
        <v>0</v>
      </c>
      <c r="E38" s="282">
        <v>0.06</v>
      </c>
      <c r="F38" s="206">
        <v>0.105</v>
      </c>
      <c r="G38" s="206">
        <v>0.105</v>
      </c>
      <c r="H38" s="206">
        <v>0.105</v>
      </c>
      <c r="I38" s="206">
        <v>0.105</v>
      </c>
      <c r="J38" s="206">
        <v>0.105</v>
      </c>
      <c r="K38" s="206">
        <v>0.105</v>
      </c>
      <c r="L38" s="206">
        <v>0.105</v>
      </c>
      <c r="M38" s="206">
        <v>0.105</v>
      </c>
      <c r="N38" s="206">
        <v>0.1</v>
      </c>
      <c r="O38" s="206">
        <v>0</v>
      </c>
      <c r="P38" s="262">
        <f t="shared" ref="P38:P43" si="2">SUM(D38:O38)</f>
        <v>0.99999999999999989</v>
      </c>
      <c r="Q38" s="722" t="s">
        <v>144</v>
      </c>
      <c r="R38" s="722"/>
      <c r="S38" s="722"/>
      <c r="T38" s="722"/>
      <c r="U38" s="722"/>
      <c r="V38" s="722"/>
      <c r="W38" s="722"/>
      <c r="X38" s="722"/>
      <c r="Y38" s="722"/>
      <c r="Z38" s="722"/>
      <c r="AA38" s="722"/>
      <c r="AB38" s="722"/>
      <c r="AC38" s="722"/>
      <c r="AD38" s="723"/>
      <c r="AE38" s="97"/>
      <c r="AG38" s="98"/>
      <c r="AH38" s="98"/>
      <c r="AI38" s="98"/>
      <c r="AJ38" s="98"/>
      <c r="AK38" s="98"/>
      <c r="AL38" s="98"/>
      <c r="AM38" s="98"/>
      <c r="AN38" s="98"/>
      <c r="AO38" s="98"/>
    </row>
    <row r="39" spans="1:41" ht="46.5" customHeight="1" x14ac:dyDescent="0.25">
      <c r="A39" s="668"/>
      <c r="B39" s="602"/>
      <c r="C39" s="225" t="s">
        <v>72</v>
      </c>
      <c r="D39" s="287"/>
      <c r="E39" s="283">
        <v>0.06</v>
      </c>
      <c r="F39" s="283">
        <v>0.105</v>
      </c>
      <c r="G39" s="100"/>
      <c r="H39" s="100"/>
      <c r="I39" s="100"/>
      <c r="J39" s="100"/>
      <c r="K39" s="100"/>
      <c r="L39" s="100"/>
      <c r="M39" s="100"/>
      <c r="N39" s="100"/>
      <c r="O39" s="100"/>
      <c r="P39" s="263">
        <f t="shared" si="2"/>
        <v>0.16499999999999998</v>
      </c>
      <c r="Q39" s="722"/>
      <c r="R39" s="722"/>
      <c r="S39" s="722"/>
      <c r="T39" s="722"/>
      <c r="U39" s="722"/>
      <c r="V39" s="722"/>
      <c r="W39" s="722"/>
      <c r="X39" s="722"/>
      <c r="Y39" s="722"/>
      <c r="Z39" s="722"/>
      <c r="AA39" s="722"/>
      <c r="AB39" s="722"/>
      <c r="AC39" s="722"/>
      <c r="AD39" s="723"/>
      <c r="AE39" s="97"/>
    </row>
    <row r="40" spans="1:41" ht="46.5" customHeight="1" x14ac:dyDescent="0.25">
      <c r="A40" s="659" t="s">
        <v>145</v>
      </c>
      <c r="B40" s="584">
        <v>7.0000000000000007E-2</v>
      </c>
      <c r="C40" s="226" t="s">
        <v>68</v>
      </c>
      <c r="D40" s="288">
        <v>0</v>
      </c>
      <c r="E40" s="220">
        <v>9.5000000000000001E-2</v>
      </c>
      <c r="F40" s="220">
        <v>9.5000000000000001E-2</v>
      </c>
      <c r="G40" s="220">
        <v>9.5000000000000001E-2</v>
      </c>
      <c r="H40" s="220">
        <v>9.5000000000000001E-2</v>
      </c>
      <c r="I40" s="220">
        <v>9.5000000000000001E-2</v>
      </c>
      <c r="J40" s="220">
        <v>9.5000000000000001E-2</v>
      </c>
      <c r="K40" s="220">
        <v>9.5000000000000001E-2</v>
      </c>
      <c r="L40" s="220">
        <v>9.5000000000000001E-2</v>
      </c>
      <c r="M40" s="220">
        <v>9.5000000000000001E-2</v>
      </c>
      <c r="N40" s="220">
        <v>9.5000000000000001E-2</v>
      </c>
      <c r="O40" s="220">
        <v>0.05</v>
      </c>
      <c r="P40" s="263">
        <f t="shared" si="2"/>
        <v>0.99999999999999989</v>
      </c>
      <c r="Q40" s="743" t="s">
        <v>146</v>
      </c>
      <c r="R40" s="743"/>
      <c r="S40" s="743"/>
      <c r="T40" s="743"/>
      <c r="U40" s="743"/>
      <c r="V40" s="743"/>
      <c r="W40" s="743"/>
      <c r="X40" s="743"/>
      <c r="Y40" s="743"/>
      <c r="Z40" s="743"/>
      <c r="AA40" s="743"/>
      <c r="AB40" s="743"/>
      <c r="AC40" s="743"/>
      <c r="AD40" s="744"/>
      <c r="AE40" s="97"/>
    </row>
    <row r="41" spans="1:41" ht="46.5" customHeight="1" x14ac:dyDescent="0.25">
      <c r="A41" s="668"/>
      <c r="B41" s="602"/>
      <c r="C41" s="225" t="s">
        <v>72</v>
      </c>
      <c r="D41" s="287"/>
      <c r="E41" s="283">
        <v>0.1</v>
      </c>
      <c r="F41" s="283">
        <v>9.5000000000000001E-2</v>
      </c>
      <c r="G41" s="100"/>
      <c r="H41" s="100"/>
      <c r="I41" s="100"/>
      <c r="J41" s="100"/>
      <c r="K41" s="100"/>
      <c r="L41" s="100"/>
      <c r="M41" s="100"/>
      <c r="N41" s="100"/>
      <c r="O41" s="100"/>
      <c r="P41" s="263">
        <f t="shared" si="2"/>
        <v>0.19500000000000001</v>
      </c>
      <c r="Q41" s="722"/>
      <c r="R41" s="722"/>
      <c r="S41" s="722"/>
      <c r="T41" s="722"/>
      <c r="U41" s="722"/>
      <c r="V41" s="722"/>
      <c r="W41" s="722"/>
      <c r="X41" s="722"/>
      <c r="Y41" s="722"/>
      <c r="Z41" s="722"/>
      <c r="AA41" s="722"/>
      <c r="AB41" s="722"/>
      <c r="AC41" s="722"/>
      <c r="AD41" s="723"/>
      <c r="AE41" s="97"/>
    </row>
    <row r="42" spans="1:41" ht="46.5" customHeight="1" x14ac:dyDescent="0.25">
      <c r="A42" s="693" t="s">
        <v>147</v>
      </c>
      <c r="B42" s="601">
        <v>0.05</v>
      </c>
      <c r="C42" s="226" t="s">
        <v>68</v>
      </c>
      <c r="D42" s="288">
        <v>0</v>
      </c>
      <c r="E42" s="288">
        <v>0.17</v>
      </c>
      <c r="F42" s="220">
        <v>0</v>
      </c>
      <c r="G42" s="220">
        <v>0.16600000000000001</v>
      </c>
      <c r="H42" s="220">
        <v>0</v>
      </c>
      <c r="I42" s="220">
        <v>0.16600000000000001</v>
      </c>
      <c r="J42" s="220">
        <v>0</v>
      </c>
      <c r="K42" s="220">
        <v>0.16600000000000001</v>
      </c>
      <c r="L42" s="220">
        <v>0</v>
      </c>
      <c r="M42" s="220">
        <v>0.16600000000000001</v>
      </c>
      <c r="N42" s="220">
        <v>0</v>
      </c>
      <c r="O42" s="220">
        <v>0.16600000000000001</v>
      </c>
      <c r="P42" s="263">
        <f t="shared" si="2"/>
        <v>1</v>
      </c>
      <c r="Q42" s="739" t="s">
        <v>148</v>
      </c>
      <c r="R42" s="739"/>
      <c r="S42" s="739"/>
      <c r="T42" s="739"/>
      <c r="U42" s="739"/>
      <c r="V42" s="739"/>
      <c r="W42" s="739"/>
      <c r="X42" s="739"/>
      <c r="Y42" s="739"/>
      <c r="Z42" s="739"/>
      <c r="AA42" s="739"/>
      <c r="AB42" s="739"/>
      <c r="AC42" s="739"/>
      <c r="AD42" s="740"/>
      <c r="AE42" s="97"/>
    </row>
    <row r="43" spans="1:41" ht="46.5" customHeight="1" thickBot="1" x14ac:dyDescent="0.3">
      <c r="A43" s="694"/>
      <c r="B43" s="585"/>
      <c r="C43" s="280" t="s">
        <v>72</v>
      </c>
      <c r="D43" s="291"/>
      <c r="E43" s="284">
        <v>0.17</v>
      </c>
      <c r="F43" s="105">
        <v>0</v>
      </c>
      <c r="G43" s="105"/>
      <c r="H43" s="105"/>
      <c r="I43" s="105"/>
      <c r="J43" s="105"/>
      <c r="K43" s="105"/>
      <c r="L43" s="105"/>
      <c r="M43" s="105"/>
      <c r="N43" s="105"/>
      <c r="O43" s="105"/>
      <c r="P43" s="264">
        <f t="shared" si="2"/>
        <v>0.17</v>
      </c>
      <c r="Q43" s="741"/>
      <c r="R43" s="741"/>
      <c r="S43" s="741"/>
      <c r="T43" s="741"/>
      <c r="U43" s="741"/>
      <c r="V43" s="741"/>
      <c r="W43" s="741"/>
      <c r="X43" s="741"/>
      <c r="Y43" s="741"/>
      <c r="Z43" s="741"/>
      <c r="AA43" s="741"/>
      <c r="AB43" s="741"/>
      <c r="AC43" s="741"/>
      <c r="AD43" s="742"/>
      <c r="AE43" s="97"/>
    </row>
    <row r="44" spans="1:41" x14ac:dyDescent="0.25">
      <c r="A44" s="50" t="s">
        <v>95</v>
      </c>
    </row>
    <row r="55" spans="1:30" x14ac:dyDescent="0.25">
      <c r="A55" s="613" t="s">
        <v>96</v>
      </c>
      <c r="B55" s="615" t="s">
        <v>74</v>
      </c>
      <c r="C55" s="617" t="s">
        <v>75</v>
      </c>
      <c r="D55" s="618"/>
      <c r="E55" s="618"/>
      <c r="F55" s="618"/>
      <c r="G55" s="618"/>
      <c r="H55" s="618"/>
      <c r="I55" s="618"/>
      <c r="J55" s="618"/>
      <c r="K55" s="618"/>
      <c r="L55" s="618"/>
      <c r="M55" s="618"/>
      <c r="N55" s="618"/>
      <c r="O55" s="618"/>
      <c r="P55" s="619"/>
      <c r="Q55" s="228"/>
      <c r="R55" s="228"/>
      <c r="S55" s="229"/>
      <c r="T55" s="229"/>
      <c r="U55" s="229"/>
      <c r="V55" s="229"/>
      <c r="W55" s="229"/>
      <c r="X55" s="229"/>
      <c r="Y55" s="229"/>
      <c r="Z55" s="229"/>
      <c r="AA55" s="229"/>
      <c r="AB55" s="229"/>
      <c r="AC55" s="229"/>
      <c r="AD55" s="229"/>
    </row>
    <row r="56" spans="1:30" ht="21" x14ac:dyDescent="0.25">
      <c r="A56" s="614"/>
      <c r="B56" s="616"/>
      <c r="C56" s="230" t="s">
        <v>77</v>
      </c>
      <c r="D56" s="230" t="s">
        <v>78</v>
      </c>
      <c r="E56" s="230" t="s">
        <v>79</v>
      </c>
      <c r="F56" s="230" t="s">
        <v>80</v>
      </c>
      <c r="G56" s="230" t="s">
        <v>81</v>
      </c>
      <c r="H56" s="230" t="s">
        <v>82</v>
      </c>
      <c r="I56" s="230" t="s">
        <v>83</v>
      </c>
      <c r="J56" s="230" t="s">
        <v>84</v>
      </c>
      <c r="K56" s="230" t="s">
        <v>85</v>
      </c>
      <c r="L56" s="230" t="s">
        <v>86</v>
      </c>
      <c r="M56" s="230" t="s">
        <v>87</v>
      </c>
      <c r="N56" s="230" t="s">
        <v>88</v>
      </c>
      <c r="O56" s="230" t="s">
        <v>89</v>
      </c>
      <c r="P56" s="230" t="s">
        <v>90</v>
      </c>
      <c r="Q56" s="228"/>
      <c r="R56" s="228"/>
      <c r="S56" s="229"/>
      <c r="T56" s="229"/>
      <c r="U56" s="229"/>
      <c r="V56" s="229"/>
      <c r="W56" s="229"/>
      <c r="X56" s="229"/>
      <c r="Y56" s="229"/>
      <c r="Z56" s="229"/>
      <c r="AA56" s="229"/>
      <c r="AB56" s="229"/>
      <c r="AC56" s="229"/>
      <c r="AD56" s="229"/>
    </row>
    <row r="57" spans="1:30" x14ac:dyDescent="0.25">
      <c r="A57" s="620" t="str">
        <f>A38</f>
        <v xml:space="preserve">13. Implementar los talleres de cambio cultural </v>
      </c>
      <c r="B57" s="622">
        <f>B38</f>
        <v>0.08</v>
      </c>
      <c r="C57" s="231" t="s">
        <v>68</v>
      </c>
      <c r="D57" s="232">
        <f>D38*$B$38/$P$38</f>
        <v>0</v>
      </c>
      <c r="E57" s="232">
        <f t="shared" ref="D57:O58" si="3">E38*$B$38/$P$38</f>
        <v>4.8000000000000004E-3</v>
      </c>
      <c r="F57" s="232">
        <f t="shared" si="3"/>
        <v>8.4000000000000012E-3</v>
      </c>
      <c r="G57" s="232">
        <f t="shared" si="3"/>
        <v>8.4000000000000012E-3</v>
      </c>
      <c r="H57" s="232">
        <f t="shared" si="3"/>
        <v>8.4000000000000012E-3</v>
      </c>
      <c r="I57" s="232">
        <f t="shared" si="3"/>
        <v>8.4000000000000012E-3</v>
      </c>
      <c r="J57" s="232">
        <f t="shared" si="3"/>
        <v>8.4000000000000012E-3</v>
      </c>
      <c r="K57" s="232">
        <f t="shared" si="3"/>
        <v>8.4000000000000012E-3</v>
      </c>
      <c r="L57" s="232">
        <f t="shared" si="3"/>
        <v>8.4000000000000012E-3</v>
      </c>
      <c r="M57" s="232">
        <f t="shared" si="3"/>
        <v>8.4000000000000012E-3</v>
      </c>
      <c r="N57" s="232">
        <f t="shared" si="3"/>
        <v>8.0000000000000019E-3</v>
      </c>
      <c r="O57" s="232">
        <f t="shared" si="3"/>
        <v>0</v>
      </c>
      <c r="P57" s="233">
        <f t="shared" ref="P57:P62" si="4">SUM(D57:O57)</f>
        <v>8.0000000000000029E-2</v>
      </c>
      <c r="Q57" s="234">
        <v>0.05</v>
      </c>
      <c r="R57" s="235">
        <f t="shared" ref="R57:R65" si="5">+P57-Q57</f>
        <v>3.0000000000000027E-2</v>
      </c>
      <c r="S57" s="229"/>
      <c r="T57" s="229"/>
      <c r="U57" s="229"/>
      <c r="V57" s="229"/>
      <c r="W57" s="229"/>
      <c r="X57" s="229"/>
      <c r="Y57" s="229"/>
      <c r="Z57" s="229"/>
      <c r="AA57" s="229"/>
      <c r="AB57" s="229"/>
      <c r="AC57" s="229"/>
      <c r="AD57" s="229"/>
    </row>
    <row r="58" spans="1:30" x14ac:dyDescent="0.25">
      <c r="A58" s="621"/>
      <c r="B58" s="623"/>
      <c r="C58" s="236" t="s">
        <v>72</v>
      </c>
      <c r="D58" s="237">
        <f t="shared" si="3"/>
        <v>0</v>
      </c>
      <c r="E58" s="237">
        <f t="shared" si="3"/>
        <v>4.8000000000000004E-3</v>
      </c>
      <c r="F58" s="237">
        <f t="shared" si="3"/>
        <v>8.4000000000000012E-3</v>
      </c>
      <c r="G58" s="237">
        <f t="shared" si="3"/>
        <v>0</v>
      </c>
      <c r="H58" s="237">
        <f t="shared" si="3"/>
        <v>0</v>
      </c>
      <c r="I58" s="237">
        <f t="shared" si="3"/>
        <v>0</v>
      </c>
      <c r="J58" s="237">
        <f t="shared" si="3"/>
        <v>0</v>
      </c>
      <c r="K58" s="237">
        <f t="shared" si="3"/>
        <v>0</v>
      </c>
      <c r="L58" s="237">
        <f t="shared" si="3"/>
        <v>0</v>
      </c>
      <c r="M58" s="237">
        <f t="shared" si="3"/>
        <v>0</v>
      </c>
      <c r="N58" s="237">
        <f t="shared" si="3"/>
        <v>0</v>
      </c>
      <c r="O58" s="237">
        <f t="shared" si="3"/>
        <v>0</v>
      </c>
      <c r="P58" s="238">
        <f t="shared" si="4"/>
        <v>1.3200000000000002E-2</v>
      </c>
      <c r="Q58" s="239">
        <f>+P58</f>
        <v>1.3200000000000002E-2</v>
      </c>
      <c r="R58" s="235">
        <f t="shared" si="5"/>
        <v>0</v>
      </c>
      <c r="S58" s="229"/>
      <c r="T58" s="229"/>
      <c r="U58" s="229"/>
      <c r="V58" s="229"/>
      <c r="W58" s="229"/>
      <c r="X58" s="229"/>
      <c r="Y58" s="229"/>
      <c r="Z58" s="229"/>
      <c r="AA58" s="229"/>
      <c r="AB58" s="229"/>
      <c r="AC58" s="229"/>
      <c r="AD58" s="229"/>
    </row>
    <row r="59" spans="1:30" x14ac:dyDescent="0.25">
      <c r="A59" s="620" t="str">
        <f>A40</f>
        <v>14. Implementar la Red de Alianzas del Cuidado</v>
      </c>
      <c r="B59" s="625">
        <f>B40</f>
        <v>7.0000000000000007E-2</v>
      </c>
      <c r="C59" s="231" t="s">
        <v>68</v>
      </c>
      <c r="D59" s="232">
        <f t="shared" ref="D59:O60" si="6">D40*$B$40/$P$40</f>
        <v>0</v>
      </c>
      <c r="E59" s="232">
        <f t="shared" si="6"/>
        <v>6.6500000000000014E-3</v>
      </c>
      <c r="F59" s="232">
        <f t="shared" si="6"/>
        <v>6.6500000000000014E-3</v>
      </c>
      <c r="G59" s="232">
        <f t="shared" si="6"/>
        <v>6.6500000000000014E-3</v>
      </c>
      <c r="H59" s="232">
        <f t="shared" si="6"/>
        <v>6.6500000000000014E-3</v>
      </c>
      <c r="I59" s="232">
        <f t="shared" si="6"/>
        <v>6.6500000000000014E-3</v>
      </c>
      <c r="J59" s="232">
        <f t="shared" si="6"/>
        <v>6.6500000000000014E-3</v>
      </c>
      <c r="K59" s="232">
        <f t="shared" si="6"/>
        <v>6.6500000000000014E-3</v>
      </c>
      <c r="L59" s="232">
        <f t="shared" si="6"/>
        <v>6.6500000000000014E-3</v>
      </c>
      <c r="M59" s="232">
        <f t="shared" si="6"/>
        <v>6.6500000000000014E-3</v>
      </c>
      <c r="N59" s="232">
        <f t="shared" si="6"/>
        <v>6.6500000000000014E-3</v>
      </c>
      <c r="O59" s="232">
        <f t="shared" si="6"/>
        <v>3.5000000000000009E-3</v>
      </c>
      <c r="P59" s="233">
        <f t="shared" si="4"/>
        <v>7.0000000000000021E-2</v>
      </c>
      <c r="Q59" s="234">
        <v>2.5000000000000001E-2</v>
      </c>
      <c r="R59" s="235">
        <f t="shared" si="5"/>
        <v>4.5000000000000019E-2</v>
      </c>
      <c r="S59" s="229"/>
      <c r="T59" s="229"/>
      <c r="U59" s="229"/>
      <c r="V59" s="229"/>
      <c r="W59" s="229"/>
      <c r="X59" s="229"/>
      <c r="Y59" s="229"/>
      <c r="Z59" s="229"/>
      <c r="AA59" s="229"/>
      <c r="AB59" s="229"/>
      <c r="AC59" s="229"/>
      <c r="AD59" s="229"/>
    </row>
    <row r="60" spans="1:30" x14ac:dyDescent="0.25">
      <c r="A60" s="624"/>
      <c r="B60" s="626"/>
      <c r="C60" s="236" t="s">
        <v>72</v>
      </c>
      <c r="D60" s="237">
        <f t="shared" si="6"/>
        <v>0</v>
      </c>
      <c r="E60" s="237">
        <f t="shared" si="6"/>
        <v>7.0000000000000019E-3</v>
      </c>
      <c r="F60" s="237">
        <f t="shared" si="6"/>
        <v>6.6500000000000014E-3</v>
      </c>
      <c r="G60" s="237">
        <f t="shared" si="6"/>
        <v>0</v>
      </c>
      <c r="H60" s="237">
        <f t="shared" si="6"/>
        <v>0</v>
      </c>
      <c r="I60" s="237">
        <f t="shared" si="6"/>
        <v>0</v>
      </c>
      <c r="J60" s="237">
        <f t="shared" si="6"/>
        <v>0</v>
      </c>
      <c r="K60" s="237">
        <f t="shared" si="6"/>
        <v>0</v>
      </c>
      <c r="L60" s="237">
        <f t="shared" si="6"/>
        <v>0</v>
      </c>
      <c r="M60" s="237">
        <f t="shared" si="6"/>
        <v>0</v>
      </c>
      <c r="N60" s="237">
        <f t="shared" si="6"/>
        <v>0</v>
      </c>
      <c r="O60" s="237">
        <f t="shared" si="6"/>
        <v>0</v>
      </c>
      <c r="P60" s="238">
        <f t="shared" si="4"/>
        <v>1.3650000000000002E-2</v>
      </c>
      <c r="Q60" s="239">
        <f>+P60</f>
        <v>1.3650000000000002E-2</v>
      </c>
      <c r="R60" s="235">
        <f t="shared" si="5"/>
        <v>0</v>
      </c>
      <c r="S60" s="229"/>
      <c r="T60" s="229"/>
      <c r="U60" s="229"/>
      <c r="V60" s="229"/>
      <c r="W60" s="229"/>
      <c r="X60" s="229"/>
      <c r="Y60" s="229"/>
      <c r="Z60" s="229"/>
      <c r="AA60" s="229"/>
      <c r="AB60" s="229"/>
      <c r="AC60" s="229"/>
      <c r="AD60" s="229"/>
    </row>
    <row r="61" spans="1:30" x14ac:dyDescent="0.25">
      <c r="A61" s="620" t="str">
        <f>A42</f>
        <v>15. Convocar y gestionar las sesiones de la Mesa de Transformación Cultural de la Unidad Técnica de Apoyo de la Comisión Intersectorial del Sistema de Cuidado</v>
      </c>
      <c r="B61" s="625">
        <f>B42</f>
        <v>0.05</v>
      </c>
      <c r="C61" s="231" t="s">
        <v>68</v>
      </c>
      <c r="D61" s="232">
        <f t="shared" ref="D61:O62" si="7">D42*$B$42/$P$42</f>
        <v>0</v>
      </c>
      <c r="E61" s="232">
        <f t="shared" si="7"/>
        <v>8.5000000000000006E-3</v>
      </c>
      <c r="F61" s="232">
        <f t="shared" si="7"/>
        <v>0</v>
      </c>
      <c r="G61" s="232">
        <f t="shared" si="7"/>
        <v>8.3000000000000001E-3</v>
      </c>
      <c r="H61" s="232">
        <f t="shared" si="7"/>
        <v>0</v>
      </c>
      <c r="I61" s="232">
        <f t="shared" si="7"/>
        <v>8.3000000000000001E-3</v>
      </c>
      <c r="J61" s="232">
        <f t="shared" si="7"/>
        <v>0</v>
      </c>
      <c r="K61" s="232">
        <f t="shared" si="7"/>
        <v>8.3000000000000001E-3</v>
      </c>
      <c r="L61" s="232">
        <f t="shared" si="7"/>
        <v>0</v>
      </c>
      <c r="M61" s="232">
        <f t="shared" si="7"/>
        <v>8.3000000000000001E-3</v>
      </c>
      <c r="N61" s="232">
        <f t="shared" si="7"/>
        <v>0</v>
      </c>
      <c r="O61" s="232">
        <f t="shared" si="7"/>
        <v>8.3000000000000001E-3</v>
      </c>
      <c r="P61" s="233">
        <f t="shared" si="4"/>
        <v>5.000000000000001E-2</v>
      </c>
      <c r="Q61" s="234">
        <v>2.5000000000000001E-2</v>
      </c>
      <c r="R61" s="235">
        <f t="shared" si="5"/>
        <v>2.5000000000000008E-2</v>
      </c>
      <c r="S61" s="229"/>
      <c r="T61" s="229"/>
      <c r="U61" s="229"/>
      <c r="V61" s="229"/>
      <c r="W61" s="229"/>
      <c r="X61" s="229"/>
      <c r="Y61" s="229"/>
      <c r="Z61" s="229"/>
      <c r="AA61" s="229"/>
      <c r="AB61" s="229"/>
      <c r="AC61" s="229"/>
      <c r="AD61" s="229"/>
    </row>
    <row r="62" spans="1:30" x14ac:dyDescent="0.25">
      <c r="A62" s="624"/>
      <c r="B62" s="626"/>
      <c r="C62" s="236" t="s">
        <v>72</v>
      </c>
      <c r="D62" s="237">
        <f t="shared" si="7"/>
        <v>0</v>
      </c>
      <c r="E62" s="237">
        <f t="shared" si="7"/>
        <v>8.5000000000000006E-3</v>
      </c>
      <c r="F62" s="237">
        <f t="shared" si="7"/>
        <v>0</v>
      </c>
      <c r="G62" s="237">
        <f t="shared" si="7"/>
        <v>0</v>
      </c>
      <c r="H62" s="237">
        <f t="shared" si="7"/>
        <v>0</v>
      </c>
      <c r="I62" s="237">
        <f t="shared" si="7"/>
        <v>0</v>
      </c>
      <c r="J62" s="237">
        <f t="shared" si="7"/>
        <v>0</v>
      </c>
      <c r="K62" s="237">
        <f t="shared" si="7"/>
        <v>0</v>
      </c>
      <c r="L62" s="237">
        <f t="shared" si="7"/>
        <v>0</v>
      </c>
      <c r="M62" s="237">
        <f t="shared" si="7"/>
        <v>0</v>
      </c>
      <c r="N62" s="237">
        <f t="shared" si="7"/>
        <v>0</v>
      </c>
      <c r="O62" s="237">
        <f t="shared" si="7"/>
        <v>0</v>
      </c>
      <c r="P62" s="238">
        <f t="shared" si="4"/>
        <v>8.5000000000000006E-3</v>
      </c>
      <c r="Q62" s="239">
        <f>+P62</f>
        <v>8.5000000000000006E-3</v>
      </c>
      <c r="R62" s="235">
        <f t="shared" si="5"/>
        <v>0</v>
      </c>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D58+D60+D62</f>
        <v>0</v>
      </c>
      <c r="E65" s="250">
        <f t="shared" ref="E65:O65" si="8">E58+E60+E62</f>
        <v>2.0300000000000002E-2</v>
      </c>
      <c r="F65" s="250">
        <f t="shared" si="8"/>
        <v>1.5050000000000003E-2</v>
      </c>
      <c r="G65" s="250">
        <f t="shared" si="8"/>
        <v>0</v>
      </c>
      <c r="H65" s="250">
        <f t="shared" si="8"/>
        <v>0</v>
      </c>
      <c r="I65" s="250">
        <f t="shared" si="8"/>
        <v>0</v>
      </c>
      <c r="J65" s="250">
        <f t="shared" si="8"/>
        <v>0</v>
      </c>
      <c r="K65" s="250">
        <f t="shared" si="8"/>
        <v>0</v>
      </c>
      <c r="L65" s="250">
        <f t="shared" si="8"/>
        <v>0</v>
      </c>
      <c r="M65" s="250">
        <f t="shared" si="8"/>
        <v>0</v>
      </c>
      <c r="N65" s="250">
        <f t="shared" si="8"/>
        <v>0</v>
      </c>
      <c r="O65" s="250">
        <f t="shared" si="8"/>
        <v>0</v>
      </c>
      <c r="P65" s="250">
        <f>P58+P60+P62</f>
        <v>3.5350000000000006E-2</v>
      </c>
      <c r="Q65" s="228"/>
      <c r="R65" s="235">
        <f t="shared" si="5"/>
        <v>3.5350000000000006E-2</v>
      </c>
      <c r="S65" s="229"/>
      <c r="T65" s="229"/>
      <c r="U65" s="229"/>
      <c r="V65" s="229"/>
      <c r="W65" s="229"/>
      <c r="X65" s="229"/>
      <c r="Y65" s="229"/>
      <c r="Z65" s="229"/>
      <c r="AA65" s="229"/>
      <c r="AB65" s="229"/>
      <c r="AC65" s="229"/>
      <c r="AD65" s="229"/>
    </row>
    <row r="66" spans="1:30" x14ac:dyDescent="0.25">
      <c r="A66" s="228"/>
      <c r="B66" s="251"/>
      <c r="C66" s="252" t="s">
        <v>72</v>
      </c>
      <c r="D66" s="253">
        <f>D65*$W$17/$B$34</f>
        <v>0</v>
      </c>
      <c r="E66" s="253">
        <f t="shared" ref="E66:O66" si="9">E65*$W$17/$B$34</f>
        <v>0.10150000000000001</v>
      </c>
      <c r="F66" s="253">
        <f t="shared" si="9"/>
        <v>7.5250000000000011E-2</v>
      </c>
      <c r="G66" s="253">
        <f t="shared" si="9"/>
        <v>0</v>
      </c>
      <c r="H66" s="253">
        <f t="shared" si="9"/>
        <v>0</v>
      </c>
      <c r="I66" s="253">
        <f t="shared" si="9"/>
        <v>0</v>
      </c>
      <c r="J66" s="253">
        <f t="shared" si="9"/>
        <v>0</v>
      </c>
      <c r="K66" s="253">
        <f t="shared" si="9"/>
        <v>0</v>
      </c>
      <c r="L66" s="253">
        <f t="shared" si="9"/>
        <v>0</v>
      </c>
      <c r="M66" s="253">
        <f t="shared" si="9"/>
        <v>0</v>
      </c>
      <c r="N66" s="253">
        <f t="shared" si="9"/>
        <v>0</v>
      </c>
      <c r="O66" s="253">
        <f t="shared" si="9"/>
        <v>0</v>
      </c>
      <c r="P66" s="254">
        <f>SUM(D66:O66)</f>
        <v>0.17675000000000002</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 t="shared" ref="D68:P68" si="10">+D57+D59+D61</f>
        <v>0</v>
      </c>
      <c r="E68" s="250">
        <f t="shared" si="10"/>
        <v>1.9950000000000002E-2</v>
      </c>
      <c r="F68" s="250">
        <f t="shared" si="10"/>
        <v>1.5050000000000003E-2</v>
      </c>
      <c r="G68" s="250">
        <f t="shared" si="10"/>
        <v>2.3350000000000003E-2</v>
      </c>
      <c r="H68" s="250">
        <f t="shared" si="10"/>
        <v>1.5050000000000003E-2</v>
      </c>
      <c r="I68" s="250">
        <f t="shared" si="10"/>
        <v>2.3350000000000003E-2</v>
      </c>
      <c r="J68" s="250">
        <f t="shared" si="10"/>
        <v>1.5050000000000003E-2</v>
      </c>
      <c r="K68" s="250">
        <f t="shared" si="10"/>
        <v>2.3350000000000003E-2</v>
      </c>
      <c r="L68" s="250">
        <f t="shared" si="10"/>
        <v>1.5050000000000003E-2</v>
      </c>
      <c r="M68" s="250">
        <f t="shared" si="10"/>
        <v>2.3350000000000003E-2</v>
      </c>
      <c r="N68" s="250">
        <f t="shared" si="10"/>
        <v>1.4650000000000003E-2</v>
      </c>
      <c r="O68" s="250">
        <f t="shared" si="10"/>
        <v>1.1800000000000001E-2</v>
      </c>
      <c r="P68" s="250">
        <f t="shared" si="10"/>
        <v>0.20000000000000007</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11">D68*$W$17/$B$34</f>
        <v>0</v>
      </c>
      <c r="E69" s="253">
        <f t="shared" si="11"/>
        <v>9.9750000000000005E-2</v>
      </c>
      <c r="F69" s="253">
        <f t="shared" si="11"/>
        <v>7.5250000000000011E-2</v>
      </c>
      <c r="G69" s="253">
        <f t="shared" si="11"/>
        <v>0.11675000000000001</v>
      </c>
      <c r="H69" s="253">
        <f t="shared" si="11"/>
        <v>7.5250000000000011E-2</v>
      </c>
      <c r="I69" s="253">
        <f t="shared" si="11"/>
        <v>0.11675000000000001</v>
      </c>
      <c r="J69" s="253">
        <f t="shared" si="11"/>
        <v>7.5250000000000011E-2</v>
      </c>
      <c r="K69" s="253">
        <f t="shared" si="11"/>
        <v>0.11675000000000001</v>
      </c>
      <c r="L69" s="253">
        <f t="shared" si="11"/>
        <v>7.5250000000000011E-2</v>
      </c>
      <c r="M69" s="253">
        <f t="shared" si="11"/>
        <v>0.11675000000000001</v>
      </c>
      <c r="N69" s="253">
        <f t="shared" si="11"/>
        <v>7.325000000000001E-2</v>
      </c>
      <c r="O69" s="253">
        <f t="shared" si="11"/>
        <v>5.9000000000000004E-2</v>
      </c>
      <c r="P69" s="254">
        <f>SUM(D69:O69)</f>
        <v>1.0000000000000002</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sheetData>
  <mergeCells count="88">
    <mergeCell ref="A55:A56"/>
    <mergeCell ref="B55:B56"/>
    <mergeCell ref="C55:P55"/>
    <mergeCell ref="A57:A58"/>
    <mergeCell ref="B57:B58"/>
    <mergeCell ref="A59:A60"/>
    <mergeCell ref="B59:B60"/>
    <mergeCell ref="A61:A62"/>
    <mergeCell ref="B61:B62"/>
    <mergeCell ref="I7:J9"/>
    <mergeCell ref="A11:B13"/>
    <mergeCell ref="C11:AD13"/>
    <mergeCell ref="A15:B15"/>
    <mergeCell ref="C15:K15"/>
    <mergeCell ref="L15:Q15"/>
    <mergeCell ref="R15:X15"/>
    <mergeCell ref="Y15:Z15"/>
    <mergeCell ref="AA15:AD15"/>
    <mergeCell ref="C16:AB16"/>
    <mergeCell ref="A17:B17"/>
    <mergeCell ref="C17:Q17"/>
    <mergeCell ref="K7:L9"/>
    <mergeCell ref="M7:N7"/>
    <mergeCell ref="A1:A4"/>
    <mergeCell ref="B1:AA1"/>
    <mergeCell ref="M8:N8"/>
    <mergeCell ref="O8:P8"/>
    <mergeCell ref="M9:N9"/>
    <mergeCell ref="O7:P7"/>
    <mergeCell ref="O9:P9"/>
    <mergeCell ref="A7:B9"/>
    <mergeCell ref="C7:C9"/>
    <mergeCell ref="D7:H9"/>
    <mergeCell ref="AB1:AD1"/>
    <mergeCell ref="B2:AA2"/>
    <mergeCell ref="AB2:AD2"/>
    <mergeCell ref="B3:AA4"/>
    <mergeCell ref="AB3:AD3"/>
    <mergeCell ref="AB4:AD4"/>
    <mergeCell ref="R17:V17"/>
    <mergeCell ref="W17:X17"/>
    <mergeCell ref="Y17:AB17"/>
    <mergeCell ref="AC17:AD17"/>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38:A39"/>
    <mergeCell ref="B38:B39"/>
    <mergeCell ref="Q38:AD39"/>
    <mergeCell ref="A42:A43"/>
    <mergeCell ref="B42:B43"/>
    <mergeCell ref="Q42:AD43"/>
    <mergeCell ref="A40:A41"/>
    <mergeCell ref="B40:B41"/>
    <mergeCell ref="Q40:AD41"/>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0" orientation="landscape"/>
  <customProperties>
    <customPr name="_pios_id" r:id="rId1"/>
  </customProperties>
  <ignoredErrors>
    <ignoredError sqref="W24 Z24" 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CB15-2246-F441-B001-E1E91C1D5E34}">
  <sheetPr>
    <tabColor theme="7" tint="0.39997558519241921"/>
    <pageSetUpPr fitToPage="1"/>
  </sheetPr>
  <dimension ref="A1:AX62"/>
  <sheetViews>
    <sheetView showGridLines="0" topLeftCell="A23" zoomScale="60" zoomScaleNormal="60" workbookViewId="0">
      <selection activeCell="A27" sqref="A27:AD27"/>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20.285156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0" ht="32.25" customHeight="1" thickBot="1" x14ac:dyDescent="0.3">
      <c r="A1" s="443"/>
      <c r="B1" s="446"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8"/>
      <c r="AB1" s="449" t="s">
        <v>1</v>
      </c>
      <c r="AC1" s="450"/>
      <c r="AD1" s="451"/>
    </row>
    <row r="2" spans="1:50" ht="30.75" customHeight="1" thickBot="1" x14ac:dyDescent="0.3">
      <c r="A2" s="444"/>
      <c r="B2" s="446" t="s">
        <v>97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470" t="s">
        <v>3</v>
      </c>
      <c r="AC2" s="471"/>
      <c r="AD2" s="472"/>
    </row>
    <row r="3" spans="1:50" ht="24" customHeight="1" x14ac:dyDescent="0.25">
      <c r="A3" s="444"/>
      <c r="B3" s="473" t="s">
        <v>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470" t="s">
        <v>5</v>
      </c>
      <c r="AC3" s="471"/>
      <c r="AD3" s="472"/>
    </row>
    <row r="4" spans="1:50" ht="21.95" customHeight="1" thickBot="1" x14ac:dyDescent="0.3">
      <c r="A4" s="445"/>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5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0" ht="15" customHeight="1" x14ac:dyDescent="0.25">
      <c r="A7" s="464" t="s">
        <v>7</v>
      </c>
      <c r="B7" s="465"/>
      <c r="C7" s="500" t="s">
        <v>8</v>
      </c>
      <c r="D7" s="464" t="s">
        <v>9</v>
      </c>
      <c r="E7" s="482"/>
      <c r="F7" s="482"/>
      <c r="G7" s="482"/>
      <c r="H7" s="465"/>
      <c r="I7" s="485">
        <v>45113</v>
      </c>
      <c r="J7" s="486"/>
      <c r="K7" s="464" t="s">
        <v>10</v>
      </c>
      <c r="L7" s="465"/>
      <c r="M7" s="456" t="s">
        <v>98</v>
      </c>
      <c r="N7" s="457"/>
      <c r="O7" s="458"/>
      <c r="P7" s="459"/>
      <c r="Q7" s="54"/>
      <c r="R7" s="54"/>
      <c r="S7" s="54"/>
      <c r="T7" s="54"/>
      <c r="U7" s="54"/>
      <c r="V7" s="54"/>
      <c r="W7" s="54"/>
      <c r="X7" s="54"/>
      <c r="Y7" s="54"/>
      <c r="Z7" s="55"/>
      <c r="AA7" s="54"/>
      <c r="AB7" s="54"/>
      <c r="AC7" s="60"/>
      <c r="AD7" s="61"/>
    </row>
    <row r="8" spans="1:50" ht="15" customHeight="1" x14ac:dyDescent="0.25">
      <c r="A8" s="466"/>
      <c r="B8" s="467"/>
      <c r="C8" s="501"/>
      <c r="D8" s="466"/>
      <c r="E8" s="483"/>
      <c r="F8" s="483"/>
      <c r="G8" s="483"/>
      <c r="H8" s="467"/>
      <c r="I8" s="487"/>
      <c r="J8" s="488"/>
      <c r="K8" s="466"/>
      <c r="L8" s="467"/>
      <c r="M8" s="460" t="s">
        <v>99</v>
      </c>
      <c r="N8" s="461"/>
      <c r="O8" s="462" t="s">
        <v>14</v>
      </c>
      <c r="P8" s="463"/>
      <c r="Q8" s="54"/>
      <c r="R8" s="54"/>
      <c r="S8" s="54"/>
      <c r="T8" s="54"/>
      <c r="U8" s="54"/>
      <c r="V8" s="54"/>
      <c r="W8" s="54"/>
      <c r="X8" s="54"/>
      <c r="Y8" s="54"/>
      <c r="Z8" s="55"/>
      <c r="AA8" s="54"/>
      <c r="AB8" s="54"/>
      <c r="AC8" s="60"/>
      <c r="AD8" s="61"/>
    </row>
    <row r="9" spans="1:50" ht="15.75" customHeight="1" thickBot="1" x14ac:dyDescent="0.3">
      <c r="A9" s="468"/>
      <c r="B9" s="469"/>
      <c r="C9" s="502"/>
      <c r="D9" s="468"/>
      <c r="E9" s="484"/>
      <c r="F9" s="484"/>
      <c r="G9" s="484"/>
      <c r="H9" s="469"/>
      <c r="I9" s="489"/>
      <c r="J9" s="490"/>
      <c r="K9" s="468"/>
      <c r="L9" s="469"/>
      <c r="M9" s="452" t="s">
        <v>13</v>
      </c>
      <c r="N9" s="453"/>
      <c r="O9" s="454" t="s">
        <v>14</v>
      </c>
      <c r="P9" s="455"/>
      <c r="Q9" s="54"/>
      <c r="R9" s="54"/>
      <c r="S9" s="54"/>
      <c r="T9" s="54"/>
      <c r="U9" s="54"/>
      <c r="V9" s="54"/>
      <c r="W9" s="54"/>
      <c r="X9" s="54"/>
      <c r="Y9" s="54"/>
      <c r="Z9" s="55"/>
      <c r="AA9" s="54"/>
      <c r="AB9" s="54"/>
      <c r="AC9" s="60"/>
      <c r="AD9" s="61"/>
    </row>
    <row r="10" spans="1:50"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0" ht="15" customHeight="1" x14ac:dyDescent="0.25">
      <c r="A11" s="464" t="s">
        <v>15</v>
      </c>
      <c r="B11" s="465"/>
      <c r="C11" s="491" t="s">
        <v>16</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3"/>
    </row>
    <row r="12" spans="1:50" ht="15" customHeight="1" x14ac:dyDescent="0.25">
      <c r="A12" s="466"/>
      <c r="B12" s="467"/>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6"/>
    </row>
    <row r="13" spans="1:50" ht="15" customHeight="1" thickBot="1" x14ac:dyDescent="0.3">
      <c r="A13" s="468"/>
      <c r="B13" s="469"/>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9"/>
    </row>
    <row r="14" spans="1:5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50" ht="39" customHeight="1" thickBot="1" x14ac:dyDescent="0.3">
      <c r="A15" s="528" t="s">
        <v>17</v>
      </c>
      <c r="B15" s="529"/>
      <c r="C15" s="538" t="s">
        <v>18</v>
      </c>
      <c r="D15" s="539"/>
      <c r="E15" s="539"/>
      <c r="F15" s="539"/>
      <c r="G15" s="539"/>
      <c r="H15" s="539"/>
      <c r="I15" s="539"/>
      <c r="J15" s="539"/>
      <c r="K15" s="540"/>
      <c r="L15" s="503" t="s">
        <v>19</v>
      </c>
      <c r="M15" s="504"/>
      <c r="N15" s="504"/>
      <c r="O15" s="504"/>
      <c r="P15" s="504"/>
      <c r="Q15" s="505"/>
      <c r="R15" s="533" t="s">
        <v>20</v>
      </c>
      <c r="S15" s="534"/>
      <c r="T15" s="534"/>
      <c r="U15" s="534"/>
      <c r="V15" s="534"/>
      <c r="W15" s="534"/>
      <c r="X15" s="535"/>
      <c r="Y15" s="503" t="s">
        <v>21</v>
      </c>
      <c r="Z15" s="505"/>
      <c r="AA15" s="524" t="s">
        <v>22</v>
      </c>
      <c r="AB15" s="525"/>
      <c r="AC15" s="525"/>
      <c r="AD15" s="526"/>
    </row>
    <row r="16" spans="1:50" ht="105" customHeight="1" thickBot="1" x14ac:dyDescent="0.3">
      <c r="A16" s="59"/>
      <c r="B16" s="54"/>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73"/>
      <c r="AD16" s="74"/>
      <c r="AX16" s="388" t="s">
        <v>23</v>
      </c>
    </row>
    <row r="17" spans="1:50" s="76" customFormat="1" ht="37.5" customHeight="1" thickBot="1" x14ac:dyDescent="0.3">
      <c r="A17" s="528" t="s">
        <v>24</v>
      </c>
      <c r="B17" s="529"/>
      <c r="C17" s="530" t="s">
        <v>131</v>
      </c>
      <c r="D17" s="531"/>
      <c r="E17" s="531"/>
      <c r="F17" s="531"/>
      <c r="G17" s="531"/>
      <c r="H17" s="531"/>
      <c r="I17" s="531"/>
      <c r="J17" s="531"/>
      <c r="K17" s="531"/>
      <c r="L17" s="531"/>
      <c r="M17" s="531"/>
      <c r="N17" s="531"/>
      <c r="O17" s="531"/>
      <c r="P17" s="531"/>
      <c r="Q17" s="532"/>
      <c r="R17" s="503" t="s">
        <v>26</v>
      </c>
      <c r="S17" s="504"/>
      <c r="T17" s="504"/>
      <c r="U17" s="504"/>
      <c r="V17" s="505"/>
      <c r="W17" s="536">
        <v>1</v>
      </c>
      <c r="X17" s="537"/>
      <c r="Y17" s="504" t="s">
        <v>27</v>
      </c>
      <c r="Z17" s="504"/>
      <c r="AA17" s="504"/>
      <c r="AB17" s="505"/>
      <c r="AC17" s="514">
        <v>0.1</v>
      </c>
      <c r="AD17" s="515"/>
      <c r="AX17" s="387"/>
    </row>
    <row r="18" spans="1:50"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50" ht="32.1" customHeight="1" thickBot="1" x14ac:dyDescent="0.3">
      <c r="A19" s="503" t="s">
        <v>28</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row>
    <row r="20" spans="1:50" ht="32.1" customHeight="1" thickBot="1" x14ac:dyDescent="0.3">
      <c r="A20" s="82"/>
      <c r="B20" s="60"/>
      <c r="C20" s="509" t="s">
        <v>29</v>
      </c>
      <c r="D20" s="510"/>
      <c r="E20" s="510"/>
      <c r="F20" s="510"/>
      <c r="G20" s="510"/>
      <c r="H20" s="510"/>
      <c r="I20" s="510"/>
      <c r="J20" s="510"/>
      <c r="K20" s="510"/>
      <c r="L20" s="510"/>
      <c r="M20" s="510"/>
      <c r="N20" s="510"/>
      <c r="O20" s="510"/>
      <c r="P20" s="511"/>
      <c r="Q20" s="506" t="s">
        <v>30</v>
      </c>
      <c r="R20" s="507"/>
      <c r="S20" s="507"/>
      <c r="T20" s="507"/>
      <c r="U20" s="507"/>
      <c r="V20" s="507"/>
      <c r="W20" s="507"/>
      <c r="X20" s="507"/>
      <c r="Y20" s="507"/>
      <c r="Z20" s="507"/>
      <c r="AA20" s="507"/>
      <c r="AB20" s="507"/>
      <c r="AC20" s="507"/>
      <c r="AD20" s="508"/>
      <c r="AE20" s="83"/>
      <c r="AF20" s="83"/>
    </row>
    <row r="21" spans="1:50" ht="32.1" customHeight="1" thickBot="1" x14ac:dyDescent="0.3">
      <c r="A21" s="59"/>
      <c r="B21" s="54"/>
      <c r="C21" s="353" t="s">
        <v>31</v>
      </c>
      <c r="D21" s="352" t="s">
        <v>32</v>
      </c>
      <c r="E21" s="352" t="s">
        <v>33</v>
      </c>
      <c r="F21" s="352" t="s">
        <v>34</v>
      </c>
      <c r="G21" s="352" t="s">
        <v>35</v>
      </c>
      <c r="H21" s="352" t="s">
        <v>8</v>
      </c>
      <c r="I21" s="352" t="s">
        <v>36</v>
      </c>
      <c r="J21" s="352" t="s">
        <v>37</v>
      </c>
      <c r="K21" s="352" t="s">
        <v>38</v>
      </c>
      <c r="L21" s="352" t="s">
        <v>39</v>
      </c>
      <c r="M21" s="352" t="s">
        <v>40</v>
      </c>
      <c r="N21" s="352" t="s">
        <v>41</v>
      </c>
      <c r="O21" s="352" t="s">
        <v>42</v>
      </c>
      <c r="P21" s="354" t="s">
        <v>43</v>
      </c>
      <c r="Q21" s="353" t="s">
        <v>31</v>
      </c>
      <c r="R21" s="352" t="s">
        <v>32</v>
      </c>
      <c r="S21" s="352" t="s">
        <v>33</v>
      </c>
      <c r="T21" s="352" t="s">
        <v>34</v>
      </c>
      <c r="U21" s="352" t="s">
        <v>35</v>
      </c>
      <c r="V21" s="352" t="s">
        <v>8</v>
      </c>
      <c r="W21" s="352" t="s">
        <v>36</v>
      </c>
      <c r="X21" s="352" t="s">
        <v>37</v>
      </c>
      <c r="Y21" s="352" t="s">
        <v>38</v>
      </c>
      <c r="Z21" s="352" t="s">
        <v>39</v>
      </c>
      <c r="AA21" s="352" t="s">
        <v>40</v>
      </c>
      <c r="AB21" s="352" t="s">
        <v>41</v>
      </c>
      <c r="AC21" s="352" t="s">
        <v>42</v>
      </c>
      <c r="AD21" s="354" t="s">
        <v>43</v>
      </c>
      <c r="AE21" s="3"/>
      <c r="AF21" s="3"/>
    </row>
    <row r="22" spans="1:50" ht="32.1" customHeight="1" x14ac:dyDescent="0.25">
      <c r="A22" s="512" t="s">
        <v>101</v>
      </c>
      <c r="B22" s="513"/>
      <c r="C22" s="355"/>
      <c r="D22" s="356"/>
      <c r="E22" s="356"/>
      <c r="F22" s="356"/>
      <c r="G22" s="356"/>
      <c r="H22" s="356"/>
      <c r="I22" s="356"/>
      <c r="J22" s="356"/>
      <c r="K22" s="356"/>
      <c r="L22" s="356"/>
      <c r="M22" s="356"/>
      <c r="N22" s="356"/>
      <c r="O22" s="356">
        <f>SUM(C22:N22)</f>
        <v>0</v>
      </c>
      <c r="P22" s="433"/>
      <c r="Q22" s="355">
        <v>367342350</v>
      </c>
      <c r="R22" s="356"/>
      <c r="S22" s="356"/>
      <c r="T22" s="356">
        <v>21559511</v>
      </c>
      <c r="U22" s="356"/>
      <c r="V22" s="356">
        <f>2139478+34249272-10290230</f>
        <v>26098520</v>
      </c>
      <c r="W22" s="356"/>
      <c r="X22" s="356"/>
      <c r="Y22" s="356"/>
      <c r="Z22" s="356"/>
      <c r="AA22" s="356"/>
      <c r="AB22" s="356"/>
      <c r="AC22" s="429">
        <f>SUM(Q22:AB22)</f>
        <v>415000381</v>
      </c>
      <c r="AD22" s="357"/>
      <c r="AE22" s="3"/>
      <c r="AF22" s="442" t="s">
        <v>116</v>
      </c>
      <c r="AG22" s="442"/>
      <c r="AH22" s="442"/>
      <c r="AI22" s="442"/>
      <c r="AJ22" s="442"/>
      <c r="AK22" s="442"/>
      <c r="AL22" s="442"/>
      <c r="AM22" s="442"/>
    </row>
    <row r="23" spans="1:50" ht="32.1" customHeight="1" x14ac:dyDescent="0.25">
      <c r="A23" s="520" t="s">
        <v>47</v>
      </c>
      <c r="B23" s="521"/>
      <c r="C23" s="175"/>
      <c r="D23" s="174"/>
      <c r="E23" s="174"/>
      <c r="F23" s="174"/>
      <c r="G23" s="174"/>
      <c r="H23" s="174"/>
      <c r="I23" s="174"/>
      <c r="J23" s="174"/>
      <c r="K23" s="174"/>
      <c r="L23" s="174"/>
      <c r="M23" s="174"/>
      <c r="N23" s="174"/>
      <c r="O23" s="174">
        <f>SUM(C23:N23)</f>
        <v>0</v>
      </c>
      <c r="P23" s="434"/>
      <c r="Q23" s="175">
        <v>131719000</v>
      </c>
      <c r="R23" s="174">
        <v>160636483</v>
      </c>
      <c r="S23" s="174">
        <v>24103734</v>
      </c>
      <c r="T23" s="174">
        <v>-7934917</v>
      </c>
      <c r="U23" s="174">
        <v>50047197</v>
      </c>
      <c r="V23" s="174">
        <v>11200000</v>
      </c>
      <c r="W23" s="174"/>
      <c r="X23" s="174"/>
      <c r="Y23" s="174"/>
      <c r="Z23" s="174"/>
      <c r="AA23" s="174"/>
      <c r="AB23" s="174"/>
      <c r="AC23" s="430">
        <f>SUM(Q23:AB23)</f>
        <v>369771497</v>
      </c>
      <c r="AD23" s="182">
        <f>+AC23/AC22</f>
        <v>0.89101483740565535</v>
      </c>
      <c r="AE23" s="3"/>
      <c r="AF23" s="442"/>
      <c r="AG23" s="442"/>
      <c r="AH23" s="442"/>
      <c r="AI23" s="442"/>
      <c r="AJ23" s="442"/>
      <c r="AK23" s="442"/>
      <c r="AL23" s="442"/>
      <c r="AM23" s="442"/>
    </row>
    <row r="24" spans="1:50" ht="32.1" customHeight="1" x14ac:dyDescent="0.25">
      <c r="A24" s="520" t="s">
        <v>103</v>
      </c>
      <c r="B24" s="521"/>
      <c r="C24" s="175">
        <v>19304536</v>
      </c>
      <c r="D24" s="174">
        <f>1166667+432600+475860+4505046</f>
        <v>6580173</v>
      </c>
      <c r="E24" s="174"/>
      <c r="F24" s="174"/>
      <c r="G24" s="174"/>
      <c r="H24" s="174"/>
      <c r="I24" s="174"/>
      <c r="J24" s="174"/>
      <c r="K24" s="174"/>
      <c r="L24" s="174"/>
      <c r="M24" s="174"/>
      <c r="N24" s="174"/>
      <c r="O24" s="213">
        <f>SUM(C24:N24)</f>
        <v>25884709</v>
      </c>
      <c r="P24" s="178"/>
      <c r="Q24" s="175"/>
      <c r="R24" s="174">
        <v>15581050</v>
      </c>
      <c r="S24" s="174">
        <v>31978300</v>
      </c>
      <c r="T24" s="174">
        <v>31978300</v>
      </c>
      <c r="U24" s="174">
        <f>31978300+21559511</f>
        <v>53537811</v>
      </c>
      <c r="V24" s="174">
        <f>31978300-10290230</f>
        <v>21688070</v>
      </c>
      <c r="W24" s="174">
        <f>31978300+2139478+11416424</f>
        <v>45534202</v>
      </c>
      <c r="X24" s="174">
        <v>31978300</v>
      </c>
      <c r="Y24" s="174">
        <f>31978300+11416424</f>
        <v>43394724</v>
      </c>
      <c r="Z24" s="174">
        <v>31978300</v>
      </c>
      <c r="AA24" s="174">
        <f>31978300+11416424</f>
        <v>43394724</v>
      </c>
      <c r="AB24" s="174">
        <v>63956600</v>
      </c>
      <c r="AC24" s="213">
        <f>SUM(Q24:AB24)</f>
        <v>415000381</v>
      </c>
      <c r="AD24" s="182"/>
      <c r="AE24" s="3"/>
      <c r="AF24" s="442"/>
      <c r="AG24" s="442"/>
      <c r="AH24" s="442"/>
      <c r="AI24" s="442"/>
      <c r="AJ24" s="442"/>
      <c r="AK24" s="442"/>
      <c r="AL24" s="442"/>
      <c r="AM24" s="442"/>
    </row>
    <row r="25" spans="1:50" ht="32.1" customHeight="1" thickBot="1" x14ac:dyDescent="0.3">
      <c r="A25" s="522" t="s">
        <v>50</v>
      </c>
      <c r="B25" s="523"/>
      <c r="C25" s="358">
        <v>475860</v>
      </c>
      <c r="D25" s="176">
        <v>18698718</v>
      </c>
      <c r="E25" s="176" t="s">
        <v>51</v>
      </c>
      <c r="F25" s="176">
        <v>5151217</v>
      </c>
      <c r="G25" s="176">
        <v>0</v>
      </c>
      <c r="H25" s="176">
        <v>382120</v>
      </c>
      <c r="I25" s="176"/>
      <c r="J25" s="176"/>
      <c r="K25" s="176"/>
      <c r="L25" s="176"/>
      <c r="M25" s="176"/>
      <c r="N25" s="176"/>
      <c r="O25" s="176">
        <f>SUM(C25:N25)</f>
        <v>24707915</v>
      </c>
      <c r="P25" s="181">
        <f>+O25/O24</f>
        <v>0.95453709755825344</v>
      </c>
      <c r="Q25" s="358" t="s">
        <v>104</v>
      </c>
      <c r="R25" s="176">
        <v>1210733</v>
      </c>
      <c r="S25" s="176">
        <v>15704100</v>
      </c>
      <c r="T25" s="176">
        <v>25939467</v>
      </c>
      <c r="U25" s="176">
        <v>29819500</v>
      </c>
      <c r="V25" s="176">
        <v>29772367</v>
      </c>
      <c r="W25" s="176"/>
      <c r="X25" s="176"/>
      <c r="Y25" s="176"/>
      <c r="Z25" s="176"/>
      <c r="AA25" s="176"/>
      <c r="AB25" s="176"/>
      <c r="AC25" s="176">
        <f>SUM(Q25:AB25)</f>
        <v>102446167</v>
      </c>
      <c r="AD25" s="183">
        <f>+AC25/AC23</f>
        <v>0.27705263339970199</v>
      </c>
      <c r="AE25" s="3"/>
      <c r="AF25" s="442"/>
      <c r="AG25" s="442"/>
      <c r="AH25" s="442"/>
      <c r="AI25" s="442"/>
      <c r="AJ25" s="442"/>
      <c r="AK25" s="442"/>
      <c r="AL25" s="442"/>
      <c r="AM25" s="442"/>
    </row>
    <row r="26" spans="1:50"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0" ht="33.950000000000003" customHeight="1" x14ac:dyDescent="0.25">
      <c r="A27" s="516" t="s">
        <v>53</v>
      </c>
      <c r="B27" s="517"/>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row>
    <row r="28" spans="1:50" ht="15" customHeight="1" x14ac:dyDescent="0.25">
      <c r="A28" s="541" t="s">
        <v>54</v>
      </c>
      <c r="B28" s="543" t="s">
        <v>55</v>
      </c>
      <c r="C28" s="544"/>
      <c r="D28" s="521" t="s">
        <v>56</v>
      </c>
      <c r="E28" s="547"/>
      <c r="F28" s="547"/>
      <c r="G28" s="547"/>
      <c r="H28" s="547"/>
      <c r="I28" s="547"/>
      <c r="J28" s="547"/>
      <c r="K28" s="547"/>
      <c r="L28" s="547"/>
      <c r="M28" s="547"/>
      <c r="N28" s="547"/>
      <c r="O28" s="548"/>
      <c r="P28" s="549" t="s">
        <v>42</v>
      </c>
      <c r="Q28" s="549" t="s">
        <v>57</v>
      </c>
      <c r="R28" s="549"/>
      <c r="S28" s="549"/>
      <c r="T28" s="549"/>
      <c r="U28" s="549"/>
      <c r="V28" s="549"/>
      <c r="W28" s="549"/>
      <c r="X28" s="549"/>
      <c r="Y28" s="549"/>
      <c r="Z28" s="549"/>
      <c r="AA28" s="549"/>
      <c r="AB28" s="549"/>
      <c r="AC28" s="549"/>
      <c r="AD28" s="550"/>
    </row>
    <row r="29" spans="1:50" ht="27" customHeight="1" x14ac:dyDescent="0.25">
      <c r="A29" s="542"/>
      <c r="B29" s="545"/>
      <c r="C29" s="546"/>
      <c r="D29" s="88" t="s">
        <v>31</v>
      </c>
      <c r="E29" s="88" t="s">
        <v>32</v>
      </c>
      <c r="F29" s="88" t="s">
        <v>33</v>
      </c>
      <c r="G29" s="88" t="s">
        <v>34</v>
      </c>
      <c r="H29" s="88" t="s">
        <v>35</v>
      </c>
      <c r="I29" s="88" t="s">
        <v>8</v>
      </c>
      <c r="J29" s="88" t="s">
        <v>36</v>
      </c>
      <c r="K29" s="88" t="s">
        <v>37</v>
      </c>
      <c r="L29" s="88" t="s">
        <v>38</v>
      </c>
      <c r="M29" s="88" t="s">
        <v>39</v>
      </c>
      <c r="N29" s="88" t="s">
        <v>40</v>
      </c>
      <c r="O29" s="88" t="s">
        <v>41</v>
      </c>
      <c r="P29" s="548"/>
      <c r="Q29" s="549"/>
      <c r="R29" s="549"/>
      <c r="S29" s="549"/>
      <c r="T29" s="549"/>
      <c r="U29" s="549"/>
      <c r="V29" s="549"/>
      <c r="W29" s="549"/>
      <c r="X29" s="549"/>
      <c r="Y29" s="549"/>
      <c r="Z29" s="549"/>
      <c r="AA29" s="549"/>
      <c r="AB29" s="549"/>
      <c r="AC29" s="549"/>
      <c r="AD29" s="550"/>
    </row>
    <row r="30" spans="1:50" ht="86.25" customHeight="1" thickBot="1" x14ac:dyDescent="0.3">
      <c r="A30" s="85" t="s">
        <v>132</v>
      </c>
      <c r="B30" s="551"/>
      <c r="C30" s="552"/>
      <c r="D30" s="89"/>
      <c r="E30" s="89"/>
      <c r="F30" s="89"/>
      <c r="G30" s="89"/>
      <c r="H30" s="89"/>
      <c r="I30" s="89"/>
      <c r="J30" s="89"/>
      <c r="K30" s="89"/>
      <c r="L30" s="89"/>
      <c r="M30" s="89"/>
      <c r="N30" s="89"/>
      <c r="O30" s="89"/>
      <c r="P30" s="86">
        <f>SUM(D30:O30)</f>
        <v>0</v>
      </c>
      <c r="Q30" s="553"/>
      <c r="R30" s="553"/>
      <c r="S30" s="553"/>
      <c r="T30" s="553"/>
      <c r="U30" s="553"/>
      <c r="V30" s="553"/>
      <c r="W30" s="553"/>
      <c r="X30" s="553"/>
      <c r="Y30" s="553"/>
      <c r="Z30" s="553"/>
      <c r="AA30" s="553"/>
      <c r="AB30" s="553"/>
      <c r="AC30" s="553"/>
      <c r="AD30" s="554"/>
    </row>
    <row r="31" spans="1:50" ht="45" customHeight="1" thickBot="1" x14ac:dyDescent="0.3">
      <c r="A31" s="555" t="s">
        <v>59</v>
      </c>
      <c r="B31" s="556"/>
      <c r="C31" s="556"/>
      <c r="D31" s="556"/>
      <c r="E31" s="556"/>
      <c r="F31" s="556"/>
      <c r="G31" s="556"/>
      <c r="H31" s="556"/>
      <c r="I31" s="556"/>
      <c r="J31" s="556"/>
      <c r="K31" s="556"/>
      <c r="L31" s="556"/>
      <c r="M31" s="556"/>
      <c r="N31" s="556"/>
      <c r="O31" s="556"/>
      <c r="P31" s="556"/>
      <c r="Q31" s="474"/>
      <c r="R31" s="474"/>
      <c r="S31" s="474"/>
      <c r="T31" s="474"/>
      <c r="U31" s="474"/>
      <c r="V31" s="474"/>
      <c r="W31" s="474"/>
      <c r="X31" s="474"/>
      <c r="Y31" s="474"/>
      <c r="Z31" s="474"/>
      <c r="AA31" s="474"/>
      <c r="AB31" s="474"/>
      <c r="AC31" s="474"/>
      <c r="AD31" s="475"/>
    </row>
    <row r="32" spans="1:50" ht="20.25" customHeight="1" x14ac:dyDescent="0.25">
      <c r="A32" s="512" t="s">
        <v>60</v>
      </c>
      <c r="B32" s="558" t="s">
        <v>61</v>
      </c>
      <c r="C32" s="558" t="s">
        <v>55</v>
      </c>
      <c r="D32" s="561" t="s">
        <v>62</v>
      </c>
      <c r="E32" s="558"/>
      <c r="F32" s="558"/>
      <c r="G32" s="558"/>
      <c r="H32" s="558"/>
      <c r="I32" s="558"/>
      <c r="J32" s="558"/>
      <c r="K32" s="558"/>
      <c r="L32" s="558"/>
      <c r="M32" s="558"/>
      <c r="N32" s="558"/>
      <c r="O32" s="558"/>
      <c r="P32" s="559"/>
      <c r="Q32" s="512" t="s">
        <v>63</v>
      </c>
      <c r="R32" s="558"/>
      <c r="S32" s="558"/>
      <c r="T32" s="558"/>
      <c r="U32" s="558"/>
      <c r="V32" s="558"/>
      <c r="W32" s="558"/>
      <c r="X32" s="558"/>
      <c r="Y32" s="558"/>
      <c r="Z32" s="558"/>
      <c r="AA32" s="558"/>
      <c r="AB32" s="558"/>
      <c r="AC32" s="558"/>
      <c r="AD32" s="559"/>
      <c r="AG32" s="87"/>
      <c r="AH32" s="87"/>
      <c r="AI32" s="87"/>
      <c r="AJ32" s="87"/>
      <c r="AK32" s="87"/>
      <c r="AL32" s="87"/>
      <c r="AM32" s="87"/>
      <c r="AN32" s="87"/>
      <c r="AO32" s="87"/>
    </row>
    <row r="33" spans="1:41" ht="27" customHeight="1" thickBot="1" x14ac:dyDescent="0.3">
      <c r="A33" s="681"/>
      <c r="B33" s="688"/>
      <c r="C33" s="751"/>
      <c r="D33" s="348" t="s">
        <v>31</v>
      </c>
      <c r="E33" s="351" t="s">
        <v>32</v>
      </c>
      <c r="F33" s="351" t="s">
        <v>33</v>
      </c>
      <c r="G33" s="351" t="s">
        <v>34</v>
      </c>
      <c r="H33" s="351" t="s">
        <v>35</v>
      </c>
      <c r="I33" s="351" t="s">
        <v>8</v>
      </c>
      <c r="J33" s="351" t="s">
        <v>36</v>
      </c>
      <c r="K33" s="351" t="s">
        <v>37</v>
      </c>
      <c r="L33" s="351" t="s">
        <v>38</v>
      </c>
      <c r="M33" s="351" t="s">
        <v>39</v>
      </c>
      <c r="N33" s="351" t="s">
        <v>40</v>
      </c>
      <c r="O33" s="351" t="s">
        <v>41</v>
      </c>
      <c r="P33" s="266" t="s">
        <v>42</v>
      </c>
      <c r="Q33" s="522" t="s">
        <v>64</v>
      </c>
      <c r="R33" s="593"/>
      <c r="S33" s="593"/>
      <c r="T33" s="593" t="s">
        <v>65</v>
      </c>
      <c r="U33" s="593"/>
      <c r="V33" s="593"/>
      <c r="W33" s="657" t="s">
        <v>106</v>
      </c>
      <c r="X33" s="510"/>
      <c r="Y33" s="510"/>
      <c r="Z33" s="658"/>
      <c r="AA33" s="657" t="s">
        <v>67</v>
      </c>
      <c r="AB33" s="510"/>
      <c r="AC33" s="510"/>
      <c r="AD33" s="511"/>
      <c r="AG33" s="87"/>
      <c r="AH33" s="87"/>
      <c r="AI33" s="87"/>
      <c r="AJ33" s="87"/>
      <c r="AK33" s="87"/>
      <c r="AL33" s="87"/>
      <c r="AM33" s="87"/>
      <c r="AN33" s="87"/>
      <c r="AO33" s="87"/>
    </row>
    <row r="34" spans="1:41" ht="102" customHeight="1" x14ac:dyDescent="0.25">
      <c r="A34" s="756" t="s">
        <v>132</v>
      </c>
      <c r="B34" s="758">
        <v>0.1</v>
      </c>
      <c r="C34" s="372" t="s">
        <v>68</v>
      </c>
      <c r="D34" s="380">
        <v>1</v>
      </c>
      <c r="E34" s="381">
        <v>1</v>
      </c>
      <c r="F34" s="381">
        <v>1</v>
      </c>
      <c r="G34" s="381">
        <v>1</v>
      </c>
      <c r="H34" s="381">
        <v>1</v>
      </c>
      <c r="I34" s="381">
        <v>1</v>
      </c>
      <c r="J34" s="381">
        <v>1</v>
      </c>
      <c r="K34" s="381">
        <v>1</v>
      </c>
      <c r="L34" s="381">
        <v>1</v>
      </c>
      <c r="M34" s="381">
        <v>1</v>
      </c>
      <c r="N34" s="381">
        <v>1</v>
      </c>
      <c r="O34" s="382">
        <v>1</v>
      </c>
      <c r="P34" s="383">
        <v>1</v>
      </c>
      <c r="Q34" s="760" t="s">
        <v>558</v>
      </c>
      <c r="R34" s="761"/>
      <c r="S34" s="762"/>
      <c r="T34" s="760" t="s">
        <v>559</v>
      </c>
      <c r="U34" s="761"/>
      <c r="V34" s="762"/>
      <c r="W34" s="763" t="s">
        <v>560</v>
      </c>
      <c r="X34" s="763"/>
      <c r="Y34" s="763"/>
      <c r="Z34" s="763"/>
      <c r="AA34" s="765"/>
      <c r="AB34" s="761"/>
      <c r="AC34" s="761"/>
      <c r="AD34" s="766"/>
      <c r="AG34" s="87"/>
      <c r="AH34" s="87"/>
      <c r="AI34" s="87"/>
      <c r="AJ34" s="87"/>
      <c r="AK34" s="87"/>
      <c r="AL34" s="87"/>
      <c r="AM34" s="87"/>
      <c r="AN34" s="87"/>
      <c r="AO34" s="87"/>
    </row>
    <row r="35" spans="1:41" ht="102" customHeight="1" thickBot="1" x14ac:dyDescent="0.3">
      <c r="A35" s="757"/>
      <c r="B35" s="759"/>
      <c r="C35" s="373" t="s">
        <v>72</v>
      </c>
      <c r="D35" s="374">
        <v>1</v>
      </c>
      <c r="E35" s="384">
        <v>1</v>
      </c>
      <c r="F35" s="384">
        <v>1</v>
      </c>
      <c r="G35" s="384">
        <v>1</v>
      </c>
      <c r="H35" s="384">
        <v>1</v>
      </c>
      <c r="I35" s="384">
        <v>1</v>
      </c>
      <c r="J35" s="384">
        <f t="shared" ref="J35:O35" si="0">J56</f>
        <v>0</v>
      </c>
      <c r="K35" s="384">
        <f t="shared" si="0"/>
        <v>0</v>
      </c>
      <c r="L35" s="384">
        <f t="shared" si="0"/>
        <v>0</v>
      </c>
      <c r="M35" s="384">
        <f t="shared" si="0"/>
        <v>0</v>
      </c>
      <c r="N35" s="384">
        <f t="shared" si="0"/>
        <v>0</v>
      </c>
      <c r="O35" s="385">
        <f t="shared" si="0"/>
        <v>0</v>
      </c>
      <c r="P35" s="386">
        <v>1</v>
      </c>
      <c r="Q35" s="761"/>
      <c r="R35" s="761"/>
      <c r="S35" s="762"/>
      <c r="T35" s="761"/>
      <c r="U35" s="761"/>
      <c r="V35" s="762"/>
      <c r="W35" s="764"/>
      <c r="X35" s="764"/>
      <c r="Y35" s="764"/>
      <c r="Z35" s="764"/>
      <c r="AA35" s="765"/>
      <c r="AB35" s="761"/>
      <c r="AC35" s="761"/>
      <c r="AD35" s="766"/>
      <c r="AE35" s="49"/>
      <c r="AG35" s="87"/>
      <c r="AH35" s="87"/>
      <c r="AI35" s="87"/>
      <c r="AJ35" s="87"/>
      <c r="AK35" s="87"/>
      <c r="AL35" s="87"/>
      <c r="AM35" s="87"/>
      <c r="AN35" s="87"/>
      <c r="AO35" s="87"/>
    </row>
    <row r="36" spans="1:41" ht="26.1" customHeight="1" x14ac:dyDescent="0.25">
      <c r="A36" s="512" t="s">
        <v>73</v>
      </c>
      <c r="B36" s="558" t="s">
        <v>74</v>
      </c>
      <c r="C36" s="767"/>
      <c r="D36" s="767"/>
      <c r="E36" s="767"/>
      <c r="F36" s="767"/>
      <c r="G36" s="767"/>
      <c r="H36" s="767"/>
      <c r="I36" s="767"/>
      <c r="J36" s="767"/>
      <c r="K36" s="767"/>
      <c r="L36" s="767"/>
      <c r="M36" s="767"/>
      <c r="N36" s="767"/>
      <c r="O36" s="767"/>
      <c r="P36" s="767"/>
      <c r="Q36" s="558" t="s">
        <v>76</v>
      </c>
      <c r="R36" s="558"/>
      <c r="S36" s="558"/>
      <c r="T36" s="558"/>
      <c r="U36" s="558"/>
      <c r="V36" s="558"/>
      <c r="W36" s="558"/>
      <c r="X36" s="558"/>
      <c r="Y36" s="558"/>
      <c r="Z36" s="558"/>
      <c r="AA36" s="558"/>
      <c r="AB36" s="558"/>
      <c r="AC36" s="558"/>
      <c r="AD36" s="559"/>
      <c r="AG36" s="87"/>
      <c r="AH36" s="87"/>
      <c r="AI36" s="87"/>
      <c r="AJ36" s="87"/>
      <c r="AK36" s="87"/>
      <c r="AL36" s="87"/>
      <c r="AM36" s="87"/>
      <c r="AN36" s="87"/>
      <c r="AO36" s="87"/>
    </row>
    <row r="37" spans="1:41" ht="26.1" customHeight="1" thickBot="1" x14ac:dyDescent="0.3">
      <c r="A37" s="522"/>
      <c r="B37" s="593"/>
      <c r="C37" s="322" t="s">
        <v>77</v>
      </c>
      <c r="D37" s="322" t="s">
        <v>78</v>
      </c>
      <c r="E37" s="322" t="s">
        <v>79</v>
      </c>
      <c r="F37" s="322" t="s">
        <v>80</v>
      </c>
      <c r="G37" s="322" t="s">
        <v>81</v>
      </c>
      <c r="H37" s="322" t="s">
        <v>82</v>
      </c>
      <c r="I37" s="322" t="s">
        <v>83</v>
      </c>
      <c r="J37" s="322" t="s">
        <v>84</v>
      </c>
      <c r="K37" s="322" t="s">
        <v>85</v>
      </c>
      <c r="L37" s="322" t="s">
        <v>86</v>
      </c>
      <c r="M37" s="322" t="s">
        <v>87</v>
      </c>
      <c r="N37" s="322" t="s">
        <v>88</v>
      </c>
      <c r="O37" s="322" t="s">
        <v>89</v>
      </c>
      <c r="P37" s="322" t="s">
        <v>90</v>
      </c>
      <c r="Q37" s="593" t="s">
        <v>91</v>
      </c>
      <c r="R37" s="593"/>
      <c r="S37" s="593"/>
      <c r="T37" s="593"/>
      <c r="U37" s="593"/>
      <c r="V37" s="593"/>
      <c r="W37" s="593"/>
      <c r="X37" s="593"/>
      <c r="Y37" s="593"/>
      <c r="Z37" s="593"/>
      <c r="AA37" s="593"/>
      <c r="AB37" s="593"/>
      <c r="AC37" s="593"/>
      <c r="AD37" s="768"/>
      <c r="AG37" s="94"/>
      <c r="AH37" s="94"/>
      <c r="AI37" s="94"/>
      <c r="AJ37" s="94"/>
      <c r="AK37" s="94"/>
      <c r="AL37" s="94"/>
      <c r="AM37" s="94"/>
      <c r="AN37" s="94"/>
      <c r="AO37" s="94"/>
    </row>
    <row r="38" spans="1:41" ht="35.25" customHeight="1" x14ac:dyDescent="0.25">
      <c r="A38" s="667" t="s">
        <v>136</v>
      </c>
      <c r="B38" s="752">
        <v>0.1</v>
      </c>
      <c r="C38" s="372" t="s">
        <v>68</v>
      </c>
      <c r="D38" s="375">
        <v>0</v>
      </c>
      <c r="E38" s="417">
        <v>0.1</v>
      </c>
      <c r="F38" s="418">
        <v>9.5000000000000001E-2</v>
      </c>
      <c r="G38" s="418">
        <v>9.5000000000000001E-2</v>
      </c>
      <c r="H38" s="418">
        <v>9.5000000000000001E-2</v>
      </c>
      <c r="I38" s="418">
        <v>9.5000000000000001E-2</v>
      </c>
      <c r="J38" s="376">
        <v>9.5000000000000001E-2</v>
      </c>
      <c r="K38" s="376">
        <v>9.5000000000000001E-2</v>
      </c>
      <c r="L38" s="376">
        <v>9.5000000000000001E-2</v>
      </c>
      <c r="M38" s="376">
        <v>9.5000000000000001E-2</v>
      </c>
      <c r="N38" s="376">
        <v>0.09</v>
      </c>
      <c r="O38" s="376">
        <v>0.05</v>
      </c>
      <c r="P38" s="377">
        <v>0.99999999999999989</v>
      </c>
      <c r="Q38" s="753" t="s">
        <v>561</v>
      </c>
      <c r="R38" s="754"/>
      <c r="S38" s="754"/>
      <c r="T38" s="754"/>
      <c r="U38" s="754"/>
      <c r="V38" s="754"/>
      <c r="W38" s="754"/>
      <c r="X38" s="754"/>
      <c r="Y38" s="754"/>
      <c r="Z38" s="754"/>
      <c r="AA38" s="754"/>
      <c r="AB38" s="754"/>
      <c r="AC38" s="754"/>
      <c r="AD38" s="755"/>
      <c r="AE38" s="97"/>
      <c r="AG38" s="98"/>
      <c r="AH38" s="98"/>
      <c r="AI38" s="98"/>
      <c r="AJ38" s="98"/>
      <c r="AK38" s="98"/>
      <c r="AL38" s="98"/>
      <c r="AM38" s="98"/>
      <c r="AN38" s="98"/>
      <c r="AO38" s="98"/>
    </row>
    <row r="39" spans="1:41" ht="35.25" customHeight="1" x14ac:dyDescent="0.25">
      <c r="A39" s="660"/>
      <c r="B39" s="721"/>
      <c r="C39" s="321" t="s">
        <v>72</v>
      </c>
      <c r="D39" s="378"/>
      <c r="E39" s="419">
        <v>0.1</v>
      </c>
      <c r="F39" s="419">
        <v>9.5000000000000001E-2</v>
      </c>
      <c r="G39" s="419">
        <v>9.5000000000000001E-2</v>
      </c>
      <c r="H39" s="419">
        <v>9.5000000000000001E-2</v>
      </c>
      <c r="I39" s="419">
        <v>9.5000000000000001E-2</v>
      </c>
      <c r="J39" s="379"/>
      <c r="K39" s="379"/>
      <c r="L39" s="379"/>
      <c r="M39" s="379"/>
      <c r="N39" s="379"/>
      <c r="O39" s="379"/>
      <c r="P39" s="264">
        <f t="shared" ref="P39" si="1">SUM(D39:O39)</f>
        <v>0.48</v>
      </c>
      <c r="Q39" s="633"/>
      <c r="R39" s="633"/>
      <c r="S39" s="633"/>
      <c r="T39" s="633"/>
      <c r="U39" s="633"/>
      <c r="V39" s="633"/>
      <c r="W39" s="633"/>
      <c r="X39" s="633"/>
      <c r="Y39" s="633"/>
      <c r="Z39" s="633"/>
      <c r="AA39" s="633"/>
      <c r="AB39" s="633"/>
      <c r="AC39" s="633"/>
      <c r="AD39" s="634"/>
      <c r="AE39" s="97"/>
    </row>
    <row r="40" spans="1:41" x14ac:dyDescent="0.25">
      <c r="A40" s="50" t="s">
        <v>95</v>
      </c>
    </row>
    <row r="45" spans="1:41" x14ac:dyDescent="0.25">
      <c r="A45" s="613" t="s">
        <v>96</v>
      </c>
      <c r="B45" s="615" t="s">
        <v>74</v>
      </c>
      <c r="C45" s="617" t="s">
        <v>75</v>
      </c>
      <c r="D45" s="618"/>
      <c r="E45" s="618"/>
      <c r="F45" s="618"/>
      <c r="G45" s="618"/>
      <c r="H45" s="618"/>
      <c r="I45" s="618"/>
      <c r="J45" s="618"/>
      <c r="K45" s="618"/>
      <c r="L45" s="618"/>
      <c r="M45" s="618"/>
      <c r="N45" s="618"/>
      <c r="O45" s="618"/>
      <c r="P45" s="619"/>
      <c r="Q45" s="228"/>
      <c r="R45" s="228"/>
      <c r="S45" s="229"/>
      <c r="T45" s="229"/>
      <c r="U45" s="229"/>
      <c r="V45" s="229"/>
      <c r="W45" s="229"/>
      <c r="X45" s="229"/>
      <c r="Y45" s="229"/>
      <c r="Z45" s="229"/>
      <c r="AA45" s="229"/>
      <c r="AB45" s="229"/>
      <c r="AC45" s="229"/>
      <c r="AD45" s="229"/>
    </row>
    <row r="46" spans="1:41" ht="21" x14ac:dyDescent="0.25">
      <c r="A46" s="614"/>
      <c r="B46" s="616"/>
      <c r="C46" s="230" t="s">
        <v>77</v>
      </c>
      <c r="D46" s="230" t="s">
        <v>78</v>
      </c>
      <c r="E46" s="230" t="s">
        <v>79</v>
      </c>
      <c r="F46" s="230" t="s">
        <v>80</v>
      </c>
      <c r="G46" s="230" t="s">
        <v>81</v>
      </c>
      <c r="H46" s="230" t="s">
        <v>82</v>
      </c>
      <c r="I46" s="230" t="s">
        <v>83</v>
      </c>
      <c r="J46" s="230" t="s">
        <v>84</v>
      </c>
      <c r="K46" s="230" t="s">
        <v>85</v>
      </c>
      <c r="L46" s="230" t="s">
        <v>86</v>
      </c>
      <c r="M46" s="230" t="s">
        <v>87</v>
      </c>
      <c r="N46" s="230" t="s">
        <v>88</v>
      </c>
      <c r="O46" s="230" t="s">
        <v>89</v>
      </c>
      <c r="P46" s="230" t="s">
        <v>90</v>
      </c>
      <c r="Q46" s="228"/>
      <c r="R46" s="228"/>
      <c r="S46" s="229"/>
      <c r="T46" s="229"/>
      <c r="U46" s="229"/>
      <c r="V46" s="229"/>
      <c r="W46" s="229"/>
      <c r="X46" s="229"/>
      <c r="Y46" s="229"/>
      <c r="Z46" s="229"/>
      <c r="AA46" s="229"/>
      <c r="AB46" s="229"/>
      <c r="AC46" s="229"/>
      <c r="AD46" s="229"/>
    </row>
    <row r="47" spans="1:41" x14ac:dyDescent="0.25">
      <c r="A47" s="620" t="str">
        <f>A38</f>
        <v xml:space="preserve">12. Diseñar, publicar y socializar una caja de herramientas de la Estrategia Pedagógica y de Cambio Cultural.  </v>
      </c>
      <c r="B47" s="622">
        <f>B38</f>
        <v>0.1</v>
      </c>
      <c r="C47" s="231" t="s">
        <v>68</v>
      </c>
      <c r="D47" s="232">
        <f t="shared" ref="D47:O47" si="2">D38*$B$38/$P$38</f>
        <v>0</v>
      </c>
      <c r="E47" s="232">
        <f t="shared" si="2"/>
        <v>1.0000000000000004E-2</v>
      </c>
      <c r="F47" s="232">
        <f t="shared" si="2"/>
        <v>9.5000000000000032E-3</v>
      </c>
      <c r="G47" s="232">
        <f t="shared" si="2"/>
        <v>9.5000000000000032E-3</v>
      </c>
      <c r="H47" s="232">
        <f t="shared" si="2"/>
        <v>9.5000000000000032E-3</v>
      </c>
      <c r="I47" s="232">
        <f t="shared" si="2"/>
        <v>9.5000000000000032E-3</v>
      </c>
      <c r="J47" s="232">
        <f t="shared" si="2"/>
        <v>9.5000000000000032E-3</v>
      </c>
      <c r="K47" s="232">
        <f t="shared" si="2"/>
        <v>9.5000000000000032E-3</v>
      </c>
      <c r="L47" s="232">
        <f t="shared" si="2"/>
        <v>9.5000000000000032E-3</v>
      </c>
      <c r="M47" s="232">
        <f t="shared" si="2"/>
        <v>9.5000000000000032E-3</v>
      </c>
      <c r="N47" s="232">
        <f t="shared" si="2"/>
        <v>9.0000000000000011E-3</v>
      </c>
      <c r="O47" s="232">
        <f t="shared" si="2"/>
        <v>5.0000000000000018E-3</v>
      </c>
      <c r="P47" s="233">
        <f>SUM(D47:O47)</f>
        <v>0.10000000000000003</v>
      </c>
      <c r="Q47" s="234">
        <v>0.05</v>
      </c>
      <c r="R47" s="235">
        <f>+P47-Q47</f>
        <v>5.0000000000000031E-2</v>
      </c>
      <c r="S47" s="229"/>
      <c r="T47" s="229"/>
      <c r="U47" s="229"/>
      <c r="V47" s="229"/>
      <c r="W47" s="229"/>
      <c r="X47" s="229"/>
      <c r="Y47" s="229"/>
      <c r="Z47" s="229"/>
      <c r="AA47" s="229"/>
      <c r="AB47" s="229"/>
      <c r="AC47" s="229"/>
      <c r="AD47" s="229"/>
    </row>
    <row r="48" spans="1:41" x14ac:dyDescent="0.25">
      <c r="A48" s="621"/>
      <c r="B48" s="623"/>
      <c r="C48" s="240" t="s">
        <v>72</v>
      </c>
      <c r="D48" s="237">
        <f t="shared" ref="D48:O48" si="3">D39*$B$38/$P$38</f>
        <v>0</v>
      </c>
      <c r="E48" s="237">
        <f t="shared" si="3"/>
        <v>1.0000000000000004E-2</v>
      </c>
      <c r="F48" s="237">
        <f t="shared" si="3"/>
        <v>9.5000000000000032E-3</v>
      </c>
      <c r="G48" s="237">
        <f t="shared" si="3"/>
        <v>9.5000000000000032E-3</v>
      </c>
      <c r="H48" s="237">
        <f t="shared" si="3"/>
        <v>9.5000000000000032E-3</v>
      </c>
      <c r="I48" s="237">
        <f t="shared" si="3"/>
        <v>9.5000000000000032E-3</v>
      </c>
      <c r="J48" s="237">
        <f t="shared" si="3"/>
        <v>0</v>
      </c>
      <c r="K48" s="237">
        <f t="shared" si="3"/>
        <v>0</v>
      </c>
      <c r="L48" s="237">
        <f t="shared" si="3"/>
        <v>0</v>
      </c>
      <c r="M48" s="237">
        <f t="shared" si="3"/>
        <v>0</v>
      </c>
      <c r="N48" s="237">
        <f t="shared" si="3"/>
        <v>0</v>
      </c>
      <c r="O48" s="237">
        <f t="shared" si="3"/>
        <v>0</v>
      </c>
      <c r="P48" s="238">
        <f>SUM(D48:O48)</f>
        <v>4.8000000000000015E-2</v>
      </c>
      <c r="Q48" s="239">
        <f>+P48</f>
        <v>4.8000000000000015E-2</v>
      </c>
      <c r="R48" s="235">
        <f>+P48-Q48</f>
        <v>0</v>
      </c>
      <c r="S48" s="229"/>
      <c r="T48" s="229"/>
      <c r="U48" s="229"/>
      <c r="V48" s="229"/>
      <c r="W48" s="229"/>
      <c r="X48" s="229"/>
      <c r="Y48" s="229"/>
      <c r="Z48" s="229"/>
      <c r="AA48" s="229"/>
      <c r="AB48" s="229"/>
      <c r="AC48" s="229"/>
      <c r="AD48" s="229"/>
    </row>
    <row r="49" spans="1:30" x14ac:dyDescent="0.25">
      <c r="A49" s="609"/>
      <c r="B49" s="611"/>
      <c r="C49" s="243"/>
      <c r="D49" s="232"/>
      <c r="E49" s="232"/>
      <c r="F49" s="232"/>
      <c r="G49" s="232"/>
      <c r="H49" s="232"/>
      <c r="I49" s="232"/>
      <c r="J49" s="232"/>
      <c r="K49" s="232"/>
      <c r="L49" s="232"/>
      <c r="M49" s="232"/>
      <c r="N49" s="232"/>
      <c r="O49" s="232"/>
      <c r="P49" s="244"/>
      <c r="Q49" s="234"/>
      <c r="R49" s="235"/>
      <c r="S49" s="229"/>
      <c r="T49" s="229"/>
      <c r="U49" s="229"/>
      <c r="V49" s="229"/>
      <c r="W49" s="229"/>
      <c r="X49" s="229"/>
      <c r="Y49" s="229"/>
      <c r="Z49" s="229"/>
      <c r="AA49" s="229"/>
      <c r="AB49" s="229"/>
      <c r="AC49" s="229"/>
      <c r="AD49" s="229"/>
    </row>
    <row r="50" spans="1:30" x14ac:dyDescent="0.25">
      <c r="A50" s="610"/>
      <c r="B50" s="612"/>
      <c r="C50" s="243"/>
      <c r="D50" s="247"/>
      <c r="E50" s="247"/>
      <c r="F50" s="247"/>
      <c r="G50" s="247"/>
      <c r="H50" s="247"/>
      <c r="I50" s="247"/>
      <c r="J50" s="247"/>
      <c r="K50" s="247"/>
      <c r="L50" s="247"/>
      <c r="M50" s="247"/>
      <c r="N50" s="247"/>
      <c r="O50" s="247"/>
      <c r="P50" s="244"/>
      <c r="Q50" s="239"/>
      <c r="R50" s="235"/>
      <c r="S50" s="229"/>
      <c r="T50" s="229"/>
      <c r="U50" s="229"/>
      <c r="V50" s="229"/>
      <c r="W50" s="229"/>
      <c r="X50" s="229"/>
      <c r="Y50" s="229"/>
      <c r="Z50" s="229"/>
      <c r="AA50" s="229"/>
      <c r="AB50" s="229"/>
      <c r="AC50" s="229"/>
      <c r="AD50" s="229"/>
    </row>
    <row r="51" spans="1:30" x14ac:dyDescent="0.25">
      <c r="A51" s="609"/>
      <c r="B51" s="611"/>
      <c r="C51" s="243"/>
      <c r="D51" s="232"/>
      <c r="E51" s="232"/>
      <c r="F51" s="232"/>
      <c r="G51" s="232"/>
      <c r="H51" s="232"/>
      <c r="I51" s="232"/>
      <c r="J51" s="232"/>
      <c r="K51" s="232"/>
      <c r="L51" s="232"/>
      <c r="M51" s="232"/>
      <c r="N51" s="232"/>
      <c r="O51" s="232"/>
      <c r="P51" s="244"/>
      <c r="Q51" s="234"/>
      <c r="R51" s="235"/>
      <c r="S51" s="229"/>
      <c r="T51" s="229"/>
      <c r="U51" s="229"/>
      <c r="V51" s="229"/>
      <c r="W51" s="229"/>
      <c r="X51" s="229"/>
      <c r="Y51" s="229"/>
      <c r="Z51" s="229"/>
      <c r="AA51" s="229"/>
      <c r="AB51" s="229"/>
      <c r="AC51" s="229"/>
      <c r="AD51" s="229"/>
    </row>
    <row r="52" spans="1:30" x14ac:dyDescent="0.25">
      <c r="A52" s="610"/>
      <c r="B52" s="612"/>
      <c r="C52" s="243"/>
      <c r="D52" s="247"/>
      <c r="E52" s="247"/>
      <c r="F52" s="247"/>
      <c r="G52" s="247"/>
      <c r="H52" s="247"/>
      <c r="I52" s="247"/>
      <c r="J52" s="247"/>
      <c r="K52" s="247"/>
      <c r="L52" s="247"/>
      <c r="M52" s="247"/>
      <c r="N52" s="247"/>
      <c r="O52" s="247"/>
      <c r="P52" s="244"/>
      <c r="Q52" s="239"/>
      <c r="R52" s="235"/>
      <c r="S52" s="229"/>
      <c r="T52" s="229"/>
      <c r="U52" s="229"/>
      <c r="V52" s="229"/>
      <c r="W52" s="229"/>
      <c r="X52" s="229"/>
      <c r="Y52" s="229"/>
      <c r="Z52" s="229"/>
      <c r="AA52" s="229"/>
      <c r="AB52" s="229"/>
      <c r="AC52" s="229"/>
      <c r="AD52" s="229"/>
    </row>
    <row r="53" spans="1:30" x14ac:dyDescent="0.25">
      <c r="A53" s="241"/>
      <c r="B53" s="242"/>
      <c r="C53" s="243"/>
      <c r="D53" s="232"/>
      <c r="E53" s="232"/>
      <c r="F53" s="232"/>
      <c r="G53" s="232"/>
      <c r="H53" s="232"/>
      <c r="I53" s="232"/>
      <c r="J53" s="232"/>
      <c r="K53" s="232"/>
      <c r="L53" s="232"/>
      <c r="M53" s="232"/>
      <c r="N53" s="232"/>
      <c r="O53" s="232"/>
      <c r="P53" s="244"/>
      <c r="Q53" s="234"/>
      <c r="R53" s="235"/>
      <c r="S53" s="229"/>
      <c r="T53" s="229"/>
      <c r="U53" s="229"/>
      <c r="V53" s="229"/>
      <c r="W53" s="229"/>
      <c r="X53" s="229"/>
      <c r="Y53" s="229"/>
      <c r="Z53" s="229"/>
      <c r="AA53" s="229"/>
      <c r="AB53" s="229"/>
      <c r="AC53" s="229"/>
      <c r="AD53" s="229"/>
    </row>
    <row r="54" spans="1:30" x14ac:dyDescent="0.25">
      <c r="A54" s="245"/>
      <c r="B54" s="246"/>
      <c r="C54" s="243"/>
      <c r="D54" s="247"/>
      <c r="E54" s="247"/>
      <c r="F54" s="247"/>
      <c r="G54" s="247"/>
      <c r="H54" s="247"/>
      <c r="I54" s="247"/>
      <c r="J54" s="247"/>
      <c r="K54" s="247"/>
      <c r="L54" s="247"/>
      <c r="M54" s="247"/>
      <c r="N54" s="247"/>
      <c r="O54" s="247"/>
      <c r="P54" s="244"/>
      <c r="Q54" s="239"/>
      <c r="R54" s="235"/>
      <c r="S54" s="229"/>
      <c r="T54" s="229"/>
      <c r="U54" s="229"/>
      <c r="V54" s="229"/>
      <c r="W54" s="229"/>
      <c r="X54" s="229"/>
      <c r="Y54" s="229"/>
      <c r="Z54" s="229"/>
      <c r="AA54" s="229"/>
      <c r="AB54" s="229"/>
      <c r="AC54" s="229"/>
      <c r="AD54" s="229"/>
    </row>
    <row r="55" spans="1:30" x14ac:dyDescent="0.25">
      <c r="A55" s="228"/>
      <c r="B55" s="248"/>
      <c r="C55" s="249"/>
      <c r="D55" s="250">
        <f>D48</f>
        <v>0</v>
      </c>
      <c r="E55" s="250">
        <f t="shared" ref="E55:O55" si="4">E48</f>
        <v>1.0000000000000004E-2</v>
      </c>
      <c r="F55" s="250">
        <f t="shared" si="4"/>
        <v>9.5000000000000032E-3</v>
      </c>
      <c r="G55" s="250">
        <f t="shared" si="4"/>
        <v>9.5000000000000032E-3</v>
      </c>
      <c r="H55" s="250">
        <f t="shared" si="4"/>
        <v>9.5000000000000032E-3</v>
      </c>
      <c r="I55" s="250">
        <f t="shared" si="4"/>
        <v>9.5000000000000032E-3</v>
      </c>
      <c r="J55" s="250">
        <f t="shared" si="4"/>
        <v>0</v>
      </c>
      <c r="K55" s="250">
        <f t="shared" si="4"/>
        <v>0</v>
      </c>
      <c r="L55" s="250">
        <f t="shared" si="4"/>
        <v>0</v>
      </c>
      <c r="M55" s="250">
        <f t="shared" si="4"/>
        <v>0</v>
      </c>
      <c r="N55" s="250">
        <f t="shared" si="4"/>
        <v>0</v>
      </c>
      <c r="O55" s="250">
        <f t="shared" si="4"/>
        <v>0</v>
      </c>
      <c r="P55" s="250">
        <f>P48+P50+P52</f>
        <v>4.8000000000000015E-2</v>
      </c>
      <c r="Q55" s="228"/>
      <c r="R55" s="235">
        <f>+P55-Q55</f>
        <v>4.8000000000000015E-2</v>
      </c>
      <c r="S55" s="229"/>
      <c r="T55" s="229"/>
      <c r="U55" s="229"/>
      <c r="V55" s="229"/>
      <c r="W55" s="229"/>
      <c r="X55" s="229"/>
      <c r="Y55" s="229"/>
      <c r="Z55" s="229"/>
      <c r="AA55" s="229"/>
      <c r="AB55" s="229"/>
      <c r="AC55" s="229"/>
      <c r="AD55" s="229"/>
    </row>
    <row r="56" spans="1:30" x14ac:dyDescent="0.25">
      <c r="A56" s="228"/>
      <c r="B56" s="251"/>
      <c r="C56" s="252" t="s">
        <v>72</v>
      </c>
      <c r="D56" s="253">
        <f>D55*$W$17/$B$34</f>
        <v>0</v>
      </c>
      <c r="E56" s="253">
        <f t="shared" ref="E56:O56" si="5">E55*$W$17/$B$34</f>
        <v>0.10000000000000003</v>
      </c>
      <c r="F56" s="253">
        <f t="shared" si="5"/>
        <v>9.5000000000000029E-2</v>
      </c>
      <c r="G56" s="253">
        <f t="shared" si="5"/>
        <v>9.5000000000000029E-2</v>
      </c>
      <c r="H56" s="253">
        <f t="shared" si="5"/>
        <v>9.5000000000000029E-2</v>
      </c>
      <c r="I56" s="253">
        <f t="shared" si="5"/>
        <v>9.5000000000000029E-2</v>
      </c>
      <c r="J56" s="253">
        <f t="shared" si="5"/>
        <v>0</v>
      </c>
      <c r="K56" s="253">
        <f t="shared" si="5"/>
        <v>0</v>
      </c>
      <c r="L56" s="253">
        <f t="shared" si="5"/>
        <v>0</v>
      </c>
      <c r="M56" s="253">
        <f t="shared" si="5"/>
        <v>0</v>
      </c>
      <c r="N56" s="253">
        <f t="shared" si="5"/>
        <v>0</v>
      </c>
      <c r="O56" s="253">
        <f t="shared" si="5"/>
        <v>0</v>
      </c>
      <c r="P56" s="254">
        <f>SUM(D56:O56)</f>
        <v>0.48000000000000015</v>
      </c>
      <c r="Q56" s="255"/>
      <c r="R56" s="228"/>
      <c r="S56" s="229"/>
      <c r="T56" s="229"/>
      <c r="U56" s="229"/>
      <c r="V56" s="229"/>
      <c r="W56" s="229"/>
      <c r="X56" s="229"/>
      <c r="Y56" s="229"/>
      <c r="Z56" s="229"/>
      <c r="AA56" s="229"/>
      <c r="AB56" s="229"/>
      <c r="AC56" s="229"/>
      <c r="AD56" s="229"/>
    </row>
    <row r="57" spans="1:30" x14ac:dyDescent="0.25">
      <c r="A57" s="255"/>
      <c r="B57" s="256"/>
      <c r="C57" s="256"/>
      <c r="D57" s="256"/>
      <c r="E57" s="256"/>
      <c r="F57" s="256"/>
      <c r="G57" s="256"/>
      <c r="H57" s="256"/>
      <c r="I57" s="256"/>
      <c r="J57" s="256"/>
      <c r="K57" s="256"/>
      <c r="L57" s="256"/>
      <c r="M57" s="256"/>
      <c r="N57" s="256"/>
      <c r="O57" s="256"/>
      <c r="P57" s="256"/>
      <c r="Q57" s="255"/>
      <c r="R57" s="255"/>
      <c r="S57" s="229"/>
      <c r="T57" s="229"/>
      <c r="U57" s="229"/>
      <c r="V57" s="229"/>
      <c r="W57" s="229"/>
      <c r="X57" s="229"/>
      <c r="Y57" s="229"/>
      <c r="Z57" s="229"/>
      <c r="AA57" s="229"/>
      <c r="AB57" s="229"/>
      <c r="AC57" s="229"/>
      <c r="AD57" s="229"/>
    </row>
    <row r="58" spans="1:30" x14ac:dyDescent="0.25">
      <c r="A58" s="234"/>
      <c r="B58" s="108"/>
      <c r="C58" s="108"/>
      <c r="D58" s="250">
        <f>+D47</f>
        <v>0</v>
      </c>
      <c r="E58" s="250">
        <f t="shared" ref="E58:O58" si="6">+E47</f>
        <v>1.0000000000000004E-2</v>
      </c>
      <c r="F58" s="250">
        <f t="shared" si="6"/>
        <v>9.5000000000000032E-3</v>
      </c>
      <c r="G58" s="250">
        <f t="shared" si="6"/>
        <v>9.5000000000000032E-3</v>
      </c>
      <c r="H58" s="250">
        <f t="shared" si="6"/>
        <v>9.5000000000000032E-3</v>
      </c>
      <c r="I58" s="250">
        <f t="shared" si="6"/>
        <v>9.5000000000000032E-3</v>
      </c>
      <c r="J58" s="250">
        <f t="shared" si="6"/>
        <v>9.5000000000000032E-3</v>
      </c>
      <c r="K58" s="250">
        <f t="shared" si="6"/>
        <v>9.5000000000000032E-3</v>
      </c>
      <c r="L58" s="250">
        <f t="shared" si="6"/>
        <v>9.5000000000000032E-3</v>
      </c>
      <c r="M58" s="250">
        <f t="shared" si="6"/>
        <v>9.5000000000000032E-3</v>
      </c>
      <c r="N58" s="250">
        <f t="shared" si="6"/>
        <v>9.0000000000000011E-3</v>
      </c>
      <c r="O58" s="250">
        <f t="shared" si="6"/>
        <v>5.0000000000000018E-3</v>
      </c>
      <c r="P58" s="250">
        <f>+P47+P49+P51</f>
        <v>0.10000000000000003</v>
      </c>
      <c r="Q58" s="234"/>
      <c r="R58" s="234"/>
      <c r="S58" s="229"/>
      <c r="T58" s="229"/>
      <c r="U58" s="229"/>
      <c r="V58" s="229"/>
      <c r="W58" s="229"/>
      <c r="X58" s="229"/>
      <c r="Y58" s="229"/>
      <c r="Z58" s="229"/>
      <c r="AA58" s="229"/>
      <c r="AB58" s="229"/>
      <c r="AC58" s="229"/>
      <c r="AD58" s="229"/>
    </row>
    <row r="59" spans="1:30" x14ac:dyDescent="0.25">
      <c r="A59" s="234"/>
      <c r="B59" s="108"/>
      <c r="C59" s="252" t="s">
        <v>68</v>
      </c>
      <c r="D59" s="253">
        <f t="shared" ref="D59:O59" si="7">D58*$W$17/$B$34</f>
        <v>0</v>
      </c>
      <c r="E59" s="253">
        <f>E58*$W$17/$B$34</f>
        <v>0.10000000000000003</v>
      </c>
      <c r="F59" s="253">
        <f t="shared" si="7"/>
        <v>9.5000000000000029E-2</v>
      </c>
      <c r="G59" s="253">
        <f t="shared" si="7"/>
        <v>9.5000000000000029E-2</v>
      </c>
      <c r="H59" s="253">
        <f t="shared" si="7"/>
        <v>9.5000000000000029E-2</v>
      </c>
      <c r="I59" s="253">
        <f t="shared" si="7"/>
        <v>9.5000000000000029E-2</v>
      </c>
      <c r="J59" s="253">
        <f t="shared" si="7"/>
        <v>9.5000000000000029E-2</v>
      </c>
      <c r="K59" s="253">
        <f t="shared" si="7"/>
        <v>9.5000000000000029E-2</v>
      </c>
      <c r="L59" s="253">
        <f t="shared" si="7"/>
        <v>9.5000000000000029E-2</v>
      </c>
      <c r="M59" s="253">
        <f t="shared" si="7"/>
        <v>9.5000000000000029E-2</v>
      </c>
      <c r="N59" s="253">
        <f t="shared" si="7"/>
        <v>9.0000000000000011E-2</v>
      </c>
      <c r="O59" s="253">
        <f t="shared" si="7"/>
        <v>5.0000000000000017E-2</v>
      </c>
      <c r="P59" s="254">
        <f>SUM(D59:O59)</f>
        <v>1</v>
      </c>
      <c r="Q59" s="234"/>
      <c r="R59" s="234"/>
      <c r="S59" s="229"/>
      <c r="T59" s="229"/>
      <c r="U59" s="229"/>
      <c r="V59" s="229"/>
      <c r="W59" s="229"/>
      <c r="X59" s="229"/>
      <c r="Y59" s="229"/>
      <c r="Z59" s="229"/>
      <c r="AA59" s="229"/>
      <c r="AB59" s="229"/>
      <c r="AC59" s="229"/>
      <c r="AD59" s="229"/>
    </row>
    <row r="60" spans="1:30" x14ac:dyDescent="0.25">
      <c r="A60" s="229"/>
      <c r="Q60" s="229"/>
      <c r="R60" s="229"/>
      <c r="S60" s="229"/>
      <c r="T60" s="229"/>
      <c r="U60" s="229"/>
      <c r="V60" s="229"/>
      <c r="W60" s="229"/>
      <c r="X60" s="229"/>
      <c r="Y60" s="229"/>
      <c r="Z60" s="229"/>
      <c r="AA60" s="229"/>
      <c r="AB60" s="229"/>
      <c r="AC60" s="229"/>
      <c r="AD60" s="229"/>
    </row>
    <row r="61" spans="1:30" x14ac:dyDescent="0.25">
      <c r="A61" s="229"/>
      <c r="Q61" s="229"/>
      <c r="R61" s="229"/>
      <c r="S61" s="229"/>
      <c r="T61" s="229"/>
      <c r="U61" s="229"/>
      <c r="V61" s="229"/>
      <c r="W61" s="229"/>
      <c r="X61" s="229"/>
      <c r="Y61" s="229"/>
      <c r="Z61" s="229"/>
      <c r="AA61" s="229"/>
      <c r="AB61" s="229"/>
      <c r="AC61" s="229"/>
      <c r="AD61" s="229"/>
    </row>
    <row r="62" spans="1:30" x14ac:dyDescent="0.25">
      <c r="A62" s="229"/>
      <c r="Q62" s="229"/>
      <c r="R62" s="229"/>
      <c r="S62" s="229"/>
      <c r="T62" s="229"/>
      <c r="U62" s="229"/>
      <c r="V62" s="229"/>
      <c r="W62" s="229"/>
      <c r="X62" s="229"/>
      <c r="Y62" s="229"/>
      <c r="Z62" s="229"/>
      <c r="AA62" s="229"/>
      <c r="AB62" s="229"/>
      <c r="AC62" s="229"/>
      <c r="AD62" s="229"/>
    </row>
  </sheetData>
  <mergeCells count="83">
    <mergeCell ref="A51:A52"/>
    <mergeCell ref="B51:B52"/>
    <mergeCell ref="A45:A46"/>
    <mergeCell ref="B45:B46"/>
    <mergeCell ref="C45:P45"/>
    <mergeCell ref="A47:A48"/>
    <mergeCell ref="B47:B48"/>
    <mergeCell ref="A49:A50"/>
    <mergeCell ref="B49:B50"/>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M7:N7"/>
    <mergeCell ref="AA15:AD15"/>
    <mergeCell ref="O7:P7"/>
    <mergeCell ref="M8:N8"/>
    <mergeCell ref="O8:P8"/>
    <mergeCell ref="M9:N9"/>
    <mergeCell ref="O9:P9"/>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s>
  <dataValidations count="3">
    <dataValidation type="list" allowBlank="1" showInputMessage="1" showErrorMessage="1" sqref="C7:C9" xr:uid="{BCC2F539-6B33-4A21-956C-1D1C5E9AC425}">
      <formula1>$C$21:$N$21</formula1>
    </dataValidation>
    <dataValidation type="textLength" operator="lessThanOrEqual" allowBlank="1" showInputMessage="1" showErrorMessage="1" errorTitle="Máximo 2.000 caracteres" error="Máximo 2.000 caracteres" promptTitle="2.000 caracteres" sqref="Q30:AD30" xr:uid="{CB465D79-DC36-DC4E-AC3F-600D622B9A48}">
      <formula1>2000</formula1>
    </dataValidation>
    <dataValidation type="textLength" operator="lessThanOrEqual" allowBlank="1" showInputMessage="1" showErrorMessage="1" errorTitle="Máximo 2.000 caracteres" error="Máximo 2.000 caracteres" sqref="AA34 Q38:AD39 Q34" xr:uid="{8C5EF503-33C3-D847-A339-457EB42FC9D4}">
      <formula1>2000</formula1>
    </dataValidation>
  </dataValidations>
  <pageMargins left="0.25" right="0.25" top="0.75" bottom="0.75" header="0.3" footer="0.3"/>
  <pageSetup scale="2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A3C7-7B39-0B4E-91EE-758958BFDEAE}">
  <sheetPr>
    <tabColor theme="7" tint="0.39997558519241921"/>
    <pageSetUpPr fitToPage="1"/>
  </sheetPr>
  <dimension ref="A1:AX74"/>
  <sheetViews>
    <sheetView showGridLines="0" topLeftCell="N31" zoomScale="60" zoomScaleNormal="60" workbookViewId="0">
      <selection activeCell="Q34" sqref="Q34:S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7.85546875" style="50" customWidth="1"/>
    <col min="20"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0" ht="32.25" customHeight="1" thickBot="1" x14ac:dyDescent="0.3">
      <c r="A1" s="443"/>
      <c r="B1" s="446"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8"/>
      <c r="AB1" s="449" t="s">
        <v>1</v>
      </c>
      <c r="AC1" s="450"/>
      <c r="AD1" s="451"/>
    </row>
    <row r="2" spans="1:50" ht="30.75" customHeight="1" thickBot="1" x14ac:dyDescent="0.3">
      <c r="A2" s="444"/>
      <c r="B2" s="446" t="s">
        <v>97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470" t="s">
        <v>3</v>
      </c>
      <c r="AC2" s="471"/>
      <c r="AD2" s="472"/>
    </row>
    <row r="3" spans="1:50" ht="24" customHeight="1" x14ac:dyDescent="0.25">
      <c r="A3" s="444"/>
      <c r="B3" s="473" t="s">
        <v>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470" t="s">
        <v>5</v>
      </c>
      <c r="AC3" s="471"/>
      <c r="AD3" s="472"/>
    </row>
    <row r="4" spans="1:50" ht="21.95" customHeight="1" thickBot="1" x14ac:dyDescent="0.3">
      <c r="A4" s="445"/>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5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0" ht="15" customHeight="1" x14ac:dyDescent="0.25">
      <c r="A7" s="464" t="s">
        <v>7</v>
      </c>
      <c r="B7" s="465"/>
      <c r="C7" s="500" t="s">
        <v>8</v>
      </c>
      <c r="D7" s="464" t="s">
        <v>9</v>
      </c>
      <c r="E7" s="482"/>
      <c r="F7" s="482"/>
      <c r="G7" s="482"/>
      <c r="H7" s="465"/>
      <c r="I7" s="485">
        <v>45113</v>
      </c>
      <c r="J7" s="486"/>
      <c r="K7" s="464" t="s">
        <v>10</v>
      </c>
      <c r="L7" s="465"/>
      <c r="M7" s="456" t="s">
        <v>98</v>
      </c>
      <c r="N7" s="457"/>
      <c r="O7" s="458"/>
      <c r="P7" s="459"/>
      <c r="Q7" s="54"/>
      <c r="R7" s="54"/>
      <c r="S7" s="54"/>
      <c r="T7" s="54"/>
      <c r="U7" s="54"/>
      <c r="V7" s="54"/>
      <c r="W7" s="54"/>
      <c r="X7" s="54"/>
      <c r="Y7" s="54"/>
      <c r="Z7" s="55"/>
      <c r="AA7" s="54"/>
      <c r="AB7" s="54"/>
      <c r="AC7" s="60"/>
      <c r="AD7" s="61"/>
    </row>
    <row r="8" spans="1:50" ht="15" customHeight="1" x14ac:dyDescent="0.25">
      <c r="A8" s="466"/>
      <c r="B8" s="467"/>
      <c r="C8" s="501"/>
      <c r="D8" s="466"/>
      <c r="E8" s="483"/>
      <c r="F8" s="483"/>
      <c r="G8" s="483"/>
      <c r="H8" s="467"/>
      <c r="I8" s="487"/>
      <c r="J8" s="488"/>
      <c r="K8" s="466"/>
      <c r="L8" s="467"/>
      <c r="M8" s="460" t="s">
        <v>99</v>
      </c>
      <c r="N8" s="461"/>
      <c r="O8" s="462" t="s">
        <v>14</v>
      </c>
      <c r="P8" s="463"/>
      <c r="Q8" s="54"/>
      <c r="R8" s="54"/>
      <c r="S8" s="54"/>
      <c r="T8" s="54"/>
      <c r="U8" s="54"/>
      <c r="V8" s="54"/>
      <c r="W8" s="54"/>
      <c r="X8" s="54"/>
      <c r="Y8" s="54"/>
      <c r="Z8" s="55"/>
      <c r="AA8" s="54"/>
      <c r="AB8" s="54"/>
      <c r="AC8" s="60"/>
      <c r="AD8" s="61"/>
    </row>
    <row r="9" spans="1:50" ht="15.75" customHeight="1" thickBot="1" x14ac:dyDescent="0.3">
      <c r="A9" s="468"/>
      <c r="B9" s="469"/>
      <c r="C9" s="502"/>
      <c r="D9" s="468"/>
      <c r="E9" s="484"/>
      <c r="F9" s="484"/>
      <c r="G9" s="484"/>
      <c r="H9" s="469"/>
      <c r="I9" s="489"/>
      <c r="J9" s="490"/>
      <c r="K9" s="468"/>
      <c r="L9" s="469"/>
      <c r="M9" s="452" t="s">
        <v>13</v>
      </c>
      <c r="N9" s="453"/>
      <c r="O9" s="454" t="s">
        <v>14</v>
      </c>
      <c r="P9" s="455"/>
      <c r="Q9" s="54"/>
      <c r="R9" s="54"/>
      <c r="S9" s="54"/>
      <c r="T9" s="54"/>
      <c r="U9" s="54"/>
      <c r="V9" s="54"/>
      <c r="W9" s="54"/>
      <c r="X9" s="54"/>
      <c r="Y9" s="54"/>
      <c r="Z9" s="55"/>
      <c r="AA9" s="54"/>
      <c r="AB9" s="54"/>
      <c r="AC9" s="60"/>
      <c r="AD9" s="61"/>
    </row>
    <row r="10" spans="1:50"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0" ht="15" customHeight="1" x14ac:dyDescent="0.25">
      <c r="A11" s="464" t="s">
        <v>15</v>
      </c>
      <c r="B11" s="465"/>
      <c r="C11" s="491" t="s">
        <v>16</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3"/>
    </row>
    <row r="12" spans="1:50" ht="15" customHeight="1" x14ac:dyDescent="0.25">
      <c r="A12" s="466"/>
      <c r="B12" s="467"/>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6"/>
    </row>
    <row r="13" spans="1:50" ht="15" customHeight="1" thickBot="1" x14ac:dyDescent="0.3">
      <c r="A13" s="468"/>
      <c r="B13" s="469"/>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9"/>
    </row>
    <row r="14" spans="1:5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50" ht="39" customHeight="1" thickBot="1" x14ac:dyDescent="0.3">
      <c r="A15" s="528" t="s">
        <v>17</v>
      </c>
      <c r="B15" s="529"/>
      <c r="C15" s="538" t="s">
        <v>18</v>
      </c>
      <c r="D15" s="539"/>
      <c r="E15" s="539"/>
      <c r="F15" s="539"/>
      <c r="G15" s="539"/>
      <c r="H15" s="539"/>
      <c r="I15" s="539"/>
      <c r="J15" s="539"/>
      <c r="K15" s="540"/>
      <c r="L15" s="503" t="s">
        <v>19</v>
      </c>
      <c r="M15" s="504"/>
      <c r="N15" s="504"/>
      <c r="O15" s="504"/>
      <c r="P15" s="504"/>
      <c r="Q15" s="505"/>
      <c r="R15" s="533" t="s">
        <v>20</v>
      </c>
      <c r="S15" s="534"/>
      <c r="T15" s="534"/>
      <c r="U15" s="534"/>
      <c r="V15" s="534"/>
      <c r="W15" s="534"/>
      <c r="X15" s="535"/>
      <c r="Y15" s="503" t="s">
        <v>21</v>
      </c>
      <c r="Z15" s="505"/>
      <c r="AA15" s="524" t="s">
        <v>22</v>
      </c>
      <c r="AB15" s="525"/>
      <c r="AC15" s="525"/>
      <c r="AD15" s="526"/>
    </row>
    <row r="16" spans="1:50" ht="105" customHeight="1" thickBot="1" x14ac:dyDescent="0.3">
      <c r="A16" s="59"/>
      <c r="B16" s="54"/>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73"/>
      <c r="AD16" s="74"/>
      <c r="AX16" s="388" t="s">
        <v>23</v>
      </c>
    </row>
    <row r="17" spans="1:50" s="76" customFormat="1" ht="37.5" customHeight="1" thickBot="1" x14ac:dyDescent="0.3">
      <c r="A17" s="528" t="s">
        <v>24</v>
      </c>
      <c r="B17" s="529"/>
      <c r="C17" s="530" t="s">
        <v>138</v>
      </c>
      <c r="D17" s="531"/>
      <c r="E17" s="531"/>
      <c r="F17" s="531"/>
      <c r="G17" s="531"/>
      <c r="H17" s="531"/>
      <c r="I17" s="531"/>
      <c r="J17" s="531"/>
      <c r="K17" s="531"/>
      <c r="L17" s="531"/>
      <c r="M17" s="531"/>
      <c r="N17" s="531"/>
      <c r="O17" s="531"/>
      <c r="P17" s="531"/>
      <c r="Q17" s="532"/>
      <c r="R17" s="503" t="s">
        <v>26</v>
      </c>
      <c r="S17" s="504"/>
      <c r="T17" s="504"/>
      <c r="U17" s="504"/>
      <c r="V17" s="505"/>
      <c r="W17" s="536">
        <v>1</v>
      </c>
      <c r="X17" s="537"/>
      <c r="Y17" s="504" t="s">
        <v>27</v>
      </c>
      <c r="Z17" s="504"/>
      <c r="AA17" s="504"/>
      <c r="AB17" s="505"/>
      <c r="AC17" s="514">
        <v>0.2</v>
      </c>
      <c r="AD17" s="515"/>
      <c r="AX17" s="387"/>
    </row>
    <row r="18" spans="1:50"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50" ht="32.1" customHeight="1" thickBot="1" x14ac:dyDescent="0.3">
      <c r="A19" s="503" t="s">
        <v>28</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row>
    <row r="20" spans="1:50" ht="32.1" customHeight="1" thickBot="1" x14ac:dyDescent="0.3">
      <c r="A20" s="82"/>
      <c r="B20" s="60"/>
      <c r="C20" s="509" t="s">
        <v>29</v>
      </c>
      <c r="D20" s="510"/>
      <c r="E20" s="510"/>
      <c r="F20" s="510"/>
      <c r="G20" s="510"/>
      <c r="H20" s="510"/>
      <c r="I20" s="510"/>
      <c r="J20" s="510"/>
      <c r="K20" s="510"/>
      <c r="L20" s="510"/>
      <c r="M20" s="510"/>
      <c r="N20" s="510"/>
      <c r="O20" s="510"/>
      <c r="P20" s="511"/>
      <c r="Q20" s="506" t="s">
        <v>30</v>
      </c>
      <c r="R20" s="507"/>
      <c r="S20" s="507"/>
      <c r="T20" s="507"/>
      <c r="U20" s="507"/>
      <c r="V20" s="507"/>
      <c r="W20" s="507"/>
      <c r="X20" s="507"/>
      <c r="Y20" s="507"/>
      <c r="Z20" s="507"/>
      <c r="AA20" s="507"/>
      <c r="AB20" s="507"/>
      <c r="AC20" s="507"/>
      <c r="AD20" s="508"/>
      <c r="AE20" s="83"/>
      <c r="AF20" s="83"/>
    </row>
    <row r="21" spans="1:50" ht="32.1" customHeight="1" thickBot="1" x14ac:dyDescent="0.3">
      <c r="A21" s="59"/>
      <c r="B21" s="54"/>
      <c r="C21" s="353" t="s">
        <v>31</v>
      </c>
      <c r="D21" s="352" t="s">
        <v>32</v>
      </c>
      <c r="E21" s="352" t="s">
        <v>33</v>
      </c>
      <c r="F21" s="352" t="s">
        <v>34</v>
      </c>
      <c r="G21" s="352" t="s">
        <v>35</v>
      </c>
      <c r="H21" s="352" t="s">
        <v>8</v>
      </c>
      <c r="I21" s="352" t="s">
        <v>36</v>
      </c>
      <c r="J21" s="352" t="s">
        <v>37</v>
      </c>
      <c r="K21" s="352" t="s">
        <v>38</v>
      </c>
      <c r="L21" s="352" t="s">
        <v>39</v>
      </c>
      <c r="M21" s="352" t="s">
        <v>40</v>
      </c>
      <c r="N21" s="352" t="s">
        <v>41</v>
      </c>
      <c r="O21" s="352" t="s">
        <v>42</v>
      </c>
      <c r="P21" s="354" t="s">
        <v>43</v>
      </c>
      <c r="Q21" s="353" t="s">
        <v>31</v>
      </c>
      <c r="R21" s="352" t="s">
        <v>32</v>
      </c>
      <c r="S21" s="352" t="s">
        <v>33</v>
      </c>
      <c r="T21" s="352" t="s">
        <v>34</v>
      </c>
      <c r="U21" s="352" t="s">
        <v>35</v>
      </c>
      <c r="V21" s="352" t="s">
        <v>8</v>
      </c>
      <c r="W21" s="352" t="s">
        <v>36</v>
      </c>
      <c r="X21" s="352" t="s">
        <v>37</v>
      </c>
      <c r="Y21" s="352" t="s">
        <v>38</v>
      </c>
      <c r="Z21" s="352" t="s">
        <v>39</v>
      </c>
      <c r="AA21" s="352" t="s">
        <v>40</v>
      </c>
      <c r="AB21" s="352" t="s">
        <v>41</v>
      </c>
      <c r="AC21" s="352" t="s">
        <v>42</v>
      </c>
      <c r="AD21" s="354" t="s">
        <v>43</v>
      </c>
      <c r="AE21" s="3"/>
      <c r="AF21" s="3"/>
    </row>
    <row r="22" spans="1:50" ht="32.1" customHeight="1" x14ac:dyDescent="0.25">
      <c r="A22" s="512" t="s">
        <v>101</v>
      </c>
      <c r="B22" s="513"/>
      <c r="C22" s="355"/>
      <c r="D22" s="356"/>
      <c r="E22" s="356"/>
      <c r="F22" s="356"/>
      <c r="G22" s="356"/>
      <c r="H22" s="356"/>
      <c r="I22" s="356"/>
      <c r="J22" s="356"/>
      <c r="K22" s="356"/>
      <c r="L22" s="356"/>
      <c r="M22" s="356"/>
      <c r="N22" s="356"/>
      <c r="O22" s="356">
        <f>SUM(C22:N22)</f>
        <v>0</v>
      </c>
      <c r="P22" s="431"/>
      <c r="Q22" s="361">
        <v>425475150</v>
      </c>
      <c r="R22" s="356"/>
      <c r="S22" s="356">
        <v>19186925</v>
      </c>
      <c r="T22" s="356">
        <f>35000000+21559511</f>
        <v>56559511</v>
      </c>
      <c r="U22" s="356"/>
      <c r="V22" s="356">
        <f>2139477+34249272+6542287</f>
        <v>42931036</v>
      </c>
      <c r="W22" s="356"/>
      <c r="X22" s="356"/>
      <c r="Y22" s="356"/>
      <c r="Z22" s="356"/>
      <c r="AA22" s="356"/>
      <c r="AB22" s="356"/>
      <c r="AC22" s="429">
        <f>SUM(Q22:AB22)</f>
        <v>544152622</v>
      </c>
      <c r="AD22" s="357"/>
      <c r="AE22" s="3"/>
      <c r="AF22" s="442" t="s">
        <v>116</v>
      </c>
      <c r="AG22" s="442"/>
      <c r="AH22" s="442"/>
      <c r="AI22" s="442"/>
      <c r="AJ22" s="442"/>
      <c r="AK22" s="442"/>
      <c r="AL22" s="442"/>
      <c r="AM22" s="442"/>
    </row>
    <row r="23" spans="1:50" ht="32.1" customHeight="1" x14ac:dyDescent="0.25">
      <c r="A23" s="520" t="s">
        <v>47</v>
      </c>
      <c r="B23" s="521"/>
      <c r="C23" s="175"/>
      <c r="D23" s="174"/>
      <c r="E23" s="174"/>
      <c r="F23" s="174"/>
      <c r="G23" s="174"/>
      <c r="H23" s="174"/>
      <c r="I23" s="174"/>
      <c r="J23" s="174"/>
      <c r="K23" s="174"/>
      <c r="L23" s="174"/>
      <c r="M23" s="174"/>
      <c r="N23" s="174"/>
      <c r="O23" s="174">
        <f>SUM(C23:N23)</f>
        <v>0</v>
      </c>
      <c r="P23" s="432"/>
      <c r="Q23" s="359">
        <v>45618029</v>
      </c>
      <c r="R23" s="174">
        <v>274389683</v>
      </c>
      <c r="S23" s="174">
        <v>37936095</v>
      </c>
      <c r="T23" s="174">
        <v>9781083</v>
      </c>
      <c r="U23" s="174">
        <v>50047197</v>
      </c>
      <c r="V23" s="174">
        <v>21021262</v>
      </c>
      <c r="W23" s="174"/>
      <c r="X23" s="174"/>
      <c r="Y23" s="174"/>
      <c r="Z23" s="174"/>
      <c r="AA23" s="174"/>
      <c r="AB23" s="174"/>
      <c r="AC23" s="430">
        <f>SUM(Q23:AB23)</f>
        <v>438793349</v>
      </c>
      <c r="AD23" s="182">
        <f>+AC23/AC22</f>
        <v>0.80637918712445344</v>
      </c>
      <c r="AE23" s="3"/>
      <c r="AF23" s="442"/>
      <c r="AG23" s="442"/>
      <c r="AH23" s="442"/>
      <c r="AI23" s="442"/>
      <c r="AJ23" s="442"/>
      <c r="AK23" s="442"/>
      <c r="AL23" s="442"/>
      <c r="AM23" s="442"/>
    </row>
    <row r="24" spans="1:50" ht="32.1" customHeight="1" x14ac:dyDescent="0.25">
      <c r="A24" s="520" t="s">
        <v>103</v>
      </c>
      <c r="B24" s="521"/>
      <c r="C24" s="175">
        <f>25110242+1804187+19304540</f>
        <v>46218969</v>
      </c>
      <c r="D24" s="174">
        <f>1749515+3375000+3750000+461422+1166666+618000+432600+475860+4505045</f>
        <v>16534108</v>
      </c>
      <c r="E24" s="174">
        <v>4956875</v>
      </c>
      <c r="F24" s="174">
        <v>5038625</v>
      </c>
      <c r="G24" s="174"/>
      <c r="H24" s="174"/>
      <c r="I24" s="174"/>
      <c r="J24" s="174"/>
      <c r="K24" s="174"/>
      <c r="L24" s="174"/>
      <c r="M24" s="174"/>
      <c r="N24" s="174"/>
      <c r="O24" s="213">
        <f>SUM(C24:N24)</f>
        <v>72748577</v>
      </c>
      <c r="P24" s="360"/>
      <c r="Q24" s="359"/>
      <c r="R24" s="174">
        <v>18502650</v>
      </c>
      <c r="S24" s="174">
        <v>36997500</v>
      </c>
      <c r="T24" s="174">
        <f>36997500+1918693</f>
        <v>38916193</v>
      </c>
      <c r="U24" s="174">
        <f>36997500+1918693+3888889+21559511</f>
        <v>64364593</v>
      </c>
      <c r="V24" s="174">
        <f>36997500+1918693+3888889+6542287</f>
        <v>49347369</v>
      </c>
      <c r="W24" s="174">
        <f>36997500+1918693+2139477+3888889+11416424</f>
        <v>56360983</v>
      </c>
      <c r="X24" s="174">
        <f>36997500+1918693+3888889</f>
        <v>42805082</v>
      </c>
      <c r="Y24" s="174">
        <f>36997500+1918692+3888889+11416424</f>
        <v>54221505</v>
      </c>
      <c r="Z24" s="174">
        <f>36997500+1918692+3888889</f>
        <v>42805081</v>
      </c>
      <c r="AA24" s="174">
        <f>36997500+1918692+3888889+11416424</f>
        <v>54221505</v>
      </c>
      <c r="AB24" s="174">
        <f>73995000+3837384+7777777</f>
        <v>85610161</v>
      </c>
      <c r="AC24" s="213">
        <f>SUM(Q24:AB24)</f>
        <v>544152622</v>
      </c>
      <c r="AD24" s="182"/>
      <c r="AE24" s="3"/>
      <c r="AF24" s="442"/>
      <c r="AG24" s="442"/>
      <c r="AH24" s="442"/>
      <c r="AI24" s="442"/>
      <c r="AJ24" s="442"/>
      <c r="AK24" s="442"/>
      <c r="AL24" s="442"/>
      <c r="AM24" s="442"/>
    </row>
    <row r="25" spans="1:50" ht="32.1" customHeight="1" thickBot="1" x14ac:dyDescent="0.3">
      <c r="A25" s="522" t="s">
        <v>50</v>
      </c>
      <c r="B25" s="523"/>
      <c r="C25" s="358">
        <v>2894648</v>
      </c>
      <c r="D25" s="176">
        <v>31987653</v>
      </c>
      <c r="E25" s="176">
        <v>22040035</v>
      </c>
      <c r="F25" s="176">
        <v>10889552</v>
      </c>
      <c r="G25" s="176">
        <v>0</v>
      </c>
      <c r="H25" s="176">
        <v>384895</v>
      </c>
      <c r="I25" s="176"/>
      <c r="J25" s="176"/>
      <c r="K25" s="176"/>
      <c r="L25" s="176"/>
      <c r="M25" s="176"/>
      <c r="N25" s="176"/>
      <c r="O25" s="176">
        <f>SUM(C25:N25)</f>
        <v>68196783</v>
      </c>
      <c r="P25" s="183">
        <f>+O25/O24</f>
        <v>0.9374311610246342</v>
      </c>
      <c r="Q25" s="362" t="s">
        <v>104</v>
      </c>
      <c r="R25" s="176">
        <v>944067</v>
      </c>
      <c r="S25" s="176">
        <v>14912614</v>
      </c>
      <c r="T25" s="176">
        <v>28115866</v>
      </c>
      <c r="U25" s="176">
        <v>36909462</v>
      </c>
      <c r="V25" s="176">
        <v>45540923</v>
      </c>
      <c r="W25" s="176"/>
      <c r="X25" s="176"/>
      <c r="Y25" s="176"/>
      <c r="Z25" s="176"/>
      <c r="AA25" s="176"/>
      <c r="AB25" s="176"/>
      <c r="AC25" s="176">
        <f>SUM(Q25:AB25)</f>
        <v>126422932</v>
      </c>
      <c r="AD25" s="183">
        <f>+AC25/AC23</f>
        <v>0.28811496867059394</v>
      </c>
      <c r="AE25" s="3"/>
      <c r="AF25" s="442"/>
      <c r="AG25" s="442"/>
      <c r="AH25" s="442"/>
      <c r="AI25" s="442"/>
      <c r="AJ25" s="442"/>
      <c r="AK25" s="442"/>
      <c r="AL25" s="442"/>
      <c r="AM25" s="442"/>
    </row>
    <row r="26" spans="1:50"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0" ht="33.950000000000003" customHeight="1" x14ac:dyDescent="0.25">
      <c r="A27" s="516" t="s">
        <v>53</v>
      </c>
      <c r="B27" s="517"/>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row>
    <row r="28" spans="1:50" ht="15" customHeight="1" x14ac:dyDescent="0.25">
      <c r="A28" s="541" t="s">
        <v>54</v>
      </c>
      <c r="B28" s="543" t="s">
        <v>55</v>
      </c>
      <c r="C28" s="544"/>
      <c r="D28" s="521" t="s">
        <v>56</v>
      </c>
      <c r="E28" s="547"/>
      <c r="F28" s="547"/>
      <c r="G28" s="547"/>
      <c r="H28" s="547"/>
      <c r="I28" s="547"/>
      <c r="J28" s="547"/>
      <c r="K28" s="547"/>
      <c r="L28" s="547"/>
      <c r="M28" s="547"/>
      <c r="N28" s="547"/>
      <c r="O28" s="548"/>
      <c r="P28" s="549" t="s">
        <v>42</v>
      </c>
      <c r="Q28" s="549" t="s">
        <v>57</v>
      </c>
      <c r="R28" s="549"/>
      <c r="S28" s="549"/>
      <c r="T28" s="549"/>
      <c r="U28" s="549"/>
      <c r="V28" s="549"/>
      <c r="W28" s="549"/>
      <c r="X28" s="549"/>
      <c r="Y28" s="549"/>
      <c r="Z28" s="549"/>
      <c r="AA28" s="549"/>
      <c r="AB28" s="549"/>
      <c r="AC28" s="549"/>
      <c r="AD28" s="550"/>
    </row>
    <row r="29" spans="1:50" ht="27" customHeight="1" x14ac:dyDescent="0.25">
      <c r="A29" s="542"/>
      <c r="B29" s="545"/>
      <c r="C29" s="546"/>
      <c r="D29" s="88" t="s">
        <v>31</v>
      </c>
      <c r="E29" s="88" t="s">
        <v>32</v>
      </c>
      <c r="F29" s="88" t="s">
        <v>33</v>
      </c>
      <c r="G29" s="88" t="s">
        <v>34</v>
      </c>
      <c r="H29" s="88" t="s">
        <v>35</v>
      </c>
      <c r="I29" s="88" t="s">
        <v>8</v>
      </c>
      <c r="J29" s="88" t="s">
        <v>36</v>
      </c>
      <c r="K29" s="88" t="s">
        <v>37</v>
      </c>
      <c r="L29" s="88" t="s">
        <v>38</v>
      </c>
      <c r="M29" s="88" t="s">
        <v>39</v>
      </c>
      <c r="N29" s="88" t="s">
        <v>40</v>
      </c>
      <c r="O29" s="88" t="s">
        <v>41</v>
      </c>
      <c r="P29" s="548"/>
      <c r="Q29" s="549"/>
      <c r="R29" s="549"/>
      <c r="S29" s="549"/>
      <c r="T29" s="549"/>
      <c r="U29" s="549"/>
      <c r="V29" s="549"/>
      <c r="W29" s="549"/>
      <c r="X29" s="549"/>
      <c r="Y29" s="549"/>
      <c r="Z29" s="549"/>
      <c r="AA29" s="549"/>
      <c r="AB29" s="549"/>
      <c r="AC29" s="549"/>
      <c r="AD29" s="550"/>
    </row>
    <row r="30" spans="1:50" ht="68.25" customHeight="1" thickBot="1" x14ac:dyDescent="0.3">
      <c r="A30" s="85" t="s">
        <v>139</v>
      </c>
      <c r="B30" s="551"/>
      <c r="C30" s="552"/>
      <c r="D30" s="89"/>
      <c r="E30" s="89"/>
      <c r="F30" s="89"/>
      <c r="G30" s="89"/>
      <c r="H30" s="89"/>
      <c r="I30" s="89"/>
      <c r="J30" s="89"/>
      <c r="K30" s="89"/>
      <c r="L30" s="89"/>
      <c r="M30" s="89"/>
      <c r="N30" s="89"/>
      <c r="O30" s="89"/>
      <c r="P30" s="86">
        <f>SUM(D30:O30)</f>
        <v>0</v>
      </c>
      <c r="Q30" s="553"/>
      <c r="R30" s="553"/>
      <c r="S30" s="553"/>
      <c r="T30" s="553"/>
      <c r="U30" s="553"/>
      <c r="V30" s="553"/>
      <c r="W30" s="553"/>
      <c r="X30" s="553"/>
      <c r="Y30" s="553"/>
      <c r="Z30" s="553"/>
      <c r="AA30" s="553"/>
      <c r="AB30" s="553"/>
      <c r="AC30" s="553"/>
      <c r="AD30" s="554"/>
    </row>
    <row r="31" spans="1:50" ht="45" customHeight="1" thickBot="1" x14ac:dyDescent="0.3">
      <c r="A31" s="555" t="s">
        <v>59</v>
      </c>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7"/>
    </row>
    <row r="32" spans="1:50" ht="23.1" customHeight="1" x14ac:dyDescent="0.25">
      <c r="A32" s="512" t="s">
        <v>60</v>
      </c>
      <c r="B32" s="558" t="s">
        <v>61</v>
      </c>
      <c r="C32" s="558" t="s">
        <v>55</v>
      </c>
      <c r="D32" s="561" t="s">
        <v>62</v>
      </c>
      <c r="E32" s="558"/>
      <c r="F32" s="558"/>
      <c r="G32" s="558"/>
      <c r="H32" s="558"/>
      <c r="I32" s="558"/>
      <c r="J32" s="558"/>
      <c r="K32" s="558"/>
      <c r="L32" s="558"/>
      <c r="M32" s="558"/>
      <c r="N32" s="558"/>
      <c r="O32" s="558"/>
      <c r="P32" s="559"/>
      <c r="Q32" s="512" t="s">
        <v>63</v>
      </c>
      <c r="R32" s="558"/>
      <c r="S32" s="558"/>
      <c r="T32" s="558"/>
      <c r="U32" s="558"/>
      <c r="V32" s="558"/>
      <c r="W32" s="558"/>
      <c r="X32" s="558"/>
      <c r="Y32" s="558"/>
      <c r="Z32" s="558"/>
      <c r="AA32" s="558"/>
      <c r="AB32" s="558"/>
      <c r="AC32" s="558"/>
      <c r="AD32" s="559"/>
      <c r="AG32" s="87"/>
      <c r="AH32" s="87"/>
      <c r="AI32" s="87"/>
      <c r="AJ32" s="87"/>
      <c r="AK32" s="87"/>
      <c r="AL32" s="87"/>
      <c r="AM32" s="87"/>
      <c r="AN32" s="87"/>
      <c r="AO32" s="87"/>
    </row>
    <row r="33" spans="1:41" ht="27" customHeight="1" x14ac:dyDescent="0.25">
      <c r="A33" s="520"/>
      <c r="B33" s="549"/>
      <c r="C33" s="719"/>
      <c r="D33" s="274" t="s">
        <v>31</v>
      </c>
      <c r="E33" s="265" t="s">
        <v>32</v>
      </c>
      <c r="F33" s="265" t="s">
        <v>33</v>
      </c>
      <c r="G33" s="265" t="s">
        <v>34</v>
      </c>
      <c r="H33" s="265" t="s">
        <v>35</v>
      </c>
      <c r="I33" s="265" t="s">
        <v>8</v>
      </c>
      <c r="J33" s="265" t="s">
        <v>36</v>
      </c>
      <c r="K33" s="265" t="s">
        <v>37</v>
      </c>
      <c r="L33" s="265" t="s">
        <v>38</v>
      </c>
      <c r="M33" s="265" t="s">
        <v>39</v>
      </c>
      <c r="N33" s="265" t="s">
        <v>40</v>
      </c>
      <c r="O33" s="265" t="s">
        <v>41</v>
      </c>
      <c r="P33" s="266" t="s">
        <v>42</v>
      </c>
      <c r="Q33" s="522" t="s">
        <v>64</v>
      </c>
      <c r="R33" s="593"/>
      <c r="S33" s="593"/>
      <c r="T33" s="593" t="s">
        <v>65</v>
      </c>
      <c r="U33" s="593"/>
      <c r="V33" s="593"/>
      <c r="W33" s="657" t="s">
        <v>106</v>
      </c>
      <c r="X33" s="510"/>
      <c r="Y33" s="510"/>
      <c r="Z33" s="658"/>
      <c r="AA33" s="657" t="s">
        <v>67</v>
      </c>
      <c r="AB33" s="510"/>
      <c r="AC33" s="510"/>
      <c r="AD33" s="511"/>
      <c r="AG33" s="87"/>
      <c r="AH33" s="87"/>
      <c r="AI33" s="87"/>
      <c r="AJ33" s="87"/>
      <c r="AK33" s="87"/>
      <c r="AL33" s="87"/>
      <c r="AM33" s="87"/>
      <c r="AN33" s="87"/>
      <c r="AO33" s="87"/>
    </row>
    <row r="34" spans="1:41" ht="110.25" customHeight="1" x14ac:dyDescent="0.25">
      <c r="A34" s="684" t="s">
        <v>139</v>
      </c>
      <c r="B34" s="565">
        <v>0.2</v>
      </c>
      <c r="C34" s="102" t="s">
        <v>68</v>
      </c>
      <c r="D34" s="271">
        <f>D69</f>
        <v>0</v>
      </c>
      <c r="E34" s="272">
        <v>1</v>
      </c>
      <c r="F34" s="272">
        <v>1</v>
      </c>
      <c r="G34" s="272">
        <v>1</v>
      </c>
      <c r="H34" s="272">
        <v>1</v>
      </c>
      <c r="I34" s="272">
        <v>1</v>
      </c>
      <c r="J34" s="272">
        <v>1</v>
      </c>
      <c r="K34" s="272">
        <v>1</v>
      </c>
      <c r="L34" s="272">
        <v>1</v>
      </c>
      <c r="M34" s="272">
        <v>1</v>
      </c>
      <c r="N34" s="272">
        <v>1</v>
      </c>
      <c r="O34" s="273">
        <v>1</v>
      </c>
      <c r="P34" s="267">
        <v>1</v>
      </c>
      <c r="Q34" s="798" t="s">
        <v>149</v>
      </c>
      <c r="R34" s="708"/>
      <c r="S34" s="714"/>
      <c r="T34" s="716" t="s">
        <v>150</v>
      </c>
      <c r="U34" s="708"/>
      <c r="V34" s="714"/>
      <c r="W34" s="799" t="s">
        <v>151</v>
      </c>
      <c r="X34" s="708"/>
      <c r="Y34" s="708"/>
      <c r="Z34" s="714"/>
      <c r="AA34" s="769"/>
      <c r="AB34" s="770"/>
      <c r="AC34" s="770"/>
      <c r="AD34" s="771"/>
      <c r="AG34" s="87"/>
      <c r="AH34" s="87"/>
      <c r="AI34" s="87"/>
      <c r="AJ34" s="87"/>
      <c r="AK34" s="87"/>
      <c r="AL34" s="87"/>
      <c r="AM34" s="87"/>
      <c r="AN34" s="87"/>
      <c r="AO34" s="87"/>
    </row>
    <row r="35" spans="1:41" ht="110.25" customHeight="1" thickBot="1" x14ac:dyDescent="0.3">
      <c r="A35" s="685"/>
      <c r="B35" s="477"/>
      <c r="C35" s="91" t="s">
        <v>72</v>
      </c>
      <c r="D35" s="269">
        <f>D66</f>
        <v>0</v>
      </c>
      <c r="E35" s="259">
        <v>1</v>
      </c>
      <c r="F35" s="259">
        <v>1</v>
      </c>
      <c r="G35" s="259">
        <v>1</v>
      </c>
      <c r="H35" s="259">
        <v>1</v>
      </c>
      <c r="I35" s="259">
        <v>1</v>
      </c>
      <c r="J35" s="259"/>
      <c r="K35" s="259"/>
      <c r="L35" s="259"/>
      <c r="M35" s="259"/>
      <c r="N35" s="259"/>
      <c r="O35" s="260"/>
      <c r="P35" s="268">
        <v>1</v>
      </c>
      <c r="Q35" s="715"/>
      <c r="R35" s="573"/>
      <c r="S35" s="576"/>
      <c r="T35" s="572"/>
      <c r="U35" s="573"/>
      <c r="V35" s="576"/>
      <c r="W35" s="572"/>
      <c r="X35" s="573"/>
      <c r="Y35" s="573"/>
      <c r="Z35" s="576"/>
      <c r="AA35" s="772"/>
      <c r="AB35" s="773"/>
      <c r="AC35" s="773"/>
      <c r="AD35" s="774"/>
      <c r="AE35" s="49"/>
      <c r="AG35" s="87"/>
      <c r="AH35" s="87"/>
      <c r="AI35" s="87"/>
      <c r="AJ35" s="87"/>
      <c r="AK35" s="87"/>
      <c r="AL35" s="87"/>
      <c r="AM35" s="87"/>
      <c r="AN35" s="87"/>
      <c r="AO35" s="87"/>
    </row>
    <row r="36" spans="1:41" ht="26.1" customHeight="1" x14ac:dyDescent="0.25">
      <c r="A36" s="512" t="s">
        <v>73</v>
      </c>
      <c r="B36" s="558" t="s">
        <v>74</v>
      </c>
      <c r="C36" s="561" t="s">
        <v>75</v>
      </c>
      <c r="D36" s="558"/>
      <c r="E36" s="558"/>
      <c r="F36" s="558"/>
      <c r="G36" s="558"/>
      <c r="H36" s="558"/>
      <c r="I36" s="558"/>
      <c r="J36" s="558"/>
      <c r="K36" s="558"/>
      <c r="L36" s="558"/>
      <c r="M36" s="558"/>
      <c r="N36" s="558"/>
      <c r="O36" s="558"/>
      <c r="P36" s="559"/>
      <c r="Q36" s="594" t="s">
        <v>76</v>
      </c>
      <c r="R36" s="595"/>
      <c r="S36" s="595"/>
      <c r="T36" s="595"/>
      <c r="U36" s="595"/>
      <c r="V36" s="595"/>
      <c r="W36" s="595"/>
      <c r="X36" s="595"/>
      <c r="Y36" s="595"/>
      <c r="Z36" s="595"/>
      <c r="AA36" s="595"/>
      <c r="AB36" s="595"/>
      <c r="AC36" s="595"/>
      <c r="AD36" s="596"/>
      <c r="AG36" s="87"/>
      <c r="AH36" s="87"/>
      <c r="AI36" s="87"/>
      <c r="AJ36" s="87"/>
      <c r="AK36" s="87"/>
      <c r="AL36" s="87"/>
      <c r="AM36" s="87"/>
      <c r="AN36" s="87"/>
      <c r="AO36" s="87"/>
    </row>
    <row r="37" spans="1:41" ht="26.1" customHeight="1" thickBot="1" x14ac:dyDescent="0.3">
      <c r="A37" s="522"/>
      <c r="B37" s="593"/>
      <c r="C37" s="274" t="s">
        <v>77</v>
      </c>
      <c r="D37" s="265" t="s">
        <v>78</v>
      </c>
      <c r="E37" s="265" t="s">
        <v>79</v>
      </c>
      <c r="F37" s="265" t="s">
        <v>80</v>
      </c>
      <c r="G37" s="265" t="s">
        <v>81</v>
      </c>
      <c r="H37" s="265" t="s">
        <v>82</v>
      </c>
      <c r="I37" s="265" t="s">
        <v>83</v>
      </c>
      <c r="J37" s="265" t="s">
        <v>84</v>
      </c>
      <c r="K37" s="265" t="s">
        <v>85</v>
      </c>
      <c r="L37" s="265" t="s">
        <v>86</v>
      </c>
      <c r="M37" s="265" t="s">
        <v>87</v>
      </c>
      <c r="N37" s="265" t="s">
        <v>88</v>
      </c>
      <c r="O37" s="265" t="s">
        <v>89</v>
      </c>
      <c r="P37" s="266" t="s">
        <v>90</v>
      </c>
      <c r="Q37" s="597" t="s">
        <v>91</v>
      </c>
      <c r="R37" s="598"/>
      <c r="S37" s="598"/>
      <c r="T37" s="598"/>
      <c r="U37" s="598"/>
      <c r="V37" s="598"/>
      <c r="W37" s="598"/>
      <c r="X37" s="598"/>
      <c r="Y37" s="598"/>
      <c r="Z37" s="598"/>
      <c r="AA37" s="598"/>
      <c r="AB37" s="598"/>
      <c r="AC37" s="598"/>
      <c r="AD37" s="599"/>
      <c r="AG37" s="94"/>
      <c r="AH37" s="94"/>
      <c r="AI37" s="94"/>
      <c r="AJ37" s="94"/>
      <c r="AK37" s="94"/>
      <c r="AL37" s="94"/>
      <c r="AM37" s="94"/>
      <c r="AN37" s="94"/>
      <c r="AO37" s="94"/>
    </row>
    <row r="38" spans="1:41" ht="36.75" customHeight="1" x14ac:dyDescent="0.25">
      <c r="A38" s="781" t="s">
        <v>143</v>
      </c>
      <c r="B38" s="783">
        <v>0.08</v>
      </c>
      <c r="C38" s="371" t="s">
        <v>68</v>
      </c>
      <c r="D38" s="422">
        <v>0</v>
      </c>
      <c r="E38" s="422">
        <v>0.06</v>
      </c>
      <c r="F38" s="423">
        <v>0.105</v>
      </c>
      <c r="G38" s="423">
        <v>0.105</v>
      </c>
      <c r="H38" s="423">
        <v>0.105</v>
      </c>
      <c r="I38" s="423">
        <v>0.105</v>
      </c>
      <c r="J38" s="367">
        <v>0.105</v>
      </c>
      <c r="K38" s="367">
        <v>0.105</v>
      </c>
      <c r="L38" s="367">
        <v>0.105</v>
      </c>
      <c r="M38" s="367">
        <v>0.105</v>
      </c>
      <c r="N38" s="367">
        <v>0.1</v>
      </c>
      <c r="O38" s="367">
        <v>0</v>
      </c>
      <c r="P38" s="368">
        <f t="shared" ref="P38:P43" si="0">SUM(D38:O38)</f>
        <v>0.99999999999999989</v>
      </c>
      <c r="Q38" s="701" t="s">
        <v>557</v>
      </c>
      <c r="R38" s="754"/>
      <c r="S38" s="754"/>
      <c r="T38" s="754"/>
      <c r="U38" s="754"/>
      <c r="V38" s="754"/>
      <c r="W38" s="754"/>
      <c r="X38" s="754"/>
      <c r="Y38" s="754"/>
      <c r="Z38" s="754"/>
      <c r="AA38" s="754"/>
      <c r="AB38" s="754"/>
      <c r="AC38" s="754"/>
      <c r="AD38" s="755"/>
      <c r="AE38" s="97"/>
      <c r="AG38" s="98"/>
      <c r="AH38" s="98"/>
      <c r="AI38" s="98"/>
      <c r="AJ38" s="98"/>
      <c r="AK38" s="98"/>
      <c r="AL38" s="98"/>
      <c r="AM38" s="98"/>
      <c r="AN38" s="98"/>
      <c r="AO38" s="98"/>
    </row>
    <row r="39" spans="1:41" ht="36.75" customHeight="1" x14ac:dyDescent="0.25">
      <c r="A39" s="782"/>
      <c r="B39" s="784"/>
      <c r="C39" s="225" t="s">
        <v>72</v>
      </c>
      <c r="D39" s="287"/>
      <c r="E39" s="283">
        <v>0.06</v>
      </c>
      <c r="F39" s="283">
        <v>0.105</v>
      </c>
      <c r="G39" s="283">
        <v>0.14611111099999999</v>
      </c>
      <c r="H39" s="436">
        <v>0.105</v>
      </c>
      <c r="I39" s="436">
        <v>0.105</v>
      </c>
      <c r="J39" s="100"/>
      <c r="K39" s="100"/>
      <c r="L39" s="100"/>
      <c r="M39" s="100"/>
      <c r="N39" s="100"/>
      <c r="O39" s="100"/>
      <c r="P39" s="263">
        <f t="shared" si="0"/>
        <v>0.52111111099999996</v>
      </c>
      <c r="Q39" s="785"/>
      <c r="R39" s="786"/>
      <c r="S39" s="786"/>
      <c r="T39" s="786"/>
      <c r="U39" s="786"/>
      <c r="V39" s="786"/>
      <c r="W39" s="786"/>
      <c r="X39" s="786"/>
      <c r="Y39" s="786"/>
      <c r="Z39" s="786"/>
      <c r="AA39" s="786"/>
      <c r="AB39" s="786"/>
      <c r="AC39" s="786"/>
      <c r="AD39" s="787"/>
      <c r="AE39" s="97"/>
    </row>
    <row r="40" spans="1:41" ht="33.75" customHeight="1" x14ac:dyDescent="0.25">
      <c r="A40" s="788" t="s">
        <v>145</v>
      </c>
      <c r="B40" s="789">
        <v>7.0000000000000007E-2</v>
      </c>
      <c r="C40" s="226" t="s">
        <v>68</v>
      </c>
      <c r="D40" s="420">
        <v>0</v>
      </c>
      <c r="E40" s="421">
        <v>9.5000000000000001E-2</v>
      </c>
      <c r="F40" s="421">
        <v>9.5000000000000001E-2</v>
      </c>
      <c r="G40" s="421">
        <v>9.5000000000000001E-2</v>
      </c>
      <c r="H40" s="421">
        <v>9.5000000000000001E-2</v>
      </c>
      <c r="I40" s="421">
        <v>9.5000000000000001E-2</v>
      </c>
      <c r="J40" s="220">
        <v>9.5000000000000001E-2</v>
      </c>
      <c r="K40" s="220">
        <v>9.5000000000000001E-2</v>
      </c>
      <c r="L40" s="220">
        <v>9.5000000000000001E-2</v>
      </c>
      <c r="M40" s="220">
        <v>9.5000000000000001E-2</v>
      </c>
      <c r="N40" s="220">
        <v>9.5000000000000001E-2</v>
      </c>
      <c r="O40" s="220">
        <v>0.05</v>
      </c>
      <c r="P40" s="263">
        <f t="shared" si="0"/>
        <v>0.99999999999999989</v>
      </c>
      <c r="Q40" s="790" t="s">
        <v>152</v>
      </c>
      <c r="R40" s="791"/>
      <c r="S40" s="791"/>
      <c r="T40" s="791"/>
      <c r="U40" s="791"/>
      <c r="V40" s="791"/>
      <c r="W40" s="791"/>
      <c r="X40" s="791"/>
      <c r="Y40" s="791"/>
      <c r="Z40" s="791"/>
      <c r="AA40" s="791"/>
      <c r="AB40" s="791"/>
      <c r="AC40" s="791"/>
      <c r="AD40" s="792"/>
      <c r="AE40" s="97"/>
    </row>
    <row r="41" spans="1:41" ht="33.75" customHeight="1" x14ac:dyDescent="0.25">
      <c r="A41" s="782"/>
      <c r="B41" s="784"/>
      <c r="C41" s="225" t="s">
        <v>72</v>
      </c>
      <c r="D41" s="287"/>
      <c r="E41" s="283">
        <v>9.5000000000000001E-2</v>
      </c>
      <c r="F41" s="283">
        <v>9.5000000000000001E-2</v>
      </c>
      <c r="G41" s="283">
        <v>9.5000000000000001E-2</v>
      </c>
      <c r="H41" s="436">
        <v>9.5000000000000001E-2</v>
      </c>
      <c r="I41" s="436">
        <v>9.5000000000000001E-2</v>
      </c>
      <c r="J41" s="100"/>
      <c r="K41" s="100"/>
      <c r="L41" s="100"/>
      <c r="M41" s="100"/>
      <c r="N41" s="100"/>
      <c r="O41" s="100"/>
      <c r="P41" s="263">
        <f t="shared" si="0"/>
        <v>0.47499999999999998</v>
      </c>
      <c r="Q41" s="793"/>
      <c r="R41" s="794"/>
      <c r="S41" s="794"/>
      <c r="T41" s="794"/>
      <c r="U41" s="794"/>
      <c r="V41" s="794"/>
      <c r="W41" s="794"/>
      <c r="X41" s="794"/>
      <c r="Y41" s="794"/>
      <c r="Z41" s="794"/>
      <c r="AA41" s="794"/>
      <c r="AB41" s="794"/>
      <c r="AC41" s="794"/>
      <c r="AD41" s="795"/>
      <c r="AE41" s="97"/>
    </row>
    <row r="42" spans="1:41" ht="46.5" customHeight="1" x14ac:dyDescent="0.25">
      <c r="A42" s="693" t="s">
        <v>147</v>
      </c>
      <c r="B42" s="796">
        <v>0.05</v>
      </c>
      <c r="C42" s="226" t="s">
        <v>68</v>
      </c>
      <c r="D42" s="420">
        <v>0</v>
      </c>
      <c r="E42" s="420">
        <v>0.17</v>
      </c>
      <c r="F42" s="421">
        <v>0</v>
      </c>
      <c r="G42" s="421">
        <v>0.16600000000000001</v>
      </c>
      <c r="H42" s="421">
        <v>0</v>
      </c>
      <c r="I42" s="421">
        <v>0.16600000000000001</v>
      </c>
      <c r="J42" s="220">
        <v>0</v>
      </c>
      <c r="K42" s="220">
        <v>0.16600000000000001</v>
      </c>
      <c r="L42" s="220">
        <v>0</v>
      </c>
      <c r="M42" s="220">
        <v>0.16600000000000001</v>
      </c>
      <c r="N42" s="220">
        <v>0</v>
      </c>
      <c r="O42" s="220">
        <v>0.16600000000000001</v>
      </c>
      <c r="P42" s="263">
        <f>SUM(D42:O42)</f>
        <v>1</v>
      </c>
      <c r="Q42" s="775" t="s">
        <v>572</v>
      </c>
      <c r="R42" s="776"/>
      <c r="S42" s="776"/>
      <c r="T42" s="776"/>
      <c r="U42" s="776"/>
      <c r="V42" s="776"/>
      <c r="W42" s="776"/>
      <c r="X42" s="776"/>
      <c r="Y42" s="776"/>
      <c r="Z42" s="776"/>
      <c r="AA42" s="776"/>
      <c r="AB42" s="776"/>
      <c r="AC42" s="776"/>
      <c r="AD42" s="777"/>
      <c r="AE42" s="97"/>
    </row>
    <row r="43" spans="1:41" ht="46.5" customHeight="1" thickBot="1" x14ac:dyDescent="0.3">
      <c r="A43" s="694"/>
      <c r="B43" s="797"/>
      <c r="C43" s="280" t="s">
        <v>72</v>
      </c>
      <c r="D43" s="424"/>
      <c r="E43" s="424">
        <v>0.17</v>
      </c>
      <c r="F43" s="425">
        <v>0</v>
      </c>
      <c r="G43" s="425">
        <v>0.16600000000000001</v>
      </c>
      <c r="H43" s="424">
        <v>0</v>
      </c>
      <c r="I43" s="425">
        <v>0.16600000000000001</v>
      </c>
      <c r="J43" s="105"/>
      <c r="K43" s="105"/>
      <c r="L43" s="105"/>
      <c r="M43" s="105"/>
      <c r="N43" s="105"/>
      <c r="O43" s="105"/>
      <c r="P43" s="264">
        <f t="shared" si="0"/>
        <v>0.502</v>
      </c>
      <c r="Q43" s="778"/>
      <c r="R43" s="779"/>
      <c r="S43" s="779"/>
      <c r="T43" s="779"/>
      <c r="U43" s="779"/>
      <c r="V43" s="779"/>
      <c r="W43" s="779"/>
      <c r="X43" s="779"/>
      <c r="Y43" s="779"/>
      <c r="Z43" s="779"/>
      <c r="AA43" s="779"/>
      <c r="AB43" s="779"/>
      <c r="AC43" s="779"/>
      <c r="AD43" s="780"/>
      <c r="AE43" s="97"/>
    </row>
    <row r="44" spans="1:41" x14ac:dyDescent="0.25">
      <c r="A44" s="50" t="s">
        <v>95</v>
      </c>
      <c r="AF44" s="427"/>
    </row>
    <row r="45" spans="1:41" x14ac:dyDescent="0.25">
      <c r="AE45" s="426"/>
    </row>
    <row r="46" spans="1:41" x14ac:dyDescent="0.25"/>
    <row r="55" spans="1:30" x14ac:dyDescent="0.25">
      <c r="A55" s="613" t="s">
        <v>96</v>
      </c>
      <c r="B55" s="615" t="s">
        <v>74</v>
      </c>
      <c r="C55" s="617" t="s">
        <v>75</v>
      </c>
      <c r="D55" s="618"/>
      <c r="E55" s="618"/>
      <c r="F55" s="618"/>
      <c r="G55" s="618"/>
      <c r="H55" s="618"/>
      <c r="I55" s="618"/>
      <c r="J55" s="618"/>
      <c r="K55" s="618"/>
      <c r="L55" s="618"/>
      <c r="M55" s="618"/>
      <c r="N55" s="618"/>
      <c r="O55" s="618"/>
      <c r="P55" s="619"/>
      <c r="Q55" s="228"/>
      <c r="R55" s="228"/>
      <c r="S55" s="229"/>
      <c r="T55" s="229"/>
      <c r="U55" s="229"/>
      <c r="V55" s="229"/>
      <c r="W55" s="229"/>
      <c r="X55" s="229"/>
      <c r="Y55" s="229"/>
      <c r="Z55" s="229"/>
      <c r="AA55" s="229"/>
      <c r="AB55" s="229"/>
      <c r="AC55" s="229"/>
      <c r="AD55" s="229"/>
    </row>
    <row r="56" spans="1:30" ht="21" x14ac:dyDescent="0.25">
      <c r="A56" s="614"/>
      <c r="B56" s="616"/>
      <c r="C56" s="230" t="s">
        <v>77</v>
      </c>
      <c r="D56" s="230" t="s">
        <v>78</v>
      </c>
      <c r="E56" s="230" t="s">
        <v>79</v>
      </c>
      <c r="F56" s="230" t="s">
        <v>80</v>
      </c>
      <c r="G56" s="230" t="s">
        <v>81</v>
      </c>
      <c r="H56" s="230" t="s">
        <v>82</v>
      </c>
      <c r="I56" s="230" t="s">
        <v>83</v>
      </c>
      <c r="J56" s="230" t="s">
        <v>84</v>
      </c>
      <c r="K56" s="230" t="s">
        <v>85</v>
      </c>
      <c r="L56" s="230" t="s">
        <v>86</v>
      </c>
      <c r="M56" s="230" t="s">
        <v>87</v>
      </c>
      <c r="N56" s="230" t="s">
        <v>88</v>
      </c>
      <c r="O56" s="230" t="s">
        <v>89</v>
      </c>
      <c r="P56" s="230" t="s">
        <v>90</v>
      </c>
      <c r="Q56" s="228"/>
      <c r="R56" s="228"/>
      <c r="S56" s="229"/>
      <c r="T56" s="229"/>
      <c r="U56" s="229"/>
      <c r="V56" s="229"/>
      <c r="W56" s="229"/>
      <c r="X56" s="229"/>
      <c r="Y56" s="229"/>
      <c r="Z56" s="229"/>
      <c r="AA56" s="229"/>
      <c r="AB56" s="229"/>
      <c r="AC56" s="229"/>
      <c r="AD56" s="229"/>
    </row>
    <row r="57" spans="1:30" x14ac:dyDescent="0.25">
      <c r="A57" s="620" t="str">
        <f>A38</f>
        <v xml:space="preserve">13. Implementar los talleres de cambio cultural </v>
      </c>
      <c r="B57" s="622">
        <f>B38</f>
        <v>0.08</v>
      </c>
      <c r="C57" s="231" t="s">
        <v>68</v>
      </c>
      <c r="D57" s="232">
        <f>D38*$B$38/$P$38</f>
        <v>0</v>
      </c>
      <c r="E57" s="232">
        <f t="shared" ref="D57:O58" si="1">E38*$B$38/$P$38</f>
        <v>4.8000000000000004E-3</v>
      </c>
      <c r="F57" s="232">
        <f t="shared" si="1"/>
        <v>8.4000000000000012E-3</v>
      </c>
      <c r="G57" s="232">
        <f t="shared" si="1"/>
        <v>8.4000000000000012E-3</v>
      </c>
      <c r="H57" s="232">
        <f t="shared" si="1"/>
        <v>8.4000000000000012E-3</v>
      </c>
      <c r="I57" s="232">
        <f t="shared" si="1"/>
        <v>8.4000000000000012E-3</v>
      </c>
      <c r="J57" s="232">
        <f t="shared" si="1"/>
        <v>8.4000000000000012E-3</v>
      </c>
      <c r="K57" s="232">
        <f t="shared" si="1"/>
        <v>8.4000000000000012E-3</v>
      </c>
      <c r="L57" s="232">
        <f t="shared" si="1"/>
        <v>8.4000000000000012E-3</v>
      </c>
      <c r="M57" s="232">
        <f t="shared" si="1"/>
        <v>8.4000000000000012E-3</v>
      </c>
      <c r="N57" s="232">
        <f t="shared" si="1"/>
        <v>8.0000000000000019E-3</v>
      </c>
      <c r="O57" s="232">
        <f t="shared" si="1"/>
        <v>0</v>
      </c>
      <c r="P57" s="233">
        <f t="shared" ref="P57:P62" si="2">SUM(D57:O57)</f>
        <v>8.0000000000000029E-2</v>
      </c>
      <c r="Q57" s="234">
        <v>0.05</v>
      </c>
      <c r="R57" s="235">
        <f t="shared" ref="R57:R65" si="3">+P57-Q57</f>
        <v>3.0000000000000027E-2</v>
      </c>
      <c r="S57" s="229"/>
      <c r="T57" s="229"/>
      <c r="U57" s="229"/>
      <c r="V57" s="229"/>
      <c r="W57" s="229"/>
      <c r="X57" s="229"/>
      <c r="Y57" s="229"/>
      <c r="Z57" s="229"/>
      <c r="AA57" s="229"/>
      <c r="AB57" s="229"/>
      <c r="AC57" s="229"/>
      <c r="AD57" s="229"/>
    </row>
    <row r="58" spans="1:30" x14ac:dyDescent="0.25">
      <c r="A58" s="621"/>
      <c r="B58" s="623"/>
      <c r="C58" s="236" t="s">
        <v>72</v>
      </c>
      <c r="D58" s="237">
        <f t="shared" si="1"/>
        <v>0</v>
      </c>
      <c r="E58" s="237">
        <f t="shared" si="1"/>
        <v>4.8000000000000004E-3</v>
      </c>
      <c r="F58" s="237">
        <f t="shared" si="1"/>
        <v>8.4000000000000012E-3</v>
      </c>
      <c r="G58" s="237">
        <f t="shared" si="1"/>
        <v>1.1688888880000001E-2</v>
      </c>
      <c r="H58" s="237">
        <f t="shared" si="1"/>
        <v>8.4000000000000012E-3</v>
      </c>
      <c r="I58" s="237">
        <f t="shared" si="1"/>
        <v>8.4000000000000012E-3</v>
      </c>
      <c r="J58" s="237">
        <f t="shared" si="1"/>
        <v>0</v>
      </c>
      <c r="K58" s="237">
        <f t="shared" si="1"/>
        <v>0</v>
      </c>
      <c r="L58" s="237">
        <f t="shared" si="1"/>
        <v>0</v>
      </c>
      <c r="M58" s="237">
        <f t="shared" si="1"/>
        <v>0</v>
      </c>
      <c r="N58" s="237">
        <f t="shared" si="1"/>
        <v>0</v>
      </c>
      <c r="O58" s="237">
        <f t="shared" si="1"/>
        <v>0</v>
      </c>
      <c r="P58" s="238">
        <f t="shared" si="2"/>
        <v>4.1688888880000011E-2</v>
      </c>
      <c r="Q58" s="239">
        <f>+P58</f>
        <v>4.1688888880000011E-2</v>
      </c>
      <c r="R58" s="235">
        <f t="shared" si="3"/>
        <v>0</v>
      </c>
      <c r="S58" s="229"/>
      <c r="T58" s="229"/>
      <c r="U58" s="229"/>
      <c r="V58" s="229"/>
      <c r="W58" s="229"/>
      <c r="X58" s="229"/>
      <c r="Y58" s="229"/>
      <c r="Z58" s="229"/>
      <c r="AA58" s="229"/>
      <c r="AB58" s="229"/>
      <c r="AC58" s="229"/>
      <c r="AD58" s="229"/>
    </row>
    <row r="59" spans="1:30" x14ac:dyDescent="0.25">
      <c r="A59" s="620" t="str">
        <f>A40</f>
        <v>14. Implementar la Red de Alianzas del Cuidado</v>
      </c>
      <c r="B59" s="625">
        <f>B40</f>
        <v>7.0000000000000007E-2</v>
      </c>
      <c r="C59" s="231" t="s">
        <v>68</v>
      </c>
      <c r="D59" s="232">
        <f t="shared" ref="D59:O60" si="4">D40*$B$40/$P$40</f>
        <v>0</v>
      </c>
      <c r="E59" s="232">
        <f t="shared" si="4"/>
        <v>6.6500000000000014E-3</v>
      </c>
      <c r="F59" s="232">
        <f t="shared" si="4"/>
        <v>6.6500000000000014E-3</v>
      </c>
      <c r="G59" s="232">
        <f t="shared" si="4"/>
        <v>6.6500000000000014E-3</v>
      </c>
      <c r="H59" s="232">
        <f t="shared" si="4"/>
        <v>6.6500000000000014E-3</v>
      </c>
      <c r="I59" s="232">
        <f t="shared" si="4"/>
        <v>6.6500000000000014E-3</v>
      </c>
      <c r="J59" s="232">
        <f t="shared" si="4"/>
        <v>6.6500000000000014E-3</v>
      </c>
      <c r="K59" s="232">
        <f t="shared" si="4"/>
        <v>6.6500000000000014E-3</v>
      </c>
      <c r="L59" s="232">
        <f t="shared" si="4"/>
        <v>6.6500000000000014E-3</v>
      </c>
      <c r="M59" s="232">
        <f t="shared" si="4"/>
        <v>6.6500000000000014E-3</v>
      </c>
      <c r="N59" s="232">
        <f t="shared" si="4"/>
        <v>6.6500000000000014E-3</v>
      </c>
      <c r="O59" s="232">
        <f t="shared" si="4"/>
        <v>3.5000000000000009E-3</v>
      </c>
      <c r="P59" s="233">
        <f t="shared" si="2"/>
        <v>7.0000000000000021E-2</v>
      </c>
      <c r="Q59" s="234">
        <v>2.5000000000000001E-2</v>
      </c>
      <c r="R59" s="235">
        <f t="shared" si="3"/>
        <v>4.5000000000000019E-2</v>
      </c>
      <c r="S59" s="229"/>
      <c r="T59" s="229"/>
      <c r="U59" s="229"/>
      <c r="V59" s="229"/>
      <c r="W59" s="229"/>
      <c r="X59" s="229"/>
      <c r="Y59" s="229"/>
      <c r="Z59" s="229"/>
      <c r="AA59" s="229"/>
      <c r="AB59" s="229"/>
      <c r="AC59" s="229"/>
      <c r="AD59" s="229"/>
    </row>
    <row r="60" spans="1:30" x14ac:dyDescent="0.25">
      <c r="A60" s="624"/>
      <c r="B60" s="626"/>
      <c r="C60" s="236" t="s">
        <v>72</v>
      </c>
      <c r="D60" s="237">
        <f t="shared" si="4"/>
        <v>0</v>
      </c>
      <c r="E60" s="237">
        <f t="shared" si="4"/>
        <v>6.6500000000000014E-3</v>
      </c>
      <c r="F60" s="237">
        <f t="shared" si="4"/>
        <v>6.6500000000000014E-3</v>
      </c>
      <c r="G60" s="237">
        <f t="shared" si="4"/>
        <v>6.6500000000000014E-3</v>
      </c>
      <c r="H60" s="237">
        <f t="shared" si="4"/>
        <v>6.6500000000000014E-3</v>
      </c>
      <c r="I60" s="237">
        <f t="shared" si="4"/>
        <v>6.6500000000000014E-3</v>
      </c>
      <c r="J60" s="237">
        <f t="shared" si="4"/>
        <v>0</v>
      </c>
      <c r="K60" s="237">
        <f t="shared" si="4"/>
        <v>0</v>
      </c>
      <c r="L60" s="237">
        <f t="shared" si="4"/>
        <v>0</v>
      </c>
      <c r="M60" s="237">
        <f t="shared" si="4"/>
        <v>0</v>
      </c>
      <c r="N60" s="237">
        <f t="shared" si="4"/>
        <v>0</v>
      </c>
      <c r="O60" s="237">
        <f t="shared" si="4"/>
        <v>0</v>
      </c>
      <c r="P60" s="238">
        <f t="shared" si="2"/>
        <v>3.3250000000000009E-2</v>
      </c>
      <c r="Q60" s="239">
        <f>+P60</f>
        <v>3.3250000000000009E-2</v>
      </c>
      <c r="R60" s="235">
        <f t="shared" si="3"/>
        <v>0</v>
      </c>
      <c r="S60" s="229"/>
      <c r="T60" s="229"/>
      <c r="U60" s="229"/>
      <c r="V60" s="229"/>
      <c r="W60" s="229"/>
      <c r="X60" s="229"/>
      <c r="Y60" s="229"/>
      <c r="Z60" s="229"/>
      <c r="AA60" s="229"/>
      <c r="AB60" s="229"/>
      <c r="AC60" s="229"/>
      <c r="AD60" s="229"/>
    </row>
    <row r="61" spans="1:30" x14ac:dyDescent="0.25">
      <c r="A61" s="620" t="str">
        <f>A42</f>
        <v>15. Convocar y gestionar las sesiones de la Mesa de Transformación Cultural de la Unidad Técnica de Apoyo de la Comisión Intersectorial del Sistema de Cuidado</v>
      </c>
      <c r="B61" s="625">
        <f>B42</f>
        <v>0.05</v>
      </c>
      <c r="C61" s="231" t="s">
        <v>68</v>
      </c>
      <c r="D61" s="232">
        <f t="shared" ref="D61:O62" si="5">D42*$B$42/$P$42</f>
        <v>0</v>
      </c>
      <c r="E61" s="232">
        <f t="shared" si="5"/>
        <v>8.5000000000000006E-3</v>
      </c>
      <c r="F61" s="232">
        <f t="shared" si="5"/>
        <v>0</v>
      </c>
      <c r="G61" s="232">
        <f t="shared" si="5"/>
        <v>8.3000000000000001E-3</v>
      </c>
      <c r="H61" s="232">
        <f t="shared" si="5"/>
        <v>0</v>
      </c>
      <c r="I61" s="232">
        <f t="shared" si="5"/>
        <v>8.3000000000000001E-3</v>
      </c>
      <c r="J61" s="232">
        <f t="shared" si="5"/>
        <v>0</v>
      </c>
      <c r="K61" s="232">
        <f t="shared" si="5"/>
        <v>8.3000000000000001E-3</v>
      </c>
      <c r="L61" s="232">
        <f t="shared" si="5"/>
        <v>0</v>
      </c>
      <c r="M61" s="232">
        <f t="shared" si="5"/>
        <v>8.3000000000000001E-3</v>
      </c>
      <c r="N61" s="232">
        <f t="shared" si="5"/>
        <v>0</v>
      </c>
      <c r="O61" s="232">
        <f t="shared" si="5"/>
        <v>8.3000000000000001E-3</v>
      </c>
      <c r="P61" s="233">
        <f t="shared" si="2"/>
        <v>5.000000000000001E-2</v>
      </c>
      <c r="Q61" s="234">
        <v>2.5000000000000001E-2</v>
      </c>
      <c r="R61" s="235">
        <f t="shared" si="3"/>
        <v>2.5000000000000008E-2</v>
      </c>
      <c r="S61" s="229"/>
      <c r="T61" s="229"/>
      <c r="U61" s="229"/>
      <c r="V61" s="229"/>
      <c r="W61" s="229"/>
      <c r="X61" s="229"/>
      <c r="Y61" s="229"/>
      <c r="Z61" s="229"/>
      <c r="AA61" s="229"/>
      <c r="AB61" s="229"/>
      <c r="AC61" s="229"/>
      <c r="AD61" s="229"/>
    </row>
    <row r="62" spans="1:30" x14ac:dyDescent="0.25">
      <c r="A62" s="624"/>
      <c r="B62" s="626"/>
      <c r="C62" s="236" t="s">
        <v>72</v>
      </c>
      <c r="D62" s="237">
        <f t="shared" si="5"/>
        <v>0</v>
      </c>
      <c r="E62" s="237">
        <f t="shared" si="5"/>
        <v>8.5000000000000006E-3</v>
      </c>
      <c r="F62" s="237">
        <f t="shared" si="5"/>
        <v>0</v>
      </c>
      <c r="G62" s="237">
        <f t="shared" si="5"/>
        <v>8.3000000000000001E-3</v>
      </c>
      <c r="H62" s="237">
        <f t="shared" si="5"/>
        <v>0</v>
      </c>
      <c r="I62" s="237">
        <f t="shared" si="5"/>
        <v>8.3000000000000001E-3</v>
      </c>
      <c r="J62" s="237">
        <f t="shared" si="5"/>
        <v>0</v>
      </c>
      <c r="K62" s="237">
        <f t="shared" si="5"/>
        <v>0</v>
      </c>
      <c r="L62" s="237">
        <f t="shared" si="5"/>
        <v>0</v>
      </c>
      <c r="M62" s="237">
        <f t="shared" si="5"/>
        <v>0</v>
      </c>
      <c r="N62" s="237">
        <f t="shared" si="5"/>
        <v>0</v>
      </c>
      <c r="O62" s="237">
        <f t="shared" si="5"/>
        <v>0</v>
      </c>
      <c r="P62" s="238">
        <f t="shared" si="2"/>
        <v>2.5100000000000004E-2</v>
      </c>
      <c r="Q62" s="239">
        <f>+P62</f>
        <v>2.5100000000000004E-2</v>
      </c>
      <c r="R62" s="235">
        <f t="shared" si="3"/>
        <v>0</v>
      </c>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D58+D60+D62</f>
        <v>0</v>
      </c>
      <c r="E65" s="250">
        <f t="shared" ref="E65:O65" si="6">E58+E60+E62</f>
        <v>1.9950000000000002E-2</v>
      </c>
      <c r="F65" s="250">
        <f t="shared" si="6"/>
        <v>1.5050000000000003E-2</v>
      </c>
      <c r="G65" s="250">
        <f t="shared" si="6"/>
        <v>2.6638888880000003E-2</v>
      </c>
      <c r="H65" s="250">
        <f t="shared" si="6"/>
        <v>1.5050000000000003E-2</v>
      </c>
      <c r="I65" s="250">
        <f t="shared" si="6"/>
        <v>2.3350000000000003E-2</v>
      </c>
      <c r="J65" s="250">
        <f t="shared" si="6"/>
        <v>0</v>
      </c>
      <c r="K65" s="250">
        <f t="shared" si="6"/>
        <v>0</v>
      </c>
      <c r="L65" s="250">
        <f t="shared" si="6"/>
        <v>0</v>
      </c>
      <c r="M65" s="250">
        <f t="shared" si="6"/>
        <v>0</v>
      </c>
      <c r="N65" s="250">
        <f t="shared" si="6"/>
        <v>0</v>
      </c>
      <c r="O65" s="250">
        <f t="shared" si="6"/>
        <v>0</v>
      </c>
      <c r="P65" s="250">
        <f>P58+P60+P62</f>
        <v>0.10003888888000004</v>
      </c>
      <c r="Q65" s="228"/>
      <c r="R65" s="235">
        <f t="shared" si="3"/>
        <v>0.10003888888000004</v>
      </c>
      <c r="S65" s="229"/>
      <c r="T65" s="229"/>
      <c r="U65" s="229"/>
      <c r="V65" s="229"/>
      <c r="W65" s="229"/>
      <c r="X65" s="229"/>
      <c r="Y65" s="229"/>
      <c r="Z65" s="229"/>
      <c r="AA65" s="229"/>
      <c r="AB65" s="229"/>
      <c r="AC65" s="229"/>
      <c r="AD65" s="229"/>
    </row>
    <row r="66" spans="1:30" x14ac:dyDescent="0.25">
      <c r="A66" s="228"/>
      <c r="B66" s="251"/>
      <c r="C66" s="252" t="s">
        <v>72</v>
      </c>
      <c r="D66" s="253">
        <f>D65*$W$17/$B$34</f>
        <v>0</v>
      </c>
      <c r="E66" s="253">
        <f t="shared" ref="E66:O66" si="7">E65*$W$17/$B$34</f>
        <v>9.9750000000000005E-2</v>
      </c>
      <c r="F66" s="253">
        <f t="shared" si="7"/>
        <v>7.5250000000000011E-2</v>
      </c>
      <c r="G66" s="253">
        <f t="shared" si="7"/>
        <v>0.1331944444</v>
      </c>
      <c r="H66" s="253">
        <f t="shared" si="7"/>
        <v>7.5250000000000011E-2</v>
      </c>
      <c r="I66" s="253">
        <f t="shared" si="7"/>
        <v>0.11675000000000001</v>
      </c>
      <c r="J66" s="253">
        <f t="shared" si="7"/>
        <v>0</v>
      </c>
      <c r="K66" s="253">
        <f t="shared" si="7"/>
        <v>0</v>
      </c>
      <c r="L66" s="253">
        <f t="shared" si="7"/>
        <v>0</v>
      </c>
      <c r="M66" s="253">
        <f t="shared" si="7"/>
        <v>0</v>
      </c>
      <c r="N66" s="253">
        <f t="shared" si="7"/>
        <v>0</v>
      </c>
      <c r="O66" s="253">
        <f t="shared" si="7"/>
        <v>0</v>
      </c>
      <c r="P66" s="254">
        <f>SUM(D66:O66)</f>
        <v>0.50019444440000005</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 t="shared" ref="D68:P68" si="8">+D57+D59+D61</f>
        <v>0</v>
      </c>
      <c r="E68" s="250">
        <f t="shared" si="8"/>
        <v>1.9950000000000002E-2</v>
      </c>
      <c r="F68" s="250">
        <f t="shared" si="8"/>
        <v>1.5050000000000003E-2</v>
      </c>
      <c r="G68" s="250">
        <f t="shared" si="8"/>
        <v>2.3350000000000003E-2</v>
      </c>
      <c r="H68" s="250">
        <f t="shared" si="8"/>
        <v>1.5050000000000003E-2</v>
      </c>
      <c r="I68" s="250">
        <f t="shared" si="8"/>
        <v>2.3350000000000003E-2</v>
      </c>
      <c r="J68" s="250">
        <f t="shared" si="8"/>
        <v>1.5050000000000003E-2</v>
      </c>
      <c r="K68" s="250">
        <f t="shared" si="8"/>
        <v>2.3350000000000003E-2</v>
      </c>
      <c r="L68" s="250">
        <f t="shared" si="8"/>
        <v>1.5050000000000003E-2</v>
      </c>
      <c r="M68" s="250">
        <f t="shared" si="8"/>
        <v>2.3350000000000003E-2</v>
      </c>
      <c r="N68" s="250">
        <f t="shared" si="8"/>
        <v>1.4650000000000003E-2</v>
      </c>
      <c r="O68" s="250">
        <f t="shared" si="8"/>
        <v>1.1800000000000001E-2</v>
      </c>
      <c r="P68" s="250">
        <f t="shared" si="8"/>
        <v>0.20000000000000007</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9">D68*$W$17/$B$34</f>
        <v>0</v>
      </c>
      <c r="E69" s="253">
        <f t="shared" si="9"/>
        <v>9.9750000000000005E-2</v>
      </c>
      <c r="F69" s="253">
        <f t="shared" si="9"/>
        <v>7.5250000000000011E-2</v>
      </c>
      <c r="G69" s="253">
        <f t="shared" si="9"/>
        <v>0.11675000000000001</v>
      </c>
      <c r="H69" s="253">
        <f t="shared" si="9"/>
        <v>7.5250000000000011E-2</v>
      </c>
      <c r="I69" s="253">
        <f t="shared" si="9"/>
        <v>0.11675000000000001</v>
      </c>
      <c r="J69" s="253">
        <f t="shared" si="9"/>
        <v>7.5250000000000011E-2</v>
      </c>
      <c r="K69" s="253">
        <f t="shared" si="9"/>
        <v>0.11675000000000001</v>
      </c>
      <c r="L69" s="253">
        <f t="shared" si="9"/>
        <v>7.5250000000000011E-2</v>
      </c>
      <c r="M69" s="253">
        <f t="shared" si="9"/>
        <v>0.11675000000000001</v>
      </c>
      <c r="N69" s="253">
        <f t="shared" si="9"/>
        <v>7.325000000000001E-2</v>
      </c>
      <c r="O69" s="253">
        <f t="shared" si="9"/>
        <v>5.9000000000000004E-2</v>
      </c>
      <c r="P69" s="254">
        <f>SUM(D69:O69)</f>
        <v>1.0000000000000002</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sheetData>
  <mergeCells count="89">
    <mergeCell ref="A61:A62"/>
    <mergeCell ref="B61:B62"/>
    <mergeCell ref="A55:A56"/>
    <mergeCell ref="B55:B56"/>
    <mergeCell ref="C55:P55"/>
    <mergeCell ref="A57:A58"/>
    <mergeCell ref="B57:B58"/>
    <mergeCell ref="A59:A60"/>
    <mergeCell ref="B59:B60"/>
    <mergeCell ref="AA34:AD35"/>
    <mergeCell ref="Q42:AD43"/>
    <mergeCell ref="A38:A39"/>
    <mergeCell ref="B38:B39"/>
    <mergeCell ref="Q38:AD39"/>
    <mergeCell ref="A40:A41"/>
    <mergeCell ref="B40:B41"/>
    <mergeCell ref="Q40:AD41"/>
    <mergeCell ref="A42:A43"/>
    <mergeCell ref="B42:B43"/>
    <mergeCell ref="A34:A35"/>
    <mergeCell ref="B34:B35"/>
    <mergeCell ref="Q34:S35"/>
    <mergeCell ref="T34:V35"/>
    <mergeCell ref="W34:Z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M7:N7"/>
    <mergeCell ref="AA15:AD15"/>
    <mergeCell ref="O7:P7"/>
    <mergeCell ref="M8:N8"/>
    <mergeCell ref="O8:P8"/>
    <mergeCell ref="M9:N9"/>
    <mergeCell ref="O9:P9"/>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s>
  <dataValidations count="3">
    <dataValidation type="list" allowBlank="1" showInputMessage="1" showErrorMessage="1" sqref="C7:C9" xr:uid="{D749C4F0-EA4A-471E-BEBE-4C994C0E6589}">
      <formula1>$C$21:$N$21</formula1>
    </dataValidation>
    <dataValidation type="textLength" operator="lessThanOrEqual" allowBlank="1" showInputMessage="1" showErrorMessage="1" errorTitle="Máximo 2.000 caracteres" error="Máximo 2.000 caracteres" promptTitle="2.000 caracteres" sqref="Q30:AD30" xr:uid="{9EFC8495-C6E2-504B-9B00-1541B1E4A74A}">
      <formula1>2000</formula1>
    </dataValidation>
    <dataValidation type="textLength" operator="lessThanOrEqual" allowBlank="1" showInputMessage="1" showErrorMessage="1" errorTitle="Máximo 2.000 caracteres" error="Máximo 2.000 caracteres" sqref="AA34 Q34 W34 P46:AC47 Q38:AD43" xr:uid="{E390E226-0307-9046-BAA4-9AC9741F4FB0}">
      <formula1>2000</formula1>
    </dataValidation>
  </dataValidations>
  <pageMargins left="0.25" right="0.25" top="0.75" bottom="0.75" header="0.3" footer="0.3"/>
  <pageSetup scale="20"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BA77"/>
  <sheetViews>
    <sheetView showGridLines="0" topLeftCell="N32" zoomScale="60" zoomScaleNormal="60" workbookViewId="0">
      <selection activeCell="O34" sqref="O3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5.425781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43"/>
      <c r="B1" s="446"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8"/>
      <c r="AB1" s="449" t="s">
        <v>1</v>
      </c>
      <c r="AC1" s="450"/>
      <c r="AD1" s="451"/>
    </row>
    <row r="2" spans="1:53" ht="30.75" customHeight="1" thickBot="1" x14ac:dyDescent="0.3">
      <c r="A2" s="444"/>
      <c r="B2" s="446" t="s">
        <v>97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470" t="s">
        <v>3</v>
      </c>
      <c r="AC2" s="471"/>
      <c r="AD2" s="472"/>
    </row>
    <row r="3" spans="1:53" ht="24" customHeight="1" x14ac:dyDescent="0.25">
      <c r="A3" s="444"/>
      <c r="B3" s="473" t="s">
        <v>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470" t="s">
        <v>5</v>
      </c>
      <c r="AC3" s="471"/>
      <c r="AD3" s="472"/>
    </row>
    <row r="4" spans="1:53" ht="21.95" customHeight="1" thickBot="1" x14ac:dyDescent="0.3">
      <c r="A4" s="445"/>
      <c r="B4" s="476"/>
      <c r="C4" s="477"/>
      <c r="D4" s="477"/>
      <c r="E4" s="477"/>
      <c r="F4" s="477"/>
      <c r="G4" s="477"/>
      <c r="H4" s="477"/>
      <c r="I4" s="477"/>
      <c r="J4" s="477"/>
      <c r="K4" s="477"/>
      <c r="L4" s="477"/>
      <c r="M4" s="477"/>
      <c r="N4" s="477"/>
      <c r="O4" s="477"/>
      <c r="P4" s="477"/>
      <c r="Q4" s="477"/>
      <c r="R4" s="477"/>
      <c r="S4" s="477"/>
      <c r="T4" s="477"/>
      <c r="U4" s="477"/>
      <c r="V4" s="477"/>
      <c r="W4" s="477"/>
      <c r="X4" s="477"/>
      <c r="Y4" s="477"/>
      <c r="Z4" s="477"/>
      <c r="AA4" s="478"/>
      <c r="AB4" s="479" t="s">
        <v>6</v>
      </c>
      <c r="AC4" s="480"/>
      <c r="AD4" s="48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64" t="s">
        <v>7</v>
      </c>
      <c r="B7" s="465"/>
      <c r="C7" s="500" t="s">
        <v>8</v>
      </c>
      <c r="D7" s="464" t="s">
        <v>9</v>
      </c>
      <c r="E7" s="482"/>
      <c r="F7" s="482"/>
      <c r="G7" s="482"/>
      <c r="H7" s="465"/>
      <c r="I7" s="485">
        <v>45113</v>
      </c>
      <c r="J7" s="486"/>
      <c r="K7" s="464" t="s">
        <v>10</v>
      </c>
      <c r="L7" s="465"/>
      <c r="M7" s="456" t="s">
        <v>98</v>
      </c>
      <c r="N7" s="457"/>
      <c r="O7" s="458"/>
      <c r="P7" s="459"/>
      <c r="Q7" s="54"/>
      <c r="R7" s="54"/>
      <c r="S7" s="54"/>
      <c r="T7" s="54"/>
      <c r="U7" s="54"/>
      <c r="V7" s="54"/>
      <c r="W7" s="54"/>
      <c r="X7" s="54"/>
      <c r="Y7" s="54"/>
      <c r="Z7" s="55"/>
      <c r="AA7" s="54"/>
      <c r="AB7" s="54"/>
      <c r="AC7" s="60"/>
      <c r="AD7" s="61"/>
    </row>
    <row r="8" spans="1:53" ht="15" customHeight="1" x14ac:dyDescent="0.25">
      <c r="A8" s="466"/>
      <c r="B8" s="467"/>
      <c r="C8" s="501"/>
      <c r="D8" s="466"/>
      <c r="E8" s="483"/>
      <c r="F8" s="483"/>
      <c r="G8" s="483"/>
      <c r="H8" s="467"/>
      <c r="I8" s="487"/>
      <c r="J8" s="488"/>
      <c r="K8" s="466"/>
      <c r="L8" s="467"/>
      <c r="M8" s="460" t="s">
        <v>99</v>
      </c>
      <c r="N8" s="461"/>
      <c r="O8" s="816" t="s">
        <v>14</v>
      </c>
      <c r="P8" s="817"/>
      <c r="Q8" s="54"/>
      <c r="R8" s="54"/>
      <c r="S8" s="54"/>
      <c r="T8" s="54"/>
      <c r="U8" s="54"/>
      <c r="V8" s="54"/>
      <c r="W8" s="54"/>
      <c r="X8" s="54"/>
      <c r="Y8" s="54"/>
      <c r="Z8" s="55"/>
      <c r="AA8" s="54"/>
      <c r="AB8" s="54"/>
      <c r="AC8" s="60"/>
      <c r="AD8" s="61"/>
    </row>
    <row r="9" spans="1:53" ht="15.75" customHeight="1" x14ac:dyDescent="0.25">
      <c r="A9" s="468"/>
      <c r="B9" s="469"/>
      <c r="C9" s="502"/>
      <c r="D9" s="468"/>
      <c r="E9" s="484"/>
      <c r="F9" s="484"/>
      <c r="G9" s="484"/>
      <c r="H9" s="469"/>
      <c r="I9" s="489"/>
      <c r="J9" s="490"/>
      <c r="K9" s="468"/>
      <c r="L9" s="469"/>
      <c r="M9" s="452" t="s">
        <v>13</v>
      </c>
      <c r="N9" s="453"/>
      <c r="O9" s="454"/>
      <c r="P9" s="455"/>
      <c r="Q9" s="54"/>
      <c r="R9" s="54"/>
      <c r="S9" s="54"/>
      <c r="T9" s="54"/>
      <c r="U9" s="54"/>
      <c r="V9" s="54"/>
      <c r="W9" s="54"/>
      <c r="X9" s="54"/>
      <c r="Y9" s="54"/>
      <c r="Z9" s="55"/>
      <c r="AA9" s="54"/>
      <c r="AB9" s="54"/>
      <c r="AC9" s="60"/>
      <c r="AD9" s="61"/>
    </row>
    <row r="10" spans="1:53"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64" t="s">
        <v>15</v>
      </c>
      <c r="B11" s="465"/>
      <c r="C11" s="491" t="s">
        <v>16</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3"/>
      <c r="BA11" s="327"/>
    </row>
    <row r="12" spans="1:53" ht="15" customHeight="1" x14ac:dyDescent="0.25">
      <c r="A12" s="466"/>
      <c r="B12" s="467"/>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6"/>
      <c r="BA12" s="327"/>
    </row>
    <row r="13" spans="1:53" ht="15" customHeight="1" thickBot="1" x14ac:dyDescent="0.3">
      <c r="A13" s="468"/>
      <c r="B13" s="469"/>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9"/>
      <c r="BA13" s="327"/>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7"/>
    </row>
    <row r="15" spans="1:53" ht="39" customHeight="1" thickBot="1" x14ac:dyDescent="0.3">
      <c r="A15" s="528" t="s">
        <v>17</v>
      </c>
      <c r="B15" s="529"/>
      <c r="C15" s="538" t="s">
        <v>18</v>
      </c>
      <c r="D15" s="539"/>
      <c r="E15" s="539"/>
      <c r="F15" s="539"/>
      <c r="G15" s="539"/>
      <c r="H15" s="539"/>
      <c r="I15" s="539"/>
      <c r="J15" s="539"/>
      <c r="K15" s="540"/>
      <c r="L15" s="503" t="s">
        <v>19</v>
      </c>
      <c r="M15" s="504"/>
      <c r="N15" s="504"/>
      <c r="O15" s="504"/>
      <c r="P15" s="504"/>
      <c r="Q15" s="505"/>
      <c r="R15" s="533" t="s">
        <v>20</v>
      </c>
      <c r="S15" s="534"/>
      <c r="T15" s="534"/>
      <c r="U15" s="534"/>
      <c r="V15" s="534"/>
      <c r="W15" s="534"/>
      <c r="X15" s="535"/>
      <c r="Y15" s="503" t="s">
        <v>21</v>
      </c>
      <c r="Z15" s="505"/>
      <c r="AA15" s="524" t="s">
        <v>22</v>
      </c>
      <c r="AB15" s="525"/>
      <c r="AC15" s="525"/>
      <c r="AD15" s="526"/>
      <c r="BA15" s="327"/>
    </row>
    <row r="16" spans="1:53" ht="105" customHeight="1" thickBot="1" x14ac:dyDescent="0.3">
      <c r="A16" s="59"/>
      <c r="B16" s="54"/>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73"/>
      <c r="AD16" s="74"/>
      <c r="AX16" s="388" t="s">
        <v>23</v>
      </c>
      <c r="BA16" s="327"/>
    </row>
    <row r="17" spans="1:53" s="76" customFormat="1" ht="37.5" customHeight="1" thickBot="1" x14ac:dyDescent="0.3">
      <c r="A17" s="528" t="s">
        <v>24</v>
      </c>
      <c r="B17" s="529"/>
      <c r="C17" s="530" t="s">
        <v>153</v>
      </c>
      <c r="D17" s="531"/>
      <c r="E17" s="531"/>
      <c r="F17" s="531"/>
      <c r="G17" s="531"/>
      <c r="H17" s="531"/>
      <c r="I17" s="531"/>
      <c r="J17" s="531"/>
      <c r="K17" s="531"/>
      <c r="L17" s="531"/>
      <c r="M17" s="531"/>
      <c r="N17" s="531"/>
      <c r="O17" s="531"/>
      <c r="P17" s="531"/>
      <c r="Q17" s="532"/>
      <c r="R17" s="503" t="s">
        <v>26</v>
      </c>
      <c r="S17" s="504"/>
      <c r="T17" s="504"/>
      <c r="U17" s="504"/>
      <c r="V17" s="505"/>
      <c r="W17" s="691">
        <v>0.25</v>
      </c>
      <c r="X17" s="692"/>
      <c r="Y17" s="504" t="s">
        <v>27</v>
      </c>
      <c r="Z17" s="504"/>
      <c r="AA17" s="504"/>
      <c r="AB17" s="505"/>
      <c r="AC17" s="514">
        <v>0.15</v>
      </c>
      <c r="AD17" s="515"/>
      <c r="AX17" s="387"/>
      <c r="BA17" s="328"/>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7"/>
    </row>
    <row r="19" spans="1:53" ht="32.1" customHeight="1" thickBot="1" x14ac:dyDescent="0.3">
      <c r="A19" s="503" t="s">
        <v>28</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c r="BA19" s="327"/>
    </row>
    <row r="20" spans="1:53" ht="32.1" customHeight="1" thickBot="1" x14ac:dyDescent="0.3">
      <c r="A20" s="82"/>
      <c r="B20" s="60"/>
      <c r="C20" s="509" t="s">
        <v>29</v>
      </c>
      <c r="D20" s="510"/>
      <c r="E20" s="510"/>
      <c r="F20" s="510"/>
      <c r="G20" s="510"/>
      <c r="H20" s="510"/>
      <c r="I20" s="510"/>
      <c r="J20" s="510"/>
      <c r="K20" s="510"/>
      <c r="L20" s="510"/>
      <c r="M20" s="510"/>
      <c r="N20" s="510"/>
      <c r="O20" s="510"/>
      <c r="P20" s="511"/>
      <c r="Q20" s="506" t="s">
        <v>30</v>
      </c>
      <c r="R20" s="507"/>
      <c r="S20" s="507"/>
      <c r="T20" s="507"/>
      <c r="U20" s="507"/>
      <c r="V20" s="507"/>
      <c r="W20" s="507"/>
      <c r="X20" s="507"/>
      <c r="Y20" s="507"/>
      <c r="Z20" s="507"/>
      <c r="AA20" s="507"/>
      <c r="AB20" s="507"/>
      <c r="AC20" s="507"/>
      <c r="AD20" s="508"/>
      <c r="AE20" s="83"/>
      <c r="AF20" s="83"/>
      <c r="BA20" s="327"/>
    </row>
    <row r="21" spans="1:53" ht="32.1" customHeight="1" thickBot="1" x14ac:dyDescent="0.3">
      <c r="A21" s="59"/>
      <c r="B21" s="54"/>
      <c r="C21" s="353" t="s">
        <v>31</v>
      </c>
      <c r="D21" s="352" t="s">
        <v>32</v>
      </c>
      <c r="E21" s="352" t="s">
        <v>33</v>
      </c>
      <c r="F21" s="352" t="s">
        <v>34</v>
      </c>
      <c r="G21" s="352" t="s">
        <v>35</v>
      </c>
      <c r="H21" s="352" t="s">
        <v>8</v>
      </c>
      <c r="I21" s="352" t="s">
        <v>36</v>
      </c>
      <c r="J21" s="352" t="s">
        <v>37</v>
      </c>
      <c r="K21" s="352" t="s">
        <v>38</v>
      </c>
      <c r="L21" s="352" t="s">
        <v>39</v>
      </c>
      <c r="M21" s="352" t="s">
        <v>40</v>
      </c>
      <c r="N21" s="352" t="s">
        <v>41</v>
      </c>
      <c r="O21" s="352" t="s">
        <v>42</v>
      </c>
      <c r="P21" s="354" t="s">
        <v>43</v>
      </c>
      <c r="Q21" s="353" t="s">
        <v>31</v>
      </c>
      <c r="R21" s="352" t="s">
        <v>32</v>
      </c>
      <c r="S21" s="352" t="s">
        <v>33</v>
      </c>
      <c r="T21" s="352" t="s">
        <v>34</v>
      </c>
      <c r="U21" s="352" t="s">
        <v>35</v>
      </c>
      <c r="V21" s="352" t="s">
        <v>8</v>
      </c>
      <c r="W21" s="352" t="s">
        <v>36</v>
      </c>
      <c r="X21" s="352" t="s">
        <v>37</v>
      </c>
      <c r="Y21" s="352" t="s">
        <v>38</v>
      </c>
      <c r="Z21" s="352" t="s">
        <v>39</v>
      </c>
      <c r="AA21" s="352" t="s">
        <v>40</v>
      </c>
      <c r="AB21" s="352" t="s">
        <v>41</v>
      </c>
      <c r="AC21" s="352" t="s">
        <v>42</v>
      </c>
      <c r="AD21" s="354" t="s">
        <v>43</v>
      </c>
      <c r="AE21" s="3"/>
      <c r="AF21" s="3"/>
      <c r="BA21" s="327"/>
    </row>
    <row r="22" spans="1:53" ht="32.1" customHeight="1" x14ac:dyDescent="0.25">
      <c r="A22" s="512" t="s">
        <v>101</v>
      </c>
      <c r="B22" s="513"/>
      <c r="C22" s="355"/>
      <c r="D22" s="356"/>
      <c r="E22" s="356"/>
      <c r="F22" s="356"/>
      <c r="G22" s="356"/>
      <c r="H22" s="356"/>
      <c r="I22" s="356"/>
      <c r="J22" s="356"/>
      <c r="K22" s="356"/>
      <c r="L22" s="356"/>
      <c r="M22" s="356"/>
      <c r="N22" s="356"/>
      <c r="O22" s="356">
        <f>SUM(C22:N22)</f>
        <v>0</v>
      </c>
      <c r="P22" s="431"/>
      <c r="Q22" s="361">
        <f>1263646230+1878332432</f>
        <v>3141978662</v>
      </c>
      <c r="R22" s="356"/>
      <c r="S22" s="356">
        <v>19186925</v>
      </c>
      <c r="T22" s="356">
        <f>35000000+21559511</f>
        <v>56559511</v>
      </c>
      <c r="U22" s="356"/>
      <c r="V22" s="356">
        <f>2139476+34249272+145372262</f>
        <v>181761010</v>
      </c>
      <c r="W22" s="356"/>
      <c r="X22" s="356"/>
      <c r="Y22" s="356"/>
      <c r="Z22" s="356"/>
      <c r="AA22" s="356"/>
      <c r="AB22" s="356"/>
      <c r="AC22" s="429">
        <f>SUM(Q22:AB22)</f>
        <v>3399486108</v>
      </c>
      <c r="AD22" s="357"/>
      <c r="AE22" s="3"/>
      <c r="AF22" s="442" t="s">
        <v>116</v>
      </c>
      <c r="AG22" s="442"/>
      <c r="AH22" s="442"/>
      <c r="AI22" s="442"/>
      <c r="AJ22" s="442"/>
      <c r="AK22" s="442"/>
      <c r="AL22" s="442"/>
      <c r="AM22" s="442"/>
    </row>
    <row r="23" spans="1:53" ht="32.1" customHeight="1" x14ac:dyDescent="0.25">
      <c r="A23" s="520" t="s">
        <v>47</v>
      </c>
      <c r="B23" s="521"/>
      <c r="C23" s="175"/>
      <c r="D23" s="174"/>
      <c r="E23" s="174"/>
      <c r="F23" s="174"/>
      <c r="G23" s="174"/>
      <c r="H23" s="174"/>
      <c r="I23" s="174"/>
      <c r="J23" s="174"/>
      <c r="K23" s="174"/>
      <c r="L23" s="174"/>
      <c r="M23" s="174"/>
      <c r="N23" s="174"/>
      <c r="O23" s="174">
        <f>SUM(C23:N23)</f>
        <v>0</v>
      </c>
      <c r="P23" s="432"/>
      <c r="Q23" s="359">
        <v>2221744061</v>
      </c>
      <c r="R23" s="174">
        <v>815510484</v>
      </c>
      <c r="S23" s="174">
        <v>52163827</v>
      </c>
      <c r="T23" s="174">
        <v>-22425420</v>
      </c>
      <c r="U23" s="174">
        <v>169528095</v>
      </c>
      <c r="V23" s="174">
        <v>20743874</v>
      </c>
      <c r="W23" s="174"/>
      <c r="X23" s="174"/>
      <c r="Y23" s="174"/>
      <c r="Z23" s="174"/>
      <c r="AA23" s="174"/>
      <c r="AB23" s="174"/>
      <c r="AC23" s="430">
        <f>SUM(Q23:AB23)</f>
        <v>3257264921</v>
      </c>
      <c r="AD23" s="182">
        <f>+AC23/AC22</f>
        <v>0.95816391581500759</v>
      </c>
      <c r="AE23" s="3"/>
      <c r="AF23" s="442"/>
      <c r="AG23" s="442"/>
      <c r="AH23" s="442"/>
      <c r="AI23" s="442"/>
      <c r="AJ23" s="442"/>
      <c r="AK23" s="442"/>
      <c r="AL23" s="442"/>
      <c r="AM23" s="442"/>
    </row>
    <row r="24" spans="1:53" ht="32.1" customHeight="1" x14ac:dyDescent="0.25">
      <c r="A24" s="520" t="s">
        <v>103</v>
      </c>
      <c r="B24" s="521"/>
      <c r="C24" s="175">
        <f>25110242+1804188+19304540</f>
        <v>46218970</v>
      </c>
      <c r="D24" s="174">
        <f>1749515+3375000+3750000+461422+713790+309000+4326000+713790+772500+772500+432600+4800000+475860+4505045</f>
        <v>27157022</v>
      </c>
      <c r="E24" s="174">
        <v>4956875</v>
      </c>
      <c r="F24" s="174">
        <v>5038625</v>
      </c>
      <c r="G24" s="174"/>
      <c r="H24" s="174"/>
      <c r="I24" s="174"/>
      <c r="J24" s="174"/>
      <c r="K24" s="174"/>
      <c r="L24" s="174"/>
      <c r="M24" s="174"/>
      <c r="N24" s="174"/>
      <c r="O24" s="213">
        <f>SUM(C24:N24)</f>
        <v>83371492</v>
      </c>
      <c r="P24" s="360"/>
      <c r="Q24" s="359"/>
      <c r="R24" s="174">
        <f>54487730+166276438</f>
        <v>220764168</v>
      </c>
      <c r="S24" s="174">
        <f>109923500+166276438</f>
        <v>276199938</v>
      </c>
      <c r="T24" s="174">
        <f>109923500+1918693+166276438</f>
        <v>278118631</v>
      </c>
      <c r="U24" s="174">
        <f>109923500+1918693+3888889+21559511+166276438</f>
        <v>303567031</v>
      </c>
      <c r="V24" s="174">
        <f>109923500+1918693+3888889+166276438+145372262</f>
        <v>427379782</v>
      </c>
      <c r="W24" s="174">
        <f>109923500+1918693+2139476+3888889+11416424+166276438</f>
        <v>295563420</v>
      </c>
      <c r="X24" s="174">
        <f>109923500+1918693+3888889+166276438</f>
        <v>282007520</v>
      </c>
      <c r="Y24" s="174">
        <f>109923500+1918692+3888889+11416424+166276438</f>
        <v>293423943</v>
      </c>
      <c r="Z24" s="174">
        <f>109923500+1918692+3888889+166276438</f>
        <v>282007519</v>
      </c>
      <c r="AA24" s="174">
        <f>109923500+1918692+3888889+11416424+166276438</f>
        <v>293423943</v>
      </c>
      <c r="AB24" s="174">
        <f>219847000+3837384+7777777+215568052</f>
        <v>447030213</v>
      </c>
      <c r="AC24" s="213">
        <f>SUM(Q24:AB24)</f>
        <v>3399486108</v>
      </c>
      <c r="AD24" s="182"/>
      <c r="AE24" s="3"/>
      <c r="AF24" s="442"/>
      <c r="AG24" s="442"/>
      <c r="AH24" s="442"/>
      <c r="AI24" s="442"/>
      <c r="AJ24" s="442"/>
      <c r="AK24" s="442"/>
      <c r="AL24" s="442"/>
      <c r="AM24" s="442"/>
    </row>
    <row r="25" spans="1:53" ht="32.1" customHeight="1" thickBot="1" x14ac:dyDescent="0.3">
      <c r="A25" s="522" t="s">
        <v>50</v>
      </c>
      <c r="B25" s="523"/>
      <c r="C25" s="358">
        <v>14684229</v>
      </c>
      <c r="D25" s="176">
        <v>31987652</v>
      </c>
      <c r="E25" s="176">
        <v>22040035</v>
      </c>
      <c r="F25" s="176">
        <v>10889552</v>
      </c>
      <c r="G25" s="176">
        <v>1</v>
      </c>
      <c r="H25" s="176">
        <v>384894</v>
      </c>
      <c r="I25" s="176"/>
      <c r="J25" s="176"/>
      <c r="K25" s="176"/>
      <c r="L25" s="176"/>
      <c r="M25" s="176"/>
      <c r="N25" s="176"/>
      <c r="O25" s="176">
        <f>SUM(C25:N25)</f>
        <v>79986363</v>
      </c>
      <c r="P25" s="183">
        <f>+O25/O24</f>
        <v>0.95939704425584704</v>
      </c>
      <c r="Q25" s="362" t="s">
        <v>154</v>
      </c>
      <c r="R25" s="176">
        <v>172882318</v>
      </c>
      <c r="S25" s="176">
        <v>221760191</v>
      </c>
      <c r="T25" s="176">
        <v>267642475</v>
      </c>
      <c r="U25" s="176">
        <v>360292355</v>
      </c>
      <c r="V25" s="176">
        <v>306598664</v>
      </c>
      <c r="W25" s="176"/>
      <c r="X25" s="176"/>
      <c r="Y25" s="176"/>
      <c r="Z25" s="176"/>
      <c r="AA25" s="176"/>
      <c r="AB25" s="176"/>
      <c r="AC25" s="176">
        <f>SUM(Q25:AB25)</f>
        <v>1329176003</v>
      </c>
      <c r="AD25" s="183">
        <f>+AC25/AC23</f>
        <v>0.40806505925589098</v>
      </c>
      <c r="AE25" s="3"/>
      <c r="AF25" s="442"/>
      <c r="AG25" s="442"/>
      <c r="AH25" s="442"/>
      <c r="AI25" s="442"/>
      <c r="AJ25" s="442"/>
      <c r="AK25" s="442"/>
      <c r="AL25" s="442"/>
      <c r="AM25" s="44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516" t="s">
        <v>53</v>
      </c>
      <c r="B27" s="517"/>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row>
    <row r="28" spans="1:53" ht="15" customHeight="1" x14ac:dyDescent="0.25">
      <c r="A28" s="541" t="s">
        <v>54</v>
      </c>
      <c r="B28" s="543" t="s">
        <v>55</v>
      </c>
      <c r="C28" s="544"/>
      <c r="D28" s="521" t="s">
        <v>56</v>
      </c>
      <c r="E28" s="547"/>
      <c r="F28" s="547"/>
      <c r="G28" s="547"/>
      <c r="H28" s="547"/>
      <c r="I28" s="547"/>
      <c r="J28" s="547"/>
      <c r="K28" s="547"/>
      <c r="L28" s="547"/>
      <c r="M28" s="547"/>
      <c r="N28" s="547"/>
      <c r="O28" s="548"/>
      <c r="P28" s="549" t="s">
        <v>42</v>
      </c>
      <c r="Q28" s="549" t="s">
        <v>57</v>
      </c>
      <c r="R28" s="549"/>
      <c r="S28" s="549"/>
      <c r="T28" s="549"/>
      <c r="U28" s="549"/>
      <c r="V28" s="549"/>
      <c r="W28" s="549"/>
      <c r="X28" s="549"/>
      <c r="Y28" s="549"/>
      <c r="Z28" s="549"/>
      <c r="AA28" s="549"/>
      <c r="AB28" s="549"/>
      <c r="AC28" s="549"/>
      <c r="AD28" s="550"/>
    </row>
    <row r="29" spans="1:53" ht="27" customHeight="1" x14ac:dyDescent="0.25">
      <c r="A29" s="542"/>
      <c r="B29" s="545"/>
      <c r="C29" s="546"/>
      <c r="D29" s="88" t="s">
        <v>31</v>
      </c>
      <c r="E29" s="88" t="s">
        <v>32</v>
      </c>
      <c r="F29" s="88" t="s">
        <v>33</v>
      </c>
      <c r="G29" s="88" t="s">
        <v>34</v>
      </c>
      <c r="H29" s="88" t="s">
        <v>35</v>
      </c>
      <c r="I29" s="88" t="s">
        <v>8</v>
      </c>
      <c r="J29" s="88" t="s">
        <v>36</v>
      </c>
      <c r="K29" s="88" t="s">
        <v>37</v>
      </c>
      <c r="L29" s="88" t="s">
        <v>38</v>
      </c>
      <c r="M29" s="88" t="s">
        <v>39</v>
      </c>
      <c r="N29" s="88" t="s">
        <v>40</v>
      </c>
      <c r="O29" s="88" t="s">
        <v>41</v>
      </c>
      <c r="P29" s="548"/>
      <c r="Q29" s="549"/>
      <c r="R29" s="549"/>
      <c r="S29" s="549"/>
      <c r="T29" s="549"/>
      <c r="U29" s="549"/>
      <c r="V29" s="549"/>
      <c r="W29" s="549"/>
      <c r="X29" s="549"/>
      <c r="Y29" s="549"/>
      <c r="Z29" s="549"/>
      <c r="AA29" s="549"/>
      <c r="AB29" s="549"/>
      <c r="AC29" s="549"/>
      <c r="AD29" s="550"/>
    </row>
    <row r="30" spans="1:53" ht="68.25" customHeight="1" x14ac:dyDescent="0.25">
      <c r="A30" s="85" t="s">
        <v>155</v>
      </c>
      <c r="B30" s="551"/>
      <c r="C30" s="552"/>
      <c r="D30" s="89">
        <v>112</v>
      </c>
      <c r="E30" s="89"/>
      <c r="F30" s="89"/>
      <c r="G30" s="89"/>
      <c r="H30" s="89"/>
      <c r="I30" s="89"/>
      <c r="J30" s="89"/>
      <c r="K30" s="89"/>
      <c r="L30" s="89"/>
      <c r="M30" s="89"/>
      <c r="N30" s="89"/>
      <c r="O30" s="89"/>
      <c r="P30" s="86">
        <f>SUM(D30:O30)</f>
        <v>112</v>
      </c>
      <c r="Q30" s="553"/>
      <c r="R30" s="553"/>
      <c r="S30" s="553"/>
      <c r="T30" s="553"/>
      <c r="U30" s="553"/>
      <c r="V30" s="553"/>
      <c r="W30" s="553"/>
      <c r="X30" s="553"/>
      <c r="Y30" s="553"/>
      <c r="Z30" s="553"/>
      <c r="AA30" s="553"/>
      <c r="AB30" s="553"/>
      <c r="AC30" s="553"/>
      <c r="AD30" s="554"/>
    </row>
    <row r="31" spans="1:53" ht="45" customHeight="1" thickBot="1" x14ac:dyDescent="0.3">
      <c r="A31" s="555" t="s">
        <v>59</v>
      </c>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7"/>
    </row>
    <row r="32" spans="1:53" ht="23.1" customHeight="1" x14ac:dyDescent="0.25">
      <c r="A32" s="512" t="s">
        <v>60</v>
      </c>
      <c r="B32" s="558" t="s">
        <v>61</v>
      </c>
      <c r="C32" s="559" t="s">
        <v>55</v>
      </c>
      <c r="D32" s="512" t="s">
        <v>62</v>
      </c>
      <c r="E32" s="558"/>
      <c r="F32" s="558"/>
      <c r="G32" s="558"/>
      <c r="H32" s="558"/>
      <c r="I32" s="558"/>
      <c r="J32" s="558"/>
      <c r="K32" s="558"/>
      <c r="L32" s="558"/>
      <c r="M32" s="558"/>
      <c r="N32" s="558"/>
      <c r="O32" s="558"/>
      <c r="P32" s="559"/>
      <c r="Q32" s="561" t="s">
        <v>63</v>
      </c>
      <c r="R32" s="558"/>
      <c r="S32" s="558"/>
      <c r="T32" s="558"/>
      <c r="U32" s="558"/>
      <c r="V32" s="558"/>
      <c r="W32" s="558"/>
      <c r="X32" s="558"/>
      <c r="Y32" s="558"/>
      <c r="Z32" s="558"/>
      <c r="AA32" s="558"/>
      <c r="AB32" s="558"/>
      <c r="AC32" s="558"/>
      <c r="AD32" s="559"/>
      <c r="AG32" s="87"/>
      <c r="AH32" s="87"/>
      <c r="AI32" s="87"/>
      <c r="AJ32" s="87"/>
      <c r="AK32" s="87"/>
      <c r="AL32" s="87"/>
      <c r="AM32" s="87"/>
      <c r="AN32" s="87"/>
      <c r="AO32" s="87"/>
    </row>
    <row r="33" spans="1:41" ht="27" customHeight="1" x14ac:dyDescent="0.25">
      <c r="A33" s="520"/>
      <c r="B33" s="549"/>
      <c r="C33" s="560"/>
      <c r="D33" s="222" t="s">
        <v>31</v>
      </c>
      <c r="E33" s="265" t="s">
        <v>32</v>
      </c>
      <c r="F33" s="265" t="s">
        <v>33</v>
      </c>
      <c r="G33" s="265" t="s">
        <v>34</v>
      </c>
      <c r="H33" s="265" t="s">
        <v>35</v>
      </c>
      <c r="I33" s="265" t="s">
        <v>8</v>
      </c>
      <c r="J33" s="265" t="s">
        <v>36</v>
      </c>
      <c r="K33" s="265" t="s">
        <v>37</v>
      </c>
      <c r="L33" s="265" t="s">
        <v>38</v>
      </c>
      <c r="M33" s="265" t="s">
        <v>39</v>
      </c>
      <c r="N33" s="265" t="s">
        <v>40</v>
      </c>
      <c r="O33" s="265" t="s">
        <v>41</v>
      </c>
      <c r="P33" s="266" t="s">
        <v>42</v>
      </c>
      <c r="Q33" s="548" t="s">
        <v>64</v>
      </c>
      <c r="R33" s="549"/>
      <c r="S33" s="549"/>
      <c r="T33" s="549" t="s">
        <v>65</v>
      </c>
      <c r="U33" s="549"/>
      <c r="V33" s="549"/>
      <c r="W33" s="549" t="s">
        <v>106</v>
      </c>
      <c r="X33" s="549"/>
      <c r="Y33" s="549"/>
      <c r="Z33" s="549"/>
      <c r="AA33" s="549" t="s">
        <v>67</v>
      </c>
      <c r="AB33" s="549"/>
      <c r="AC33" s="549"/>
      <c r="AD33" s="550"/>
      <c r="AG33" s="87"/>
      <c r="AH33" s="87"/>
      <c r="AI33" s="87"/>
      <c r="AJ33" s="87"/>
      <c r="AK33" s="87"/>
      <c r="AL33" s="87"/>
      <c r="AM33" s="87"/>
      <c r="AN33" s="87"/>
      <c r="AO33" s="87"/>
    </row>
    <row r="34" spans="1:41" ht="105" customHeight="1" x14ac:dyDescent="0.25">
      <c r="A34" s="564" t="s">
        <v>155</v>
      </c>
      <c r="B34" s="565">
        <v>0.15</v>
      </c>
      <c r="C34" s="276" t="s">
        <v>68</v>
      </c>
      <c r="D34" s="277">
        <f>D69</f>
        <v>2.1762103731630403E-2</v>
      </c>
      <c r="E34" s="272">
        <f t="shared" ref="E34:O34" si="0">E69</f>
        <v>2.1762103731630403E-2</v>
      </c>
      <c r="F34" s="272">
        <f t="shared" si="0"/>
        <v>2.1175335050377265E-2</v>
      </c>
      <c r="G34" s="272">
        <f t="shared" si="0"/>
        <v>2.1175335050377265E-2</v>
      </c>
      <c r="H34" s="272">
        <f t="shared" si="0"/>
        <v>2.1175335050377265E-2</v>
      </c>
      <c r="I34" s="272">
        <f t="shared" si="0"/>
        <v>2.1175335050377265E-2</v>
      </c>
      <c r="J34" s="272">
        <f t="shared" si="0"/>
        <v>2.1175335050377265E-2</v>
      </c>
      <c r="K34" s="272">
        <f t="shared" si="0"/>
        <v>2.1175335050377265E-2</v>
      </c>
      <c r="L34" s="272">
        <f t="shared" si="0"/>
        <v>2.1175335050377265E-2</v>
      </c>
      <c r="M34" s="272">
        <f t="shared" si="0"/>
        <v>2.1175335050377265E-2</v>
      </c>
      <c r="N34" s="272">
        <f t="shared" si="0"/>
        <v>2.1175335050377265E-2</v>
      </c>
      <c r="O34" s="272">
        <f t="shared" si="0"/>
        <v>1.5897777083343837E-2</v>
      </c>
      <c r="P34" s="267">
        <f>SUM(D34:O34)</f>
        <v>0.25000000000000011</v>
      </c>
      <c r="Q34" s="800" t="s">
        <v>156</v>
      </c>
      <c r="R34" s="801"/>
      <c r="S34" s="801"/>
      <c r="T34" s="801" t="s">
        <v>556</v>
      </c>
      <c r="U34" s="801"/>
      <c r="V34" s="801"/>
      <c r="W34" s="569" t="s">
        <v>573</v>
      </c>
      <c r="X34" s="570"/>
      <c r="Y34" s="570"/>
      <c r="Z34" s="575"/>
      <c r="AA34" s="812" t="s">
        <v>157</v>
      </c>
      <c r="AB34" s="812"/>
      <c r="AC34" s="812"/>
      <c r="AD34" s="813"/>
      <c r="AE34" s="50" t="s">
        <v>158</v>
      </c>
      <c r="AG34" s="87"/>
      <c r="AH34" s="87"/>
      <c r="AI34" s="87"/>
      <c r="AJ34" s="87"/>
      <c r="AK34" s="87"/>
      <c r="AL34" s="87"/>
      <c r="AM34" s="87"/>
      <c r="AN34" s="87"/>
      <c r="AO34" s="87"/>
    </row>
    <row r="35" spans="1:41" ht="105" customHeight="1" x14ac:dyDescent="0.25">
      <c r="A35" s="476"/>
      <c r="B35" s="477"/>
      <c r="C35" s="270" t="s">
        <v>72</v>
      </c>
      <c r="D35" s="258">
        <f>D66</f>
        <v>2.1762103731630403E-2</v>
      </c>
      <c r="E35" s="259">
        <f t="shared" ref="E35:O35" si="1">E66</f>
        <v>2.1762103731630403E-2</v>
      </c>
      <c r="F35" s="259">
        <f t="shared" si="1"/>
        <v>2.1175335050377265E-2</v>
      </c>
      <c r="G35" s="259">
        <f t="shared" si="1"/>
        <v>2.1175335050377265E-2</v>
      </c>
      <c r="H35" s="259">
        <f t="shared" si="1"/>
        <v>2.1175335050377265E-2</v>
      </c>
      <c r="I35" s="259">
        <f t="shared" si="1"/>
        <v>2.1762103731630403E-2</v>
      </c>
      <c r="J35" s="259">
        <f t="shared" si="1"/>
        <v>0</v>
      </c>
      <c r="K35" s="259">
        <f t="shared" si="1"/>
        <v>0</v>
      </c>
      <c r="L35" s="259">
        <f t="shared" si="1"/>
        <v>0</v>
      </c>
      <c r="M35" s="259">
        <f t="shared" si="1"/>
        <v>0</v>
      </c>
      <c r="N35" s="259">
        <f t="shared" si="1"/>
        <v>0</v>
      </c>
      <c r="O35" s="259">
        <f t="shared" si="1"/>
        <v>0</v>
      </c>
      <c r="P35" s="268">
        <f>SUM(D35:O35)</f>
        <v>0.128812316346023</v>
      </c>
      <c r="Q35" s="802"/>
      <c r="R35" s="803"/>
      <c r="S35" s="803"/>
      <c r="T35" s="803"/>
      <c r="U35" s="803"/>
      <c r="V35" s="803"/>
      <c r="W35" s="572"/>
      <c r="X35" s="573"/>
      <c r="Y35" s="573"/>
      <c r="Z35" s="576"/>
      <c r="AA35" s="814"/>
      <c r="AB35" s="814"/>
      <c r="AC35" s="814"/>
      <c r="AD35" s="815"/>
      <c r="AE35" s="49"/>
      <c r="AG35" s="87"/>
      <c r="AH35" s="87"/>
      <c r="AI35" s="87"/>
      <c r="AJ35" s="87"/>
      <c r="AK35" s="87"/>
      <c r="AL35" s="87"/>
      <c r="AM35" s="87"/>
      <c r="AN35" s="87"/>
      <c r="AO35" s="87"/>
    </row>
    <row r="36" spans="1:41" ht="26.1" customHeight="1" x14ac:dyDescent="0.25">
      <c r="A36" s="512" t="s">
        <v>73</v>
      </c>
      <c r="B36" s="558" t="s">
        <v>74</v>
      </c>
      <c r="C36" s="561" t="s">
        <v>75</v>
      </c>
      <c r="D36" s="558"/>
      <c r="E36" s="558"/>
      <c r="F36" s="558"/>
      <c r="G36" s="558"/>
      <c r="H36" s="558"/>
      <c r="I36" s="558"/>
      <c r="J36" s="558"/>
      <c r="K36" s="558"/>
      <c r="L36" s="558"/>
      <c r="M36" s="558"/>
      <c r="N36" s="558"/>
      <c r="O36" s="558"/>
      <c r="P36" s="559"/>
      <c r="Q36" s="594" t="s">
        <v>76</v>
      </c>
      <c r="R36" s="595"/>
      <c r="S36" s="595"/>
      <c r="T36" s="595"/>
      <c r="U36" s="595"/>
      <c r="V36" s="595"/>
      <c r="W36" s="595"/>
      <c r="X36" s="595"/>
      <c r="Y36" s="595"/>
      <c r="Z36" s="595"/>
      <c r="AA36" s="595"/>
      <c r="AB36" s="595"/>
      <c r="AC36" s="595"/>
      <c r="AD36" s="596"/>
      <c r="AG36" s="87"/>
      <c r="AH36" s="87"/>
      <c r="AI36" s="87"/>
      <c r="AJ36" s="87"/>
      <c r="AK36" s="87"/>
      <c r="AL36" s="87"/>
      <c r="AM36" s="87"/>
      <c r="AN36" s="87"/>
      <c r="AO36" s="87"/>
    </row>
    <row r="37" spans="1:41" ht="26.1" customHeight="1" thickBot="1" x14ac:dyDescent="0.3">
      <c r="A37" s="681"/>
      <c r="B37" s="688"/>
      <c r="C37" s="348" t="s">
        <v>77</v>
      </c>
      <c r="D37" s="351" t="s">
        <v>78</v>
      </c>
      <c r="E37" s="351" t="s">
        <v>79</v>
      </c>
      <c r="F37" s="351" t="s">
        <v>80</v>
      </c>
      <c r="G37" s="351" t="s">
        <v>81</v>
      </c>
      <c r="H37" s="351" t="s">
        <v>82</v>
      </c>
      <c r="I37" s="351" t="s">
        <v>83</v>
      </c>
      <c r="J37" s="351" t="s">
        <v>84</v>
      </c>
      <c r="K37" s="351" t="s">
        <v>85</v>
      </c>
      <c r="L37" s="351" t="s">
        <v>86</v>
      </c>
      <c r="M37" s="351" t="s">
        <v>87</v>
      </c>
      <c r="N37" s="351" t="s">
        <v>88</v>
      </c>
      <c r="O37" s="351" t="s">
        <v>89</v>
      </c>
      <c r="P37" s="363" t="s">
        <v>90</v>
      </c>
      <c r="Q37" s="541" t="s">
        <v>91</v>
      </c>
      <c r="R37" s="807"/>
      <c r="S37" s="807"/>
      <c r="T37" s="807"/>
      <c r="U37" s="807"/>
      <c r="V37" s="807"/>
      <c r="W37" s="807"/>
      <c r="X37" s="807"/>
      <c r="Y37" s="807"/>
      <c r="Z37" s="807"/>
      <c r="AA37" s="807"/>
      <c r="AB37" s="807"/>
      <c r="AC37" s="807"/>
      <c r="AD37" s="808"/>
      <c r="AG37" s="94"/>
      <c r="AH37" s="94"/>
      <c r="AI37" s="94"/>
      <c r="AJ37" s="94"/>
      <c r="AK37" s="94"/>
      <c r="AL37" s="94"/>
      <c r="AM37" s="94"/>
      <c r="AN37" s="94"/>
      <c r="AO37" s="94"/>
    </row>
    <row r="38" spans="1:41" ht="48.75" customHeight="1" x14ac:dyDescent="0.25">
      <c r="A38" s="809" t="s">
        <v>159</v>
      </c>
      <c r="B38" s="669">
        <v>0.1</v>
      </c>
      <c r="C38" s="371" t="s">
        <v>68</v>
      </c>
      <c r="D38" s="365">
        <v>0.09</v>
      </c>
      <c r="E38" s="365">
        <v>0.09</v>
      </c>
      <c r="F38" s="367">
        <v>8.5000000000000006E-2</v>
      </c>
      <c r="G38" s="367">
        <v>8.5000000000000006E-2</v>
      </c>
      <c r="H38" s="367">
        <v>8.5000000000000006E-2</v>
      </c>
      <c r="I38" s="367">
        <v>8.5000000000000006E-2</v>
      </c>
      <c r="J38" s="367">
        <v>8.5000000000000006E-2</v>
      </c>
      <c r="K38" s="367">
        <v>8.5000000000000006E-2</v>
      </c>
      <c r="L38" s="367">
        <v>8.5000000000000006E-2</v>
      </c>
      <c r="M38" s="367">
        <v>8.5000000000000006E-2</v>
      </c>
      <c r="N38" s="367">
        <v>8.5000000000000006E-2</v>
      </c>
      <c r="O38" s="367">
        <v>0.05</v>
      </c>
      <c r="P38" s="368">
        <f>SUM(D38:O38)</f>
        <v>0.99499999999999988</v>
      </c>
      <c r="Q38" s="811" t="s">
        <v>581</v>
      </c>
      <c r="R38" s="702"/>
      <c r="S38" s="702"/>
      <c r="T38" s="702"/>
      <c r="U38" s="702"/>
      <c r="V38" s="702"/>
      <c r="W38" s="702"/>
      <c r="X38" s="702"/>
      <c r="Y38" s="702"/>
      <c r="Z38" s="702"/>
      <c r="AA38" s="702"/>
      <c r="AB38" s="702"/>
      <c r="AC38" s="702"/>
      <c r="AD38" s="703"/>
      <c r="AE38" s="97"/>
      <c r="AG38" s="98"/>
      <c r="AH38" s="98"/>
      <c r="AI38" s="98"/>
      <c r="AJ38" s="98"/>
      <c r="AK38" s="98"/>
      <c r="AL38" s="98"/>
      <c r="AM38" s="98"/>
      <c r="AN38" s="98"/>
      <c r="AO38" s="98"/>
    </row>
    <row r="39" spans="1:41" ht="48.75" customHeight="1" x14ac:dyDescent="0.25">
      <c r="A39" s="810"/>
      <c r="B39" s="602"/>
      <c r="C39" s="225" t="s">
        <v>72</v>
      </c>
      <c r="D39" s="283">
        <v>0.09</v>
      </c>
      <c r="E39" s="283">
        <v>0.09</v>
      </c>
      <c r="F39" s="283">
        <v>8.5000000000000006E-2</v>
      </c>
      <c r="G39" s="283">
        <v>8.5000000000000006E-2</v>
      </c>
      <c r="H39" s="283">
        <v>8.5000000000000006E-2</v>
      </c>
      <c r="I39" s="411">
        <v>0.09</v>
      </c>
      <c r="J39" s="100"/>
      <c r="K39" s="100"/>
      <c r="L39" s="100"/>
      <c r="M39" s="100"/>
      <c r="N39" s="100"/>
      <c r="O39" s="100"/>
      <c r="P39" s="263">
        <f>SUM(D39:O39)</f>
        <v>0.52500000000000002</v>
      </c>
      <c r="Q39" s="704"/>
      <c r="R39" s="705"/>
      <c r="S39" s="705"/>
      <c r="T39" s="705"/>
      <c r="U39" s="705"/>
      <c r="V39" s="705"/>
      <c r="W39" s="705"/>
      <c r="X39" s="705"/>
      <c r="Y39" s="705"/>
      <c r="Z39" s="705"/>
      <c r="AA39" s="705"/>
      <c r="AB39" s="705"/>
      <c r="AC39" s="705"/>
      <c r="AD39" s="706"/>
      <c r="AE39" s="97"/>
    </row>
    <row r="40" spans="1:41" ht="39.75" customHeight="1" x14ac:dyDescent="0.25">
      <c r="A40" s="635" t="s">
        <v>160</v>
      </c>
      <c r="B40" s="584">
        <v>0.05</v>
      </c>
      <c r="C40" s="226" t="s">
        <v>68</v>
      </c>
      <c r="D40" s="282">
        <v>0.08</v>
      </c>
      <c r="E40" s="282">
        <v>0.08</v>
      </c>
      <c r="F40" s="206">
        <v>8.3000000000000004E-2</v>
      </c>
      <c r="G40" s="206">
        <v>8.3000000000000004E-2</v>
      </c>
      <c r="H40" s="206">
        <v>8.3000000000000004E-2</v>
      </c>
      <c r="I40" s="206">
        <v>8.3000000000000004E-2</v>
      </c>
      <c r="J40" s="206">
        <v>8.3000000000000004E-2</v>
      </c>
      <c r="K40" s="206">
        <v>8.3000000000000004E-2</v>
      </c>
      <c r="L40" s="206">
        <v>8.3000000000000004E-2</v>
      </c>
      <c r="M40" s="206">
        <v>8.3000000000000004E-2</v>
      </c>
      <c r="N40" s="206">
        <v>8.3000000000000004E-2</v>
      </c>
      <c r="O40" s="206">
        <v>0.09</v>
      </c>
      <c r="P40" s="263">
        <f>SUM(D40:O40)</f>
        <v>0.99699999999999989</v>
      </c>
      <c r="Q40" s="637" t="s">
        <v>582</v>
      </c>
      <c r="R40" s="638"/>
      <c r="S40" s="638"/>
      <c r="T40" s="638"/>
      <c r="U40" s="638"/>
      <c r="V40" s="638"/>
      <c r="W40" s="638"/>
      <c r="X40" s="638"/>
      <c r="Y40" s="638"/>
      <c r="Z40" s="638"/>
      <c r="AA40" s="638"/>
      <c r="AB40" s="638"/>
      <c r="AC40" s="638"/>
      <c r="AD40" s="639"/>
      <c r="AE40" s="97"/>
    </row>
    <row r="41" spans="1:41" ht="39.75" customHeight="1" thickBot="1" x14ac:dyDescent="0.3">
      <c r="A41" s="628"/>
      <c r="B41" s="585"/>
      <c r="C41" s="280" t="s">
        <v>72</v>
      </c>
      <c r="D41" s="284">
        <v>0.08</v>
      </c>
      <c r="E41" s="284">
        <v>0.08</v>
      </c>
      <c r="F41" s="284">
        <v>8.3000000000000004E-2</v>
      </c>
      <c r="G41" s="284">
        <v>8.3000000000000004E-2</v>
      </c>
      <c r="H41" s="284">
        <v>8.3000000000000004E-2</v>
      </c>
      <c r="I41" s="428">
        <v>0.08</v>
      </c>
      <c r="J41" s="105"/>
      <c r="K41" s="105"/>
      <c r="L41" s="106"/>
      <c r="M41" s="106"/>
      <c r="N41" s="106"/>
      <c r="O41" s="106"/>
      <c r="P41" s="264">
        <f>SUM(D41:O41)</f>
        <v>0.48900000000000005</v>
      </c>
      <c r="Q41" s="804"/>
      <c r="R41" s="805"/>
      <c r="S41" s="805"/>
      <c r="T41" s="805"/>
      <c r="U41" s="805"/>
      <c r="V41" s="805"/>
      <c r="W41" s="805"/>
      <c r="X41" s="805"/>
      <c r="Y41" s="805"/>
      <c r="Z41" s="805"/>
      <c r="AA41" s="805"/>
      <c r="AB41" s="805"/>
      <c r="AC41" s="805"/>
      <c r="AD41" s="806"/>
      <c r="AE41" s="97"/>
    </row>
    <row r="42" spans="1:41" x14ac:dyDescent="0.25">
      <c r="A42" s="50" t="s">
        <v>95</v>
      </c>
    </row>
    <row r="55" spans="1:30" x14ac:dyDescent="0.25">
      <c r="A55" s="613" t="s">
        <v>96</v>
      </c>
      <c r="B55" s="615" t="s">
        <v>74</v>
      </c>
      <c r="C55" s="617" t="s">
        <v>75</v>
      </c>
      <c r="D55" s="618"/>
      <c r="E55" s="618"/>
      <c r="F55" s="618"/>
      <c r="G55" s="618"/>
      <c r="H55" s="618"/>
      <c r="I55" s="618"/>
      <c r="J55" s="618"/>
      <c r="K55" s="618"/>
      <c r="L55" s="618"/>
      <c r="M55" s="618"/>
      <c r="N55" s="618"/>
      <c r="O55" s="618"/>
      <c r="P55" s="619"/>
      <c r="Q55" s="228"/>
      <c r="R55" s="228"/>
      <c r="S55" s="229"/>
      <c r="T55" s="229"/>
      <c r="U55" s="229"/>
      <c r="V55" s="229"/>
      <c r="W55" s="229"/>
      <c r="X55" s="229"/>
      <c r="Y55" s="229"/>
      <c r="Z55" s="229"/>
      <c r="AA55" s="229"/>
      <c r="AB55" s="229"/>
      <c r="AC55" s="229"/>
      <c r="AD55" s="229"/>
    </row>
    <row r="56" spans="1:30" ht="21" x14ac:dyDescent="0.25">
      <c r="A56" s="614"/>
      <c r="B56" s="616"/>
      <c r="C56" s="230" t="s">
        <v>77</v>
      </c>
      <c r="D56" s="230" t="s">
        <v>78</v>
      </c>
      <c r="E56" s="230" t="s">
        <v>79</v>
      </c>
      <c r="F56" s="230" t="s">
        <v>80</v>
      </c>
      <c r="G56" s="230" t="s">
        <v>81</v>
      </c>
      <c r="H56" s="230" t="s">
        <v>82</v>
      </c>
      <c r="I56" s="230" t="s">
        <v>83</v>
      </c>
      <c r="J56" s="230" t="s">
        <v>84</v>
      </c>
      <c r="K56" s="230" t="s">
        <v>85</v>
      </c>
      <c r="L56" s="230" t="s">
        <v>86</v>
      </c>
      <c r="M56" s="230" t="s">
        <v>87</v>
      </c>
      <c r="N56" s="230" t="s">
        <v>88</v>
      </c>
      <c r="O56" s="230" t="s">
        <v>89</v>
      </c>
      <c r="P56" s="230" t="s">
        <v>90</v>
      </c>
      <c r="Q56" s="228"/>
      <c r="R56" s="228"/>
      <c r="S56" s="229"/>
      <c r="T56" s="229"/>
      <c r="U56" s="229"/>
      <c r="V56" s="229"/>
      <c r="W56" s="229"/>
      <c r="X56" s="229"/>
      <c r="Y56" s="229"/>
      <c r="Z56" s="229"/>
      <c r="AA56" s="229"/>
      <c r="AB56" s="229"/>
      <c r="AC56" s="229"/>
      <c r="AD56" s="229"/>
    </row>
    <row r="57" spans="1:30" x14ac:dyDescent="0.25">
      <c r="A57" s="620"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622">
        <f>B38</f>
        <v>0.1</v>
      </c>
      <c r="C57" s="231" t="s">
        <v>68</v>
      </c>
      <c r="D57" s="232">
        <f>D38*$B$38/$P$38</f>
        <v>9.0452261306532659E-3</v>
      </c>
      <c r="E57" s="232">
        <f t="shared" ref="D57:O58" si="2">E38*$B$38/$P$38</f>
        <v>9.0452261306532659E-3</v>
      </c>
      <c r="F57" s="232">
        <f t="shared" si="2"/>
        <v>8.5427135678391979E-3</v>
      </c>
      <c r="G57" s="232">
        <f t="shared" si="2"/>
        <v>8.5427135678391979E-3</v>
      </c>
      <c r="H57" s="232">
        <f t="shared" si="2"/>
        <v>8.5427135678391979E-3</v>
      </c>
      <c r="I57" s="232">
        <f t="shared" si="2"/>
        <v>8.5427135678391979E-3</v>
      </c>
      <c r="J57" s="232">
        <f t="shared" si="2"/>
        <v>8.5427135678391979E-3</v>
      </c>
      <c r="K57" s="232">
        <f t="shared" si="2"/>
        <v>8.5427135678391979E-3</v>
      </c>
      <c r="L57" s="232">
        <f t="shared" si="2"/>
        <v>8.5427135678391979E-3</v>
      </c>
      <c r="M57" s="232">
        <f t="shared" si="2"/>
        <v>8.5427135678391979E-3</v>
      </c>
      <c r="N57" s="232">
        <f t="shared" si="2"/>
        <v>8.5427135678391979E-3</v>
      </c>
      <c r="O57" s="232">
        <f t="shared" si="2"/>
        <v>5.0251256281407053E-3</v>
      </c>
      <c r="P57" s="233">
        <f>SUM(D57:O57)</f>
        <v>0.10000000000000003</v>
      </c>
      <c r="Q57" s="234">
        <v>0.05</v>
      </c>
      <c r="R57" s="235">
        <f t="shared" ref="R57:R65" si="3">+P57-Q57</f>
        <v>5.0000000000000031E-2</v>
      </c>
      <c r="S57" s="229"/>
      <c r="T57" s="229"/>
      <c r="U57" s="229"/>
      <c r="V57" s="229"/>
      <c r="W57" s="229"/>
      <c r="X57" s="229"/>
      <c r="Y57" s="229"/>
      <c r="Z57" s="229"/>
      <c r="AA57" s="229"/>
      <c r="AB57" s="229"/>
      <c r="AC57" s="229"/>
      <c r="AD57" s="229"/>
    </row>
    <row r="58" spans="1:30" x14ac:dyDescent="0.25">
      <c r="A58" s="621"/>
      <c r="B58" s="623"/>
      <c r="C58" s="236" t="s">
        <v>72</v>
      </c>
      <c r="D58" s="237">
        <f t="shared" si="2"/>
        <v>9.0452261306532659E-3</v>
      </c>
      <c r="E58" s="237">
        <f t="shared" si="2"/>
        <v>9.0452261306532659E-3</v>
      </c>
      <c r="F58" s="237">
        <f t="shared" si="2"/>
        <v>8.5427135678391979E-3</v>
      </c>
      <c r="G58" s="237">
        <f t="shared" si="2"/>
        <v>8.5427135678391979E-3</v>
      </c>
      <c r="H58" s="237">
        <f t="shared" si="2"/>
        <v>8.5427135678391979E-3</v>
      </c>
      <c r="I58" s="237">
        <f t="shared" si="2"/>
        <v>9.0452261306532659E-3</v>
      </c>
      <c r="J58" s="237">
        <f t="shared" si="2"/>
        <v>0</v>
      </c>
      <c r="K58" s="237">
        <f t="shared" si="2"/>
        <v>0</v>
      </c>
      <c r="L58" s="237">
        <f t="shared" si="2"/>
        <v>0</v>
      </c>
      <c r="M58" s="237">
        <f t="shared" si="2"/>
        <v>0</v>
      </c>
      <c r="N58" s="237">
        <f t="shared" si="2"/>
        <v>0</v>
      </c>
      <c r="O58" s="237">
        <f t="shared" si="2"/>
        <v>0</v>
      </c>
      <c r="P58" s="238">
        <f>SUM(D58:O58)</f>
        <v>5.2763819095477393E-2</v>
      </c>
      <c r="Q58" s="239">
        <f>+P58</f>
        <v>5.2763819095477393E-2</v>
      </c>
      <c r="R58" s="235">
        <f t="shared" si="3"/>
        <v>0</v>
      </c>
      <c r="S58" s="229"/>
      <c r="T58" s="229"/>
      <c r="U58" s="229"/>
      <c r="V58" s="229"/>
      <c r="W58" s="229"/>
      <c r="X58" s="229"/>
      <c r="Y58" s="229"/>
      <c r="Z58" s="229"/>
      <c r="AA58" s="229"/>
      <c r="AB58" s="229"/>
      <c r="AC58" s="229"/>
      <c r="AD58" s="229"/>
    </row>
    <row r="59" spans="1:30" x14ac:dyDescent="0.25">
      <c r="A59" s="620" t="str">
        <f>A40</f>
        <v>17. Convocar y gestionar las sesiones de las Mesa de Unidades Móviles de Servicios del Cuidado</v>
      </c>
      <c r="B59" s="625">
        <f>B40</f>
        <v>0.05</v>
      </c>
      <c r="C59" s="231" t="s">
        <v>68</v>
      </c>
      <c r="D59" s="232">
        <f t="shared" ref="D59:O60" si="4">D40*$B$40/$P$40</f>
        <v>4.0120361083249758E-3</v>
      </c>
      <c r="E59" s="232">
        <f t="shared" si="4"/>
        <v>4.0120361083249758E-3</v>
      </c>
      <c r="F59" s="232">
        <f t="shared" si="4"/>
        <v>4.1624874623871619E-3</v>
      </c>
      <c r="G59" s="232">
        <f t="shared" si="4"/>
        <v>4.1624874623871619E-3</v>
      </c>
      <c r="H59" s="232">
        <f t="shared" si="4"/>
        <v>4.1624874623871619E-3</v>
      </c>
      <c r="I59" s="232">
        <f t="shared" si="4"/>
        <v>4.1624874623871619E-3</v>
      </c>
      <c r="J59" s="232">
        <f t="shared" si="4"/>
        <v>4.1624874623871619E-3</v>
      </c>
      <c r="K59" s="232">
        <f t="shared" si="4"/>
        <v>4.1624874623871619E-3</v>
      </c>
      <c r="L59" s="232">
        <f t="shared" si="4"/>
        <v>4.1624874623871619E-3</v>
      </c>
      <c r="M59" s="232">
        <f t="shared" si="4"/>
        <v>4.1624874623871619E-3</v>
      </c>
      <c r="N59" s="232">
        <f t="shared" si="4"/>
        <v>4.1624874623871619E-3</v>
      </c>
      <c r="O59" s="232">
        <f t="shared" si="4"/>
        <v>4.5135406218655971E-3</v>
      </c>
      <c r="P59" s="233">
        <f>SUM(D59:O59)</f>
        <v>5.000000000000001E-2</v>
      </c>
      <c r="Q59" s="234">
        <v>2.5000000000000001E-2</v>
      </c>
      <c r="R59" s="235">
        <f t="shared" si="3"/>
        <v>2.5000000000000008E-2</v>
      </c>
      <c r="S59" s="229"/>
      <c r="T59" s="229"/>
      <c r="U59" s="229"/>
      <c r="V59" s="229"/>
      <c r="W59" s="229"/>
      <c r="X59" s="229"/>
      <c r="Y59" s="229"/>
      <c r="Z59" s="229"/>
      <c r="AA59" s="229"/>
      <c r="AB59" s="229"/>
      <c r="AC59" s="229"/>
      <c r="AD59" s="229"/>
    </row>
    <row r="60" spans="1:30" x14ac:dyDescent="0.25">
      <c r="A60" s="624"/>
      <c r="B60" s="626"/>
      <c r="C60" s="240" t="s">
        <v>72</v>
      </c>
      <c r="D60" s="237">
        <f t="shared" si="4"/>
        <v>4.0120361083249758E-3</v>
      </c>
      <c r="E60" s="237">
        <f t="shared" si="4"/>
        <v>4.0120361083249758E-3</v>
      </c>
      <c r="F60" s="237">
        <f t="shared" si="4"/>
        <v>4.1624874623871619E-3</v>
      </c>
      <c r="G60" s="237">
        <f t="shared" si="4"/>
        <v>4.1624874623871619E-3</v>
      </c>
      <c r="H60" s="237">
        <f t="shared" si="4"/>
        <v>4.1624874623871619E-3</v>
      </c>
      <c r="I60" s="237">
        <f t="shared" si="4"/>
        <v>4.0120361083249758E-3</v>
      </c>
      <c r="J60" s="237">
        <f t="shared" si="4"/>
        <v>0</v>
      </c>
      <c r="K60" s="237">
        <f t="shared" si="4"/>
        <v>0</v>
      </c>
      <c r="L60" s="237">
        <f t="shared" si="4"/>
        <v>0</v>
      </c>
      <c r="M60" s="237">
        <f t="shared" si="4"/>
        <v>0</v>
      </c>
      <c r="N60" s="237">
        <f t="shared" si="4"/>
        <v>0</v>
      </c>
      <c r="O60" s="237">
        <f t="shared" si="4"/>
        <v>0</v>
      </c>
      <c r="P60" s="238">
        <f>SUM(D60:O60)</f>
        <v>2.4523570712136414E-2</v>
      </c>
      <c r="Q60" s="239">
        <f>+P60</f>
        <v>2.4523570712136414E-2</v>
      </c>
      <c r="R60" s="235">
        <f t="shared" si="3"/>
        <v>0</v>
      </c>
      <c r="S60" s="229"/>
      <c r="T60" s="229"/>
      <c r="U60" s="229"/>
      <c r="V60" s="229"/>
      <c r="W60" s="229"/>
      <c r="X60" s="229"/>
      <c r="Y60" s="229"/>
      <c r="Z60" s="229"/>
      <c r="AA60" s="229"/>
      <c r="AB60" s="229"/>
      <c r="AC60" s="229"/>
      <c r="AD60" s="229"/>
    </row>
    <row r="61" spans="1:30" x14ac:dyDescent="0.25">
      <c r="A61" s="609"/>
      <c r="B61" s="611"/>
      <c r="C61" s="243"/>
      <c r="D61" s="232"/>
      <c r="E61" s="232"/>
      <c r="F61" s="232"/>
      <c r="G61" s="232"/>
      <c r="H61" s="232"/>
      <c r="I61" s="232"/>
      <c r="J61" s="232"/>
      <c r="K61" s="232"/>
      <c r="L61" s="232"/>
      <c r="M61" s="232"/>
      <c r="N61" s="232"/>
      <c r="O61" s="232"/>
      <c r="P61" s="244"/>
      <c r="Q61" s="234"/>
      <c r="R61" s="235"/>
      <c r="S61" s="229"/>
      <c r="T61" s="229"/>
      <c r="U61" s="229"/>
      <c r="V61" s="229"/>
      <c r="W61" s="229"/>
      <c r="X61" s="229"/>
      <c r="Y61" s="229"/>
      <c r="Z61" s="229"/>
      <c r="AA61" s="229"/>
      <c r="AB61" s="229"/>
      <c r="AC61" s="229"/>
      <c r="AD61" s="229"/>
    </row>
    <row r="62" spans="1:30" x14ac:dyDescent="0.25">
      <c r="A62" s="610"/>
      <c r="B62" s="612"/>
      <c r="C62" s="243"/>
      <c r="D62" s="247"/>
      <c r="E62" s="247"/>
      <c r="F62" s="247"/>
      <c r="G62" s="247"/>
      <c r="H62" s="247"/>
      <c r="I62" s="247"/>
      <c r="J62" s="247"/>
      <c r="K62" s="247"/>
      <c r="L62" s="247"/>
      <c r="M62" s="247"/>
      <c r="N62" s="247"/>
      <c r="O62" s="247"/>
      <c r="P62" s="244"/>
      <c r="Q62" s="239"/>
      <c r="R62" s="235"/>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f>
        <v>1.3057262238978242E-2</v>
      </c>
      <c r="E65" s="250">
        <f t="shared" ref="E65:O65" si="5">E58+E60</f>
        <v>1.3057262238978242E-2</v>
      </c>
      <c r="F65" s="250">
        <f t="shared" si="5"/>
        <v>1.2705201030226359E-2</v>
      </c>
      <c r="G65" s="250">
        <f t="shared" si="5"/>
        <v>1.2705201030226359E-2</v>
      </c>
      <c r="H65" s="250">
        <f t="shared" si="5"/>
        <v>1.2705201030226359E-2</v>
      </c>
      <c r="I65" s="250">
        <f t="shared" si="5"/>
        <v>1.3057262238978242E-2</v>
      </c>
      <c r="J65" s="250">
        <f t="shared" si="5"/>
        <v>0</v>
      </c>
      <c r="K65" s="250">
        <f t="shared" si="5"/>
        <v>0</v>
      </c>
      <c r="L65" s="250">
        <f t="shared" si="5"/>
        <v>0</v>
      </c>
      <c r="M65" s="250">
        <f t="shared" si="5"/>
        <v>0</v>
      </c>
      <c r="N65" s="250">
        <f t="shared" si="5"/>
        <v>0</v>
      </c>
      <c r="O65" s="250">
        <f t="shared" si="5"/>
        <v>0</v>
      </c>
      <c r="P65" s="250">
        <f>P58+P60+P62</f>
        <v>7.7287389807613807E-2</v>
      </c>
      <c r="Q65" s="228"/>
      <c r="R65" s="235">
        <f t="shared" si="3"/>
        <v>7.7287389807613807E-2</v>
      </c>
      <c r="S65" s="229"/>
      <c r="T65" s="229"/>
      <c r="U65" s="229"/>
      <c r="V65" s="229"/>
      <c r="W65" s="229"/>
      <c r="X65" s="229"/>
      <c r="Y65" s="229"/>
      <c r="Z65" s="229"/>
      <c r="AA65" s="229"/>
      <c r="AB65" s="229"/>
      <c r="AC65" s="229"/>
      <c r="AD65" s="229"/>
    </row>
    <row r="66" spans="1:30" x14ac:dyDescent="0.25">
      <c r="A66" s="228"/>
      <c r="B66" s="251"/>
      <c r="C66" s="252" t="s">
        <v>72</v>
      </c>
      <c r="D66" s="253">
        <f>D65*$W$17/$B$34</f>
        <v>2.1762103731630403E-2</v>
      </c>
      <c r="E66" s="253">
        <f t="shared" ref="E66:O66" si="6">E65*$W$17/$B$34</f>
        <v>2.1762103731630403E-2</v>
      </c>
      <c r="F66" s="253">
        <f t="shared" si="6"/>
        <v>2.1175335050377265E-2</v>
      </c>
      <c r="G66" s="253">
        <f t="shared" si="6"/>
        <v>2.1175335050377265E-2</v>
      </c>
      <c r="H66" s="253">
        <f t="shared" si="6"/>
        <v>2.1175335050377265E-2</v>
      </c>
      <c r="I66" s="253">
        <f t="shared" si="6"/>
        <v>2.1762103731630403E-2</v>
      </c>
      <c r="J66" s="253">
        <f t="shared" si="6"/>
        <v>0</v>
      </c>
      <c r="K66" s="253">
        <f t="shared" si="6"/>
        <v>0</v>
      </c>
      <c r="L66" s="253">
        <f t="shared" si="6"/>
        <v>0</v>
      </c>
      <c r="M66" s="253">
        <f t="shared" si="6"/>
        <v>0</v>
      </c>
      <c r="N66" s="253">
        <f t="shared" si="6"/>
        <v>0</v>
      </c>
      <c r="O66" s="253">
        <f t="shared" si="6"/>
        <v>0</v>
      </c>
      <c r="P66" s="254">
        <f>SUM(D66:O66)</f>
        <v>0.128812316346023</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+D57+D59</f>
        <v>1.3057262238978242E-2</v>
      </c>
      <c r="E68" s="250">
        <f t="shared" ref="E68:O68" si="7">+E57+E59</f>
        <v>1.3057262238978242E-2</v>
      </c>
      <c r="F68" s="250">
        <f t="shared" si="7"/>
        <v>1.2705201030226359E-2</v>
      </c>
      <c r="G68" s="250">
        <f t="shared" si="7"/>
        <v>1.2705201030226359E-2</v>
      </c>
      <c r="H68" s="250">
        <f t="shared" si="7"/>
        <v>1.2705201030226359E-2</v>
      </c>
      <c r="I68" s="250">
        <f t="shared" si="7"/>
        <v>1.2705201030226359E-2</v>
      </c>
      <c r="J68" s="250">
        <f t="shared" si="7"/>
        <v>1.2705201030226359E-2</v>
      </c>
      <c r="K68" s="250">
        <f t="shared" si="7"/>
        <v>1.2705201030226359E-2</v>
      </c>
      <c r="L68" s="250">
        <f t="shared" si="7"/>
        <v>1.2705201030226359E-2</v>
      </c>
      <c r="M68" s="250">
        <f t="shared" si="7"/>
        <v>1.2705201030226359E-2</v>
      </c>
      <c r="N68" s="250">
        <f t="shared" si="7"/>
        <v>1.2705201030226359E-2</v>
      </c>
      <c r="O68" s="250">
        <f t="shared" si="7"/>
        <v>9.5386662500063016E-3</v>
      </c>
      <c r="P68" s="250">
        <f>+P57+P59+P61</f>
        <v>0.15000000000000005</v>
      </c>
      <c r="Q68" s="234"/>
      <c r="R68" s="234"/>
      <c r="S68" s="229"/>
      <c r="T68" s="229"/>
      <c r="U68" s="229"/>
      <c r="V68" s="229"/>
      <c r="W68" s="229"/>
      <c r="X68" s="229"/>
      <c r="Y68" s="229"/>
      <c r="Z68" s="229"/>
      <c r="AA68" s="229"/>
      <c r="AB68" s="229"/>
      <c r="AC68" s="229"/>
      <c r="AD68" s="229"/>
    </row>
    <row r="69" spans="1:30" x14ac:dyDescent="0.25">
      <c r="A69" s="234"/>
      <c r="B69" s="108"/>
      <c r="C69" s="252" t="s">
        <v>68</v>
      </c>
      <c r="D69" s="253">
        <f>D68*$W$17/$B$34</f>
        <v>2.1762103731630403E-2</v>
      </c>
      <c r="E69" s="253">
        <f t="shared" ref="E69:O69" si="8">E68*$W$17/$B$34</f>
        <v>2.1762103731630403E-2</v>
      </c>
      <c r="F69" s="253">
        <f t="shared" si="8"/>
        <v>2.1175335050377265E-2</v>
      </c>
      <c r="G69" s="253">
        <f t="shared" si="8"/>
        <v>2.1175335050377265E-2</v>
      </c>
      <c r="H69" s="253">
        <f t="shared" si="8"/>
        <v>2.1175335050377265E-2</v>
      </c>
      <c r="I69" s="253">
        <f t="shared" si="8"/>
        <v>2.1175335050377265E-2</v>
      </c>
      <c r="J69" s="253">
        <f t="shared" si="8"/>
        <v>2.1175335050377265E-2</v>
      </c>
      <c r="K69" s="253">
        <f t="shared" si="8"/>
        <v>2.1175335050377265E-2</v>
      </c>
      <c r="L69" s="253">
        <f t="shared" si="8"/>
        <v>2.1175335050377265E-2</v>
      </c>
      <c r="M69" s="253">
        <f t="shared" si="8"/>
        <v>2.1175335050377265E-2</v>
      </c>
      <c r="N69" s="253">
        <f t="shared" si="8"/>
        <v>2.1175335050377265E-2</v>
      </c>
      <c r="O69" s="253">
        <f t="shared" si="8"/>
        <v>1.5897777083343837E-2</v>
      </c>
      <c r="P69" s="254">
        <f>SUM(D69:O69)</f>
        <v>0.25000000000000011</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row r="75" spans="1:30" x14ac:dyDescent="0.25">
      <c r="A75" s="229"/>
      <c r="Q75" s="229"/>
      <c r="R75" s="229"/>
      <c r="S75" s="229"/>
      <c r="T75" s="229"/>
      <c r="U75" s="229"/>
      <c r="V75" s="229"/>
      <c r="W75" s="229"/>
      <c r="X75" s="229"/>
      <c r="Y75" s="229"/>
      <c r="Z75" s="229"/>
      <c r="AA75" s="229"/>
      <c r="AB75" s="229"/>
      <c r="AC75" s="229"/>
      <c r="AD75" s="229"/>
    </row>
    <row r="76" spans="1:30" x14ac:dyDescent="0.25">
      <c r="A76" s="229"/>
      <c r="Q76" s="229"/>
      <c r="R76" s="229"/>
      <c r="S76" s="229"/>
      <c r="T76" s="229"/>
      <c r="U76" s="229"/>
      <c r="V76" s="229"/>
      <c r="W76" s="229"/>
      <c r="X76" s="229"/>
      <c r="Y76" s="229"/>
      <c r="Z76" s="229"/>
      <c r="AA76" s="229"/>
      <c r="AB76" s="229"/>
      <c r="AC76" s="229"/>
      <c r="AD76" s="229"/>
    </row>
    <row r="77" spans="1:30" x14ac:dyDescent="0.25">
      <c r="A77" s="229"/>
      <c r="Q77" s="229"/>
      <c r="R77" s="229"/>
      <c r="S77" s="229"/>
      <c r="T77" s="229"/>
      <c r="U77" s="229"/>
      <c r="V77" s="229"/>
      <c r="W77" s="229"/>
      <c r="X77" s="229"/>
      <c r="Y77" s="229"/>
      <c r="Z77" s="229"/>
      <c r="AA77" s="229"/>
      <c r="AB77" s="229"/>
      <c r="AC77" s="229"/>
      <c r="AD77" s="229"/>
    </row>
  </sheetData>
  <mergeCells count="86">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B30:C30"/>
    <mergeCell ref="Q30:AD30"/>
    <mergeCell ref="A31:AD31"/>
    <mergeCell ref="A32:A33"/>
    <mergeCell ref="B32:B33"/>
    <mergeCell ref="C32:C33"/>
    <mergeCell ref="D32:P32"/>
    <mergeCell ref="A24:B24"/>
    <mergeCell ref="A25:B25"/>
    <mergeCell ref="A27:AD27"/>
    <mergeCell ref="A28:A29"/>
    <mergeCell ref="B28:C29"/>
    <mergeCell ref="D28:O28"/>
    <mergeCell ref="P28:P29"/>
    <mergeCell ref="Q28:AD29"/>
    <mergeCell ref="A34:A35"/>
    <mergeCell ref="Q32:AD32"/>
    <mergeCell ref="Q33:S33"/>
    <mergeCell ref="T33:V33"/>
    <mergeCell ref="W33:Z33"/>
    <mergeCell ref="AA33:AD33"/>
    <mergeCell ref="B34:B35"/>
    <mergeCell ref="AF22:AM25"/>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s>
  <dataValidations count="3">
    <dataValidation type="list" allowBlank="1" showInputMessage="1" showErrorMessage="1" sqref="C7:C9" xr:uid="{CCE8E7B6-6D0A-4866-8D5A-2CB941117DB8}">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Q38:AD41" xr:uid="{00000000-0002-0000-0600-000002000000}">
      <formula1>2000</formula1>
    </dataValidation>
  </dataValidations>
  <pageMargins left="0.23622047244094491" right="0.23622047244094491" top="0.74803149606299213" bottom="0.74803149606299213" header="0.31496062992125984" footer="0.31496062992125984"/>
  <pageSetup paperSize="119" scale="35" orientation="landscape" r:id="rId1"/>
  <customProperties>
    <customPr name="_pios_id" r:id="rId2"/>
  </customProperties>
  <ignoredErrors>
    <ignoredError sqref="W24 Z24" formula="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LongProp xmlns="" name="display_urn_x003a_schemas_x002d_microsoft_x002d_com_x003a_office_x003a_office_x0023_SharedWithUsers"><![CDATA[Girlesa Andrea Santos Medina;Iliana Maria Espitia Sutachan;Carol Dayana Quintero Hernandez;Carol Viviana Rozo Almonacid;Laura Camila Diaz Garcia;Ilsa Carlota Alméciga Romero;Ivette Shirley Sepulveda Sanabria;Rafael Eduardo Ronderos Garcia;Nestor Moreno Gutierrez;Claudia Marcela Rodríguez Pinzón;Angela Marcela Forero Ruiz;Miguel Giovanny Gómez López;Yanira Galindo Páez]]></LongProp>
  <LongProp xmlns="" name="SharedWithUsers"><![CDATA[680;#Girlesa Andrea Santos Medina;#681;#Iliana Maria Espitia Sutachan;#308;#Carol Dayana Quintero Hernandez;#57;#Carol Viviana Rozo Almonacid;#549;#Laura Camila Diaz Garcia;#122;#Ilsa Carlota Alméciga Romero;#63;#Ivette Shirley Sepulveda Sanabria;#652;#Rafael Eduardo Ronderos Garcia;#673;#Nestor Moreno Gutierrez;#92;#Claudia Marcela Rodríguez Pinzón;#27;#Angela Marcela Forero Ruiz;#654;#Miguel Giovanny Gómez López;#672;#Yanira Galindo Páez]]></LongProp>
</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Girlesa Andrea Santos Medina</DisplayName>
        <AccountId>680</AccountId>
        <AccountType/>
      </UserInfo>
      <UserInfo>
        <DisplayName>Iliana Maria Espitia Sutachan</DisplayName>
        <AccountId>681</AccountId>
        <AccountType/>
      </UserInfo>
      <UserInfo>
        <DisplayName>Carol Dayana Quintero Hernandez</DisplayName>
        <AccountId>308</AccountId>
        <AccountType/>
      </UserInfo>
      <UserInfo>
        <DisplayName>Carol Viviana Rozo Almonacid</DisplayName>
        <AccountId>57</AccountId>
        <AccountType/>
      </UserInfo>
      <UserInfo>
        <DisplayName>Laura Camila Diaz Garcia</DisplayName>
        <AccountId>549</AccountId>
        <AccountType/>
      </UserInfo>
      <UserInfo>
        <DisplayName>Ilsa Carlota Alméciga Romero</DisplayName>
        <AccountId>122</AccountId>
        <AccountType/>
      </UserInfo>
      <UserInfo>
        <DisplayName>Ivette Shirley Sepulveda Sanabria</DisplayName>
        <AccountId>63</AccountId>
        <AccountType/>
      </UserInfo>
      <UserInfo>
        <DisplayName>Ra</DisplayName>
        <AccountId>652</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755F45-56CF-4922-B831-05FE8D765C4E}">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E0F8F493-500F-4D8B-AD15-7D8853B38986}">
  <ds:schemaRefs>
    <ds:schemaRef ds:uri="http://schemas.microsoft.com/sharepoint/v3/contenttype/forms"/>
  </ds:schemaRefs>
</ds:datastoreItem>
</file>

<file path=customXml/itemProps3.xml><?xml version="1.0" encoding="utf-8"?>
<ds:datastoreItem xmlns:ds="http://schemas.openxmlformats.org/officeDocument/2006/customXml" ds:itemID="{271AEF18-ED97-4A63-9151-0A451046D2D7}">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4.xml><?xml version="1.0" encoding="utf-8"?>
<ds:datastoreItem xmlns:ds="http://schemas.openxmlformats.org/officeDocument/2006/customXml" ds:itemID="{B16B3A02-E73F-47F4-A68F-FF3273135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vt:lpstr>
      <vt:lpstr>Meta 2</vt:lpstr>
      <vt:lpstr>Meta 3</vt:lpstr>
      <vt:lpstr>Meta 4</vt:lpstr>
      <vt:lpstr>Meta 5</vt:lpstr>
      <vt:lpstr>Meta 6</vt:lpstr>
      <vt:lpstr>Meta 5.</vt:lpstr>
      <vt:lpstr>Meta 6.</vt:lpstr>
      <vt:lpstr>Meta 7</vt:lpstr>
      <vt:lpstr>Meta 1..n</vt:lpstr>
      <vt:lpstr>Indicadores PA</vt:lpstr>
      <vt:lpstr>Territorialización PA</vt:lpstr>
      <vt:lpstr>Generalidades</vt:lpstr>
      <vt:lpstr>Instructivo</vt:lpstr>
      <vt:lpstr>Hoja13</vt:lpstr>
      <vt:lpstr>Hoja1</vt:lpstr>
      <vt:lpstr>'Meta 1'!Área_de_impresión</vt:lpstr>
      <vt:lpstr>'Meta 2'!Área_de_impresión</vt:lpstr>
      <vt:lpstr>'Meta 3'!Área_de_impresión</vt:lpstr>
      <vt:lpstr>'Meta 4'!Área_de_impresión</vt:lpstr>
      <vt:lpstr>'Meta 5'!Área_de_impresión</vt:lpstr>
      <vt:lpstr>'Meta 5.'!Área_de_impresión</vt:lpstr>
      <vt:lpstr>'Meta 6'!Área_de_impresión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2023-07-24T15:33:30Z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display_urn:schemas-microsoft-com:office:office#SharedWithUsers">
    <vt:lpwstr>Girlesa Andrea Santos Medina;Iliana Maria Espitia Sutachan;Carol Dayana Quintero Hernandez;Carol Viviana Rozo Almonacid;Laura Camila Diaz Garcia;Ilsa Carlota Alméciga Romero;Ivette Shirley Sepulveda Sanabria;Rafael Eduardo Ronderos Garcia;Nestor Moreno Gu</vt:lpwstr>
  </property>
  <property fmtid="{D5CDD505-2E9C-101B-9397-08002B2CF9AE}" pid="4" name="SharedWithUsers">
    <vt:lpwstr>680;#Girlesa Andrea Santos Medina;#681;#Iliana Maria Espitia Sutachan;#308;#Carol Dayana Quintero Hernandez;#57;#Carol Viviana Rozo Almonacid;#549;#Laura Camila Diaz Garcia;#122;#Ilsa Carlota Alméciga Romero;#63;#Ivette Shirley Sepulveda Sanabria;#652;#Ra</vt:lpwstr>
  </property>
  <property fmtid="{D5CDD505-2E9C-101B-9397-08002B2CF9AE}" pid="5" name="MediaServiceImageTags">
    <vt:lpwstr/>
  </property>
</Properties>
</file>