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aforero\OneDrive - Secretaria Distrital De La Mujer\SDM\SDM 2023\PROYECTO DE INVERSIÓN\7671\PLAN DE ACCIÓN\"/>
    </mc:Choice>
  </mc:AlternateContent>
  <xr:revisionPtr revIDLastSave="0" documentId="13_ncr:1_{29EED223-72D2-4A11-963F-17BE56F13B7F}" xr6:coauthVersionLast="47" xr6:coauthVersionMax="47" xr10:uidLastSave="{00000000-0000-0000-0000-000000000000}"/>
  <bookViews>
    <workbookView xWindow="-120" yWindow="-120" windowWidth="20730" windowHeight="11040" tabRatio="734" xr2:uid="{00000000-000D-0000-FFFF-FFFF00000000}"/>
  </bookViews>
  <sheets>
    <sheet name="Meta 1" sheetId="40" r:id="rId1"/>
    <sheet name="Meta 1..n" sheetId="1" state="hidden" r:id="rId2"/>
    <sheet name="Meta 2" sheetId="41" r:id="rId3"/>
    <sheet name="Meta 3" sheetId="42" r:id="rId4"/>
    <sheet name="Meta 4" sheetId="43" r:id="rId5"/>
    <sheet name="Meta 5" sheetId="47" r:id="rId6"/>
    <sheet name="Meta 6" sheetId="48" r:id="rId7"/>
    <sheet name="Meta 7" sheetId="46" r:id="rId8"/>
    <sheet name="Indicadores PA" sheetId="36" r:id="rId9"/>
    <sheet name="Territorialización PA" sheetId="37" r:id="rId10"/>
    <sheet name="Instructivo" sheetId="39" r:id="rId11"/>
    <sheet name="Generalidades" sheetId="38" r:id="rId12"/>
    <sheet name="Hoja13" sheetId="32" state="hidden" r:id="rId13"/>
    <sheet name="Hoja1" sheetId="20" state="hidden" r:id="rId14"/>
  </sheets>
  <definedNames>
    <definedName name="_xlnm._FilterDatabase" localSheetId="8" hidden="1">#N/A</definedName>
    <definedName name="_xlnm.Print_Area" localSheetId="8">'Indicadores PA'!$A$1:$AY$23</definedName>
    <definedName name="_xlnm.Print_Area" localSheetId="0">'Meta 1'!$A$1:$AD$49</definedName>
    <definedName name="_xlnm.Print_Area" localSheetId="2">'Meta 2'!$A$1:$AD$57</definedName>
    <definedName name="_xlnm.Print_Area" localSheetId="3">'Meta 3'!$A$1:$AD$45</definedName>
    <definedName name="_xlnm.Print_Area" localSheetId="4">'Meta 4'!$A$1:$AD$43</definedName>
    <definedName name="_xlnm.Print_Area" localSheetId="5">'Meta 5'!$A$1:$AD$39</definedName>
    <definedName name="_xlnm.Print_Area" localSheetId="6">'Meta 6'!$A$1:$AD$51</definedName>
    <definedName name="_xlnm.Print_Area" localSheetId="7">'Meta 7'!$A$1:$AD$41</definedName>
    <definedName name="_xlnm.Print_Area" localSheetId="9">'Territorialización PA'!$A$1:$BK$58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5" i="42" l="1"/>
  <c r="R23" i="46"/>
  <c r="S23" i="46"/>
  <c r="T23" i="46"/>
  <c r="U23" i="46"/>
  <c r="R25" i="48"/>
  <c r="S25" i="48"/>
  <c r="T25" i="48"/>
  <c r="U25" i="48"/>
  <c r="Q23" i="47"/>
  <c r="R23" i="47"/>
  <c r="S23" i="47"/>
  <c r="T23" i="47"/>
  <c r="U23" i="47"/>
  <c r="R25" i="43"/>
  <c r="S25" i="43"/>
  <c r="T25" i="43"/>
  <c r="U25" i="43"/>
  <c r="Q23" i="43"/>
  <c r="R23" i="43"/>
  <c r="S23" i="43"/>
  <c r="T23" i="43"/>
  <c r="U23" i="43"/>
  <c r="Q25" i="42"/>
  <c r="R25" i="42"/>
  <c r="S25" i="42"/>
  <c r="T25" i="42"/>
  <c r="U25" i="42"/>
  <c r="R23" i="42"/>
  <c r="S23" i="42"/>
  <c r="T23" i="42"/>
  <c r="U23" i="42"/>
  <c r="Q23" i="41"/>
  <c r="R23" i="41"/>
  <c r="S23" i="41"/>
  <c r="T23" i="41"/>
  <c r="U23" i="41"/>
  <c r="R25" i="40"/>
  <c r="S25" i="40"/>
  <c r="T25" i="40"/>
  <c r="U25" i="40"/>
  <c r="Q23" i="40"/>
  <c r="R23" i="40"/>
  <c r="S23" i="40"/>
  <c r="T23" i="40"/>
  <c r="U23" i="40"/>
  <c r="G24" i="42"/>
  <c r="C25" i="40"/>
  <c r="D25" i="40"/>
  <c r="D25" i="41"/>
  <c r="C24" i="41"/>
  <c r="AC22" i="46"/>
  <c r="AC22" i="42"/>
  <c r="R25" i="41"/>
  <c r="S25" i="41"/>
  <c r="D25" i="46"/>
  <c r="R25" i="46"/>
  <c r="S25" i="46"/>
  <c r="R25" i="47"/>
  <c r="B69" i="48"/>
  <c r="A69" i="48"/>
  <c r="B67" i="48"/>
  <c r="A67" i="48"/>
  <c r="B65" i="48"/>
  <c r="A65" i="48"/>
  <c r="B63" i="48"/>
  <c r="A63" i="48"/>
  <c r="B61" i="48"/>
  <c r="A61" i="48"/>
  <c r="B59" i="48"/>
  <c r="A59" i="48"/>
  <c r="B57" i="48"/>
  <c r="A57" i="48"/>
  <c r="P51" i="48"/>
  <c r="P50" i="48"/>
  <c r="P49" i="48"/>
  <c r="P48" i="48"/>
  <c r="O68" i="48"/>
  <c r="P47" i="48"/>
  <c r="P46" i="48"/>
  <c r="H66" i="48"/>
  <c r="P45" i="48"/>
  <c r="P44" i="48"/>
  <c r="P38" i="48"/>
  <c r="H58" i="48"/>
  <c r="P40" i="48"/>
  <c r="N60" i="48"/>
  <c r="P42" i="48"/>
  <c r="H62" i="48"/>
  <c r="P43" i="48"/>
  <c r="P41" i="48"/>
  <c r="P39" i="48"/>
  <c r="P39" i="47"/>
  <c r="P38" i="47"/>
  <c r="A34" i="47"/>
  <c r="P30" i="47"/>
  <c r="A30" i="47"/>
  <c r="O22" i="47"/>
  <c r="AC22" i="47"/>
  <c r="O23" i="47"/>
  <c r="P23" i="47"/>
  <c r="O24" i="47"/>
  <c r="AC24" i="47"/>
  <c r="O25" i="47"/>
  <c r="P25" i="47"/>
  <c r="A57" i="47"/>
  <c r="B57" i="47"/>
  <c r="J58" i="47"/>
  <c r="J65" i="47"/>
  <c r="J66" i="47"/>
  <c r="J35" i="47"/>
  <c r="C25" i="42"/>
  <c r="C24" i="40"/>
  <c r="D24" i="40"/>
  <c r="O24" i="40"/>
  <c r="Q24" i="42"/>
  <c r="R24" i="42"/>
  <c r="X24" i="42"/>
  <c r="AB24" i="42"/>
  <c r="Q23" i="48"/>
  <c r="AC23" i="40"/>
  <c r="AC22" i="40"/>
  <c r="AD23" i="40"/>
  <c r="F24" i="42"/>
  <c r="Q68" i="42"/>
  <c r="R68" i="42"/>
  <c r="R67" i="42"/>
  <c r="Q66" i="42"/>
  <c r="R66" i="42"/>
  <c r="R65" i="42"/>
  <c r="B63" i="42"/>
  <c r="A63" i="42"/>
  <c r="B61" i="42"/>
  <c r="A61" i="42"/>
  <c r="B59" i="42"/>
  <c r="A59" i="42"/>
  <c r="B57" i="42"/>
  <c r="A57" i="42"/>
  <c r="B61" i="43"/>
  <c r="A61" i="43"/>
  <c r="B59" i="43"/>
  <c r="A59" i="43"/>
  <c r="B57" i="43"/>
  <c r="A57" i="43"/>
  <c r="B59" i="46"/>
  <c r="A59" i="46"/>
  <c r="B57" i="46"/>
  <c r="A57" i="46"/>
  <c r="B67" i="40"/>
  <c r="A67" i="40"/>
  <c r="P46" i="40"/>
  <c r="G66" i="40"/>
  <c r="B65" i="40"/>
  <c r="A65" i="40"/>
  <c r="B63" i="40"/>
  <c r="A63" i="40"/>
  <c r="B61" i="40"/>
  <c r="A61" i="40"/>
  <c r="B59" i="40"/>
  <c r="A59" i="40"/>
  <c r="B57" i="40"/>
  <c r="A57" i="40"/>
  <c r="B82" i="41"/>
  <c r="A82" i="41"/>
  <c r="B80" i="41"/>
  <c r="A80" i="41"/>
  <c r="B78" i="41"/>
  <c r="A78" i="41"/>
  <c r="B76" i="41"/>
  <c r="A76" i="41"/>
  <c r="B74" i="41"/>
  <c r="A74" i="41"/>
  <c r="B72" i="41"/>
  <c r="A72" i="41"/>
  <c r="B70" i="41"/>
  <c r="A70" i="41"/>
  <c r="B68" i="41"/>
  <c r="A68" i="41"/>
  <c r="B66" i="41"/>
  <c r="A66" i="41"/>
  <c r="B64" i="41"/>
  <c r="A64" i="41"/>
  <c r="C24" i="46"/>
  <c r="O24" i="46"/>
  <c r="O24" i="41"/>
  <c r="P49" i="40"/>
  <c r="P48" i="40"/>
  <c r="P47" i="40"/>
  <c r="P45" i="40"/>
  <c r="P44" i="40"/>
  <c r="O25" i="48"/>
  <c r="P25" i="48"/>
  <c r="AC24" i="48"/>
  <c r="O24" i="48"/>
  <c r="O23" i="48"/>
  <c r="P23" i="48"/>
  <c r="AC22" i="48"/>
  <c r="O22" i="48"/>
  <c r="A30" i="48"/>
  <c r="P30" i="48"/>
  <c r="P57" i="41"/>
  <c r="P56" i="41"/>
  <c r="P55" i="41"/>
  <c r="P54" i="41"/>
  <c r="J80" i="41"/>
  <c r="P53" i="41"/>
  <c r="P52" i="41"/>
  <c r="L79" i="41"/>
  <c r="P51" i="41"/>
  <c r="P50" i="41"/>
  <c r="P49" i="41"/>
  <c r="P48" i="41"/>
  <c r="P47" i="41"/>
  <c r="P46" i="41"/>
  <c r="P41" i="46"/>
  <c r="P40" i="46"/>
  <c r="P39" i="46"/>
  <c r="P38" i="46"/>
  <c r="F58" i="46"/>
  <c r="P30" i="46"/>
  <c r="AC24" i="46"/>
  <c r="O23" i="46"/>
  <c r="P23" i="46"/>
  <c r="O22" i="46"/>
  <c r="AC24" i="43"/>
  <c r="AC22" i="43"/>
  <c r="P43" i="43"/>
  <c r="P42" i="43"/>
  <c r="P41" i="43"/>
  <c r="P40" i="43"/>
  <c r="P39" i="43"/>
  <c r="P38" i="43"/>
  <c r="P30" i="43"/>
  <c r="O25" i="43"/>
  <c r="P25" i="43"/>
  <c r="O24" i="43"/>
  <c r="O23" i="43"/>
  <c r="P23" i="43"/>
  <c r="O22" i="43"/>
  <c r="D24" i="42"/>
  <c r="O24" i="42"/>
  <c r="P45" i="42"/>
  <c r="P44" i="42"/>
  <c r="O63" i="42"/>
  <c r="P38" i="42"/>
  <c r="O57" i="42"/>
  <c r="P40" i="42"/>
  <c r="O59" i="42"/>
  <c r="P42" i="42"/>
  <c r="O61" i="42"/>
  <c r="O74" i="42"/>
  <c r="O75" i="42"/>
  <c r="O34" i="42"/>
  <c r="P43" i="42"/>
  <c r="G57" i="42"/>
  <c r="J59" i="42"/>
  <c r="D59" i="42"/>
  <c r="E59" i="42"/>
  <c r="F59" i="42"/>
  <c r="K59" i="42"/>
  <c r="M59" i="42"/>
  <c r="N59" i="42"/>
  <c r="P41" i="42"/>
  <c r="P39" i="42"/>
  <c r="P30" i="42"/>
  <c r="O23" i="42"/>
  <c r="P23" i="42"/>
  <c r="O22" i="42"/>
  <c r="AB24" i="41"/>
  <c r="AA24" i="41"/>
  <c r="Z24" i="41"/>
  <c r="Y24" i="41"/>
  <c r="X24" i="41"/>
  <c r="W24" i="41"/>
  <c r="V24" i="41"/>
  <c r="U24" i="41"/>
  <c r="T24" i="41"/>
  <c r="S24" i="41"/>
  <c r="R24" i="41"/>
  <c r="P45" i="41"/>
  <c r="P44" i="41"/>
  <c r="N71" i="41"/>
  <c r="F70" i="41"/>
  <c r="P43" i="41"/>
  <c r="P42" i="41"/>
  <c r="P41" i="41"/>
  <c r="P40" i="41"/>
  <c r="J67" i="41"/>
  <c r="P39" i="41"/>
  <c r="P38" i="41"/>
  <c r="O65" i="41"/>
  <c r="P30" i="41"/>
  <c r="O23" i="41"/>
  <c r="P23" i="41"/>
  <c r="AC22" i="41"/>
  <c r="O22" i="41"/>
  <c r="AB24" i="40"/>
  <c r="AA24" i="40"/>
  <c r="Z24" i="40"/>
  <c r="Y24" i="40"/>
  <c r="X24" i="40"/>
  <c r="W24" i="40"/>
  <c r="V24" i="40"/>
  <c r="U24" i="40"/>
  <c r="R24" i="40"/>
  <c r="S24" i="40"/>
  <c r="T24" i="40"/>
  <c r="AC24"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R37" i="37"/>
  <c r="R38" i="37"/>
  <c r="R39" i="37"/>
  <c r="R58" i="37"/>
  <c r="AY39" i="37"/>
  <c r="AX39" i="37"/>
  <c r="S39" i="37"/>
  <c r="AY38" i="37"/>
  <c r="AX38" i="37"/>
  <c r="AX37" i="37"/>
  <c r="AX58" i="37"/>
  <c r="S38" i="37"/>
  <c r="AY37" i="37"/>
  <c r="AY58" i="37"/>
  <c r="S37" i="37"/>
  <c r="S58" i="37"/>
  <c r="AW32" i="37"/>
  <c r="AV32" i="37"/>
  <c r="AU32" i="37"/>
  <c r="AT32" i="37"/>
  <c r="AS32" i="37"/>
  <c r="AR32" i="37"/>
  <c r="AQ32" i="37"/>
  <c r="AP32" i="37"/>
  <c r="AO32" i="37"/>
  <c r="AN32" i="37"/>
  <c r="AM32" i="37"/>
  <c r="AL32" i="37"/>
  <c r="AK32" i="37"/>
  <c r="AJ32" i="37"/>
  <c r="AI32" i="37"/>
  <c r="AH32" i="37"/>
  <c r="Q32" i="37"/>
  <c r="M32" i="37"/>
  <c r="I32" i="37"/>
  <c r="E32" i="37"/>
  <c r="AY12" i="37"/>
  <c r="AY11" i="37"/>
  <c r="AY13" i="37"/>
  <c r="AY14" i="37"/>
  <c r="AY15" i="37"/>
  <c r="AY16" i="37"/>
  <c r="AY17" i="37"/>
  <c r="AY18" i="37"/>
  <c r="AY19" i="37"/>
  <c r="AY20" i="37"/>
  <c r="AY21" i="37"/>
  <c r="AY22" i="37"/>
  <c r="AY23" i="37"/>
  <c r="AY24" i="37"/>
  <c r="AY25" i="37"/>
  <c r="AY26" i="37"/>
  <c r="AY27" i="37"/>
  <c r="AY28" i="37"/>
  <c r="AY29" i="37"/>
  <c r="AY30" i="37"/>
  <c r="AY31" i="37"/>
  <c r="S12" i="37"/>
  <c r="S11" i="37"/>
  <c r="S13" i="37"/>
  <c r="S14" i="37"/>
  <c r="S15" i="37"/>
  <c r="S16" i="37"/>
  <c r="S17" i="37"/>
  <c r="S18" i="37"/>
  <c r="S19" i="37"/>
  <c r="S20" i="37"/>
  <c r="S21" i="37"/>
  <c r="S22" i="37"/>
  <c r="S23" i="37"/>
  <c r="S24" i="37"/>
  <c r="S25" i="37"/>
  <c r="S26" i="37"/>
  <c r="S27" i="37"/>
  <c r="S28" i="37"/>
  <c r="S29" i="37"/>
  <c r="S30" i="37"/>
  <c r="S31" i="37"/>
  <c r="J32" i="37"/>
  <c r="K32" i="37"/>
  <c r="L32" i="37"/>
  <c r="AX14" i="37"/>
  <c r="AX15" i="37"/>
  <c r="AX16" i="37"/>
  <c r="AX17" i="37"/>
  <c r="AX18" i="37"/>
  <c r="AX19" i="37"/>
  <c r="AX20" i="37"/>
  <c r="AX21" i="37"/>
  <c r="AX22" i="37"/>
  <c r="AT14" i="36"/>
  <c r="AU14" i="36"/>
  <c r="AT15" i="36"/>
  <c r="AU15" i="36"/>
  <c r="AT16" i="36"/>
  <c r="AU16" i="36"/>
  <c r="AT17" i="36"/>
  <c r="AU17" i="36"/>
  <c r="AT18" i="36"/>
  <c r="AU18" i="36"/>
  <c r="AT19" i="36"/>
  <c r="AU19" i="36"/>
  <c r="AT13" i="36"/>
  <c r="AU13" i="36"/>
  <c r="O23" i="40"/>
  <c r="P23" i="40"/>
  <c r="T32" i="37"/>
  <c r="U32" i="37"/>
  <c r="V32" i="37"/>
  <c r="W32" i="37"/>
  <c r="X32" i="37"/>
  <c r="AZ32" i="37"/>
  <c r="BA32" i="37"/>
  <c r="BB32" i="37"/>
  <c r="BC32" i="37"/>
  <c r="BD32" i="37"/>
  <c r="BE32" i="37"/>
  <c r="O22" i="40"/>
  <c r="P43" i="40"/>
  <c r="P42" i="40"/>
  <c r="P41" i="40"/>
  <c r="P40" i="40"/>
  <c r="P39" i="40"/>
  <c r="P38" i="40"/>
  <c r="P30" i="40"/>
  <c r="P28" i="1"/>
  <c r="P24" i="1"/>
  <c r="AX12" i="37"/>
  <c r="AX11" i="37"/>
  <c r="AX13" i="37"/>
  <c r="AX23" i="37"/>
  <c r="AX24" i="37"/>
  <c r="AX25" i="37"/>
  <c r="AX26" i="37"/>
  <c r="AX27" i="37"/>
  <c r="AX28" i="37"/>
  <c r="AX29" i="37"/>
  <c r="AX30" i="37"/>
  <c r="AX31" i="37"/>
  <c r="R12" i="37"/>
  <c r="R13" i="37"/>
  <c r="R14" i="37"/>
  <c r="R15" i="37"/>
  <c r="R16" i="37"/>
  <c r="R17" i="37"/>
  <c r="R18" i="37"/>
  <c r="R19" i="37"/>
  <c r="R11" i="37"/>
  <c r="R20" i="37"/>
  <c r="R21" i="37"/>
  <c r="R22" i="37"/>
  <c r="R23" i="37"/>
  <c r="R24" i="37"/>
  <c r="R25" i="37"/>
  <c r="R26" i="37"/>
  <c r="R27" i="37"/>
  <c r="R28" i="37"/>
  <c r="R29" i="37"/>
  <c r="R30" i="37"/>
  <c r="R3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G58" i="43"/>
  <c r="O58" i="43"/>
  <c r="I58" i="43"/>
  <c r="N70" i="41"/>
  <c r="J71" i="41"/>
  <c r="K66" i="41"/>
  <c r="G79" i="41"/>
  <c r="G58" i="46"/>
  <c r="G60" i="46"/>
  <c r="G65" i="46"/>
  <c r="G66" i="46"/>
  <c r="G35" i="46"/>
  <c r="O68" i="40"/>
  <c r="K68" i="40"/>
  <c r="D67" i="40"/>
  <c r="N68" i="40"/>
  <c r="O67" i="40"/>
  <c r="K67" i="40"/>
  <c r="E68" i="40"/>
  <c r="J67" i="40"/>
  <c r="I67" i="40"/>
  <c r="I68" i="40"/>
  <c r="E67" i="40"/>
  <c r="M67" i="40"/>
  <c r="L67" i="41"/>
  <c r="M66" i="41"/>
  <c r="D78" i="41"/>
  <c r="J60" i="42"/>
  <c r="N60" i="42"/>
  <c r="H68" i="40"/>
  <c r="D68" i="40"/>
  <c r="F68" i="40"/>
  <c r="G68" i="40"/>
  <c r="J68" i="40"/>
  <c r="L68" i="40"/>
  <c r="M68" i="40"/>
  <c r="P68" i="40"/>
  <c r="O66" i="40"/>
  <c r="M65" i="40"/>
  <c r="M66" i="40"/>
  <c r="G60" i="40"/>
  <c r="L60" i="40"/>
  <c r="M60" i="40"/>
  <c r="O60" i="40"/>
  <c r="F62" i="42"/>
  <c r="E62" i="42"/>
  <c r="G62" i="42"/>
  <c r="L58" i="42"/>
  <c r="K67" i="41"/>
  <c r="I58" i="48"/>
  <c r="G57" i="48"/>
  <c r="N57" i="48"/>
  <c r="N61" i="48"/>
  <c r="N65" i="48"/>
  <c r="J57" i="48"/>
  <c r="K58" i="48"/>
  <c r="M57" i="48"/>
  <c r="E57" i="48"/>
  <c r="E61" i="48"/>
  <c r="F62" i="48"/>
  <c r="F58" i="48"/>
  <c r="F60" i="48"/>
  <c r="F64" i="48"/>
  <c r="F66" i="48"/>
  <c r="F68" i="48"/>
  <c r="F70" i="48"/>
  <c r="F71" i="48"/>
  <c r="F72" i="48"/>
  <c r="F35" i="48"/>
  <c r="D61" i="48"/>
  <c r="F61" i="48"/>
  <c r="G61" i="48"/>
  <c r="H61" i="48"/>
  <c r="I61" i="48"/>
  <c r="J61" i="48"/>
  <c r="K61" i="48"/>
  <c r="L61" i="48"/>
  <c r="M61" i="48"/>
  <c r="M59" i="48"/>
  <c r="M63" i="48"/>
  <c r="M65" i="48"/>
  <c r="M67" i="48"/>
  <c r="M69" i="48"/>
  <c r="M74" i="48"/>
  <c r="M75" i="48"/>
  <c r="O61" i="48"/>
  <c r="M66" i="48"/>
  <c r="I66" i="48"/>
  <c r="E66" i="48"/>
  <c r="O65" i="48"/>
  <c r="K65" i="48"/>
  <c r="G65" i="48"/>
  <c r="L66" i="48"/>
  <c r="D66" i="48"/>
  <c r="J65" i="48"/>
  <c r="F65" i="48"/>
  <c r="O66" i="48"/>
  <c r="K66" i="48"/>
  <c r="G66" i="48"/>
  <c r="I65" i="48"/>
  <c r="E65" i="48"/>
  <c r="G70" i="48"/>
  <c r="I70" i="48"/>
  <c r="K69" i="48"/>
  <c r="K57" i="48"/>
  <c r="K59" i="48"/>
  <c r="K63" i="48"/>
  <c r="K67" i="48"/>
  <c r="K74" i="48"/>
  <c r="K75" i="48"/>
  <c r="K34" i="48"/>
  <c r="D57" i="48"/>
  <c r="D65" i="48"/>
  <c r="H65" i="48"/>
  <c r="L65" i="48"/>
  <c r="J66" i="48"/>
  <c r="N66" i="48"/>
  <c r="P66" i="48"/>
  <c r="F59" i="48"/>
  <c r="F57" i="48"/>
  <c r="F63" i="48"/>
  <c r="F67" i="48"/>
  <c r="F69" i="48"/>
  <c r="F74" i="48"/>
  <c r="F75" i="48"/>
  <c r="F34" i="48"/>
  <c r="L60" i="48"/>
  <c r="D63" i="48"/>
  <c r="D68" i="48"/>
  <c r="G63" i="48"/>
  <c r="O59" i="48"/>
  <c r="I63" i="48"/>
  <c r="M58" i="47"/>
  <c r="M65" i="47"/>
  <c r="M66" i="47"/>
  <c r="M35" i="47"/>
  <c r="I58" i="47"/>
  <c r="I65" i="47"/>
  <c r="I66" i="47"/>
  <c r="I35" i="47"/>
  <c r="E58" i="47"/>
  <c r="E65" i="47"/>
  <c r="E66" i="47"/>
  <c r="E35" i="47"/>
  <c r="G57" i="47"/>
  <c r="G68" i="47"/>
  <c r="G69" i="47"/>
  <c r="G34" i="47"/>
  <c r="D58" i="47"/>
  <c r="D58" i="43"/>
  <c r="K58" i="43"/>
  <c r="M57" i="43"/>
  <c r="M59" i="43"/>
  <c r="J59" i="43"/>
  <c r="E75" i="41"/>
  <c r="O75" i="41"/>
  <c r="O69" i="41"/>
  <c r="O79" i="41"/>
  <c r="I68" i="41"/>
  <c r="N68" i="41"/>
  <c r="F57" i="46"/>
  <c r="F59" i="46"/>
  <c r="F68" i="46"/>
  <c r="F69" i="46"/>
  <c r="F34" i="46"/>
  <c r="D58" i="46"/>
  <c r="H58" i="46"/>
  <c r="N58" i="46"/>
  <c r="N60" i="46"/>
  <c r="N65" i="46"/>
  <c r="J57" i="46"/>
  <c r="I58" i="46"/>
  <c r="I60" i="46"/>
  <c r="I65" i="46"/>
  <c r="I66" i="46"/>
  <c r="I35" i="46"/>
  <c r="L57" i="46"/>
  <c r="L59" i="46"/>
  <c r="L68" i="46"/>
  <c r="L69" i="46"/>
  <c r="L34" i="46"/>
  <c r="G57" i="46"/>
  <c r="O57" i="46"/>
  <c r="O59" i="46"/>
  <c r="O68" i="46"/>
  <c r="O69" i="46"/>
  <c r="O34" i="46"/>
  <c r="N57" i="46"/>
  <c r="N59" i="46"/>
  <c r="N68" i="46"/>
  <c r="N69" i="46"/>
  <c r="N34" i="46"/>
  <c r="E58" i="46"/>
  <c r="M59" i="46"/>
  <c r="G62" i="43"/>
  <c r="D62" i="42"/>
  <c r="H72" i="41"/>
  <c r="E72" i="41"/>
  <c r="H67" i="41"/>
  <c r="L66" i="41"/>
  <c r="E71" i="41"/>
  <c r="E79" i="41"/>
  <c r="G60" i="48"/>
  <c r="M60" i="48"/>
  <c r="O60" i="48"/>
  <c r="D59" i="48"/>
  <c r="E59" i="48"/>
  <c r="I64" i="48"/>
  <c r="I60" i="48"/>
  <c r="I62" i="48"/>
  <c r="I68" i="48"/>
  <c r="I71" i="48"/>
  <c r="I72" i="48"/>
  <c r="I35" i="48"/>
  <c r="K68" i="48"/>
  <c r="K62" i="48"/>
  <c r="K60" i="48"/>
  <c r="K64" i="48"/>
  <c r="K70" i="48"/>
  <c r="K71" i="48"/>
  <c r="K72" i="48"/>
  <c r="O64" i="48"/>
  <c r="H59" i="48"/>
  <c r="L64" i="48"/>
  <c r="I59" i="48"/>
  <c r="I67" i="48"/>
  <c r="I59" i="46"/>
  <c r="K59" i="43"/>
  <c r="N59" i="43"/>
  <c r="H59" i="43"/>
  <c r="D59" i="43"/>
  <c r="E59" i="43"/>
  <c r="F59" i="43"/>
  <c r="G59" i="43"/>
  <c r="I59" i="43"/>
  <c r="L59" i="43"/>
  <c r="O59" i="43"/>
  <c r="E60" i="43"/>
  <c r="M69" i="41"/>
  <c r="E68" i="41"/>
  <c r="I69" i="41"/>
  <c r="J69" i="41"/>
  <c r="F68" i="41"/>
  <c r="D68" i="41"/>
  <c r="G68" i="41"/>
  <c r="H68" i="41"/>
  <c r="J68" i="41"/>
  <c r="K68" i="41"/>
  <c r="L68" i="41"/>
  <c r="M68" i="41"/>
  <c r="O68" i="41"/>
  <c r="P68" i="41"/>
  <c r="R68" i="41"/>
  <c r="K69" i="41"/>
  <c r="E59" i="46"/>
  <c r="H60" i="46"/>
  <c r="K59" i="46"/>
  <c r="J60" i="46"/>
  <c r="J59" i="46"/>
  <c r="K60" i="46"/>
  <c r="N78" i="41"/>
  <c r="N66" i="41"/>
  <c r="N72" i="41"/>
  <c r="N74" i="41"/>
  <c r="N76" i="41"/>
  <c r="N80" i="41"/>
  <c r="N82" i="41"/>
  <c r="O78" i="41"/>
  <c r="L78" i="41"/>
  <c r="H78" i="41"/>
  <c r="N79" i="41"/>
  <c r="F78" i="41"/>
  <c r="I79" i="41"/>
  <c r="G78" i="41"/>
  <c r="E78" i="41"/>
  <c r="D79" i="41"/>
  <c r="F79" i="41"/>
  <c r="H79" i="41"/>
  <c r="K79" i="41"/>
  <c r="M79" i="41"/>
  <c r="I78" i="41"/>
  <c r="J78" i="41"/>
  <c r="M78" i="41"/>
  <c r="K78" i="41"/>
  <c r="L73" i="41"/>
  <c r="F71" i="41"/>
  <c r="D71" i="41"/>
  <c r="K71" i="41"/>
  <c r="O71" i="41"/>
  <c r="G70" i="41"/>
  <c r="M70" i="41"/>
  <c r="I70" i="41"/>
  <c r="L70" i="41"/>
  <c r="I65" i="41"/>
  <c r="M64" i="41"/>
  <c r="M60" i="42"/>
  <c r="D60" i="42"/>
  <c r="G60" i="42"/>
  <c r="H60" i="42"/>
  <c r="L60" i="42"/>
  <c r="O60" i="42"/>
  <c r="O58" i="42"/>
  <c r="F67" i="41"/>
  <c r="F69" i="41"/>
  <c r="F73" i="41"/>
  <c r="F75" i="41"/>
  <c r="F77" i="41"/>
  <c r="F83" i="41"/>
  <c r="N62" i="48"/>
  <c r="G62" i="48"/>
  <c r="E62" i="48"/>
  <c r="L62" i="48"/>
  <c r="O70" i="48"/>
  <c r="N70" i="48"/>
  <c r="L69" i="48"/>
  <c r="I69" i="48"/>
  <c r="O69" i="48"/>
  <c r="O57" i="48"/>
  <c r="O63" i="48"/>
  <c r="L70" i="48"/>
  <c r="G57" i="43"/>
  <c r="J57" i="43"/>
  <c r="M58" i="43"/>
  <c r="D57" i="43"/>
  <c r="N58" i="43"/>
  <c r="E58" i="43"/>
  <c r="E62" i="43"/>
  <c r="H58" i="43"/>
  <c r="J58" i="43"/>
  <c r="E57" i="43"/>
  <c r="D77" i="41"/>
  <c r="E64" i="48"/>
  <c r="M64" i="48"/>
  <c r="H63" i="48"/>
  <c r="E63" i="48"/>
  <c r="J63" i="48"/>
  <c r="L63" i="48"/>
  <c r="N63" i="48"/>
  <c r="P63" i="48"/>
  <c r="R63" i="48"/>
  <c r="D64" i="48"/>
  <c r="D58" i="48"/>
  <c r="G64" i="48"/>
  <c r="J64" i="48"/>
  <c r="N64" i="48"/>
  <c r="G58" i="48"/>
  <c r="I57" i="48"/>
  <c r="H57" i="48"/>
  <c r="L57" i="48"/>
  <c r="M58" i="48"/>
  <c r="O58" i="48"/>
  <c r="O62" i="48"/>
  <c r="O71" i="48"/>
  <c r="O72" i="48"/>
  <c r="O35" i="48"/>
  <c r="J58" i="48"/>
  <c r="N58" i="48"/>
  <c r="E58" i="48"/>
  <c r="L58" i="48"/>
  <c r="D75" i="41"/>
  <c r="G75" i="41"/>
  <c r="E74" i="41"/>
  <c r="O74" i="41"/>
  <c r="J74" i="41"/>
  <c r="D74" i="41"/>
  <c r="F74" i="41"/>
  <c r="K74" i="41"/>
  <c r="I75" i="41"/>
  <c r="M68" i="48"/>
  <c r="K60" i="43"/>
  <c r="F57" i="42"/>
  <c r="F60" i="46"/>
  <c r="O60" i="46"/>
  <c r="M60" i="46"/>
  <c r="L60" i="46"/>
  <c r="G59" i="46"/>
  <c r="G68" i="46"/>
  <c r="G69" i="46"/>
  <c r="G34" i="46"/>
  <c r="E60" i="46"/>
  <c r="H59" i="46"/>
  <c r="D59" i="46"/>
  <c r="D60" i="46"/>
  <c r="D58" i="42"/>
  <c r="K64" i="41"/>
  <c r="I64" i="41"/>
  <c r="E64" i="41"/>
  <c r="H64" i="41"/>
  <c r="D64" i="41"/>
  <c r="G64" i="41"/>
  <c r="F58" i="42"/>
  <c r="H58" i="42"/>
  <c r="H62" i="42"/>
  <c r="K57" i="42"/>
  <c r="M58" i="42"/>
  <c r="H57" i="42"/>
  <c r="I57" i="42"/>
  <c r="J58" i="42"/>
  <c r="N60" i="43"/>
  <c r="L60" i="43"/>
  <c r="J60" i="43"/>
  <c r="F60" i="43"/>
  <c r="G60" i="43"/>
  <c r="O58" i="47"/>
  <c r="O65" i="47"/>
  <c r="O66" i="47"/>
  <c r="O35" i="47"/>
  <c r="K58" i="47"/>
  <c r="K65" i="47"/>
  <c r="K66" i="47"/>
  <c r="K35" i="47"/>
  <c r="G58" i="47"/>
  <c r="G65" i="47"/>
  <c r="G66" i="47"/>
  <c r="G35" i="47"/>
  <c r="M57" i="47"/>
  <c r="M68" i="47"/>
  <c r="M69" i="47"/>
  <c r="M34" i="47"/>
  <c r="I57" i="47"/>
  <c r="I68" i="47"/>
  <c r="I69" i="47"/>
  <c r="I34" i="47"/>
  <c r="D57" i="47"/>
  <c r="D68" i="47"/>
  <c r="D69" i="47"/>
  <c r="E57" i="47"/>
  <c r="E68" i="47"/>
  <c r="E69" i="47"/>
  <c r="E34" i="47"/>
  <c r="O82" i="41"/>
  <c r="I83" i="41"/>
  <c r="M83" i="41"/>
  <c r="E82" i="41"/>
  <c r="K58" i="42"/>
  <c r="E58" i="42"/>
  <c r="G58" i="42"/>
  <c r="I58" i="42"/>
  <c r="N58" i="42"/>
  <c r="P58" i="42"/>
  <c r="Q58" i="42"/>
  <c r="R58" i="42"/>
  <c r="D57" i="42"/>
  <c r="N57" i="42"/>
  <c r="M57" i="42"/>
  <c r="E57" i="42"/>
  <c r="L57" i="42"/>
  <c r="J57" i="42"/>
  <c r="E57" i="40"/>
  <c r="F57" i="40"/>
  <c r="M58" i="40"/>
  <c r="J57" i="40"/>
  <c r="G58" i="40"/>
  <c r="N58" i="40"/>
  <c r="H57" i="40"/>
  <c r="I57" i="40"/>
  <c r="O58" i="40"/>
  <c r="H58" i="40"/>
  <c r="E58" i="40"/>
  <c r="H83" i="41"/>
  <c r="G67" i="40"/>
  <c r="N67" i="40"/>
  <c r="H67" i="40"/>
  <c r="F67" i="40"/>
  <c r="L67" i="40"/>
  <c r="P67" i="40"/>
  <c r="R67" i="40"/>
  <c r="AC24" i="42"/>
  <c r="L58" i="46"/>
  <c r="L65" i="46"/>
  <c r="L66" i="46"/>
  <c r="L35" i="46"/>
  <c r="E57" i="46"/>
  <c r="E68" i="46"/>
  <c r="E69" i="46"/>
  <c r="H57" i="46"/>
  <c r="H68" i="46"/>
  <c r="H69" i="46"/>
  <c r="H34" i="46"/>
  <c r="K57" i="46"/>
  <c r="K68" i="46"/>
  <c r="K69" i="46"/>
  <c r="K34" i="46"/>
  <c r="J58" i="46"/>
  <c r="M58" i="46"/>
  <c r="M65" i="46"/>
  <c r="M66" i="46"/>
  <c r="M35" i="46"/>
  <c r="D57" i="46"/>
  <c r="D68" i="46"/>
  <c r="I57" i="46"/>
  <c r="I68" i="46"/>
  <c r="I69" i="46"/>
  <c r="I34" i="46"/>
  <c r="O58" i="46"/>
  <c r="K58" i="46"/>
  <c r="K65" i="46"/>
  <c r="K66" i="46"/>
  <c r="K35" i="46"/>
  <c r="M57" i="46"/>
  <c r="M68" i="46"/>
  <c r="M69" i="46"/>
  <c r="M34" i="46"/>
  <c r="D69" i="46"/>
  <c r="F65" i="40"/>
  <c r="I65" i="40"/>
  <c r="D66" i="40"/>
  <c r="N66" i="40"/>
  <c r="O65" i="40"/>
  <c r="J66" i="40"/>
  <c r="K65" i="40"/>
  <c r="J65" i="40"/>
  <c r="K66" i="40"/>
  <c r="H65" i="40"/>
  <c r="H66" i="40"/>
  <c r="D69" i="41"/>
  <c r="L69" i="41"/>
  <c r="G69" i="41"/>
  <c r="E69" i="41"/>
  <c r="N69" i="41"/>
  <c r="H69" i="41"/>
  <c r="N66" i="46"/>
  <c r="N35" i="46"/>
  <c r="D60" i="43"/>
  <c r="M60" i="43"/>
  <c r="O60" i="43"/>
  <c r="I60" i="43"/>
  <c r="H60" i="43"/>
  <c r="D73" i="41"/>
  <c r="K73" i="41"/>
  <c r="E69" i="48"/>
  <c r="K62" i="42"/>
  <c r="I62" i="42"/>
  <c r="J62" i="42"/>
  <c r="H70" i="48"/>
  <c r="K72" i="41"/>
  <c r="D72" i="41"/>
  <c r="F72" i="41"/>
  <c r="G72" i="41"/>
  <c r="I72" i="41"/>
  <c r="J72" i="41"/>
  <c r="L72" i="41"/>
  <c r="M72" i="41"/>
  <c r="O72" i="41"/>
  <c r="P72" i="41"/>
  <c r="M61" i="42"/>
  <c r="J61" i="42"/>
  <c r="J73" i="41"/>
  <c r="E65" i="41"/>
  <c r="E61" i="42"/>
  <c r="D70" i="48"/>
  <c r="M70" i="48"/>
  <c r="H73" i="41"/>
  <c r="N58" i="47"/>
  <c r="N65" i="47"/>
  <c r="N66" i="47"/>
  <c r="N35" i="47"/>
  <c r="F58" i="47"/>
  <c r="F65" i="47"/>
  <c r="F66" i="47"/>
  <c r="F35" i="47"/>
  <c r="H61" i="42"/>
  <c r="K83" i="41"/>
  <c r="D83" i="41"/>
  <c r="N83" i="41"/>
  <c r="M82" i="41"/>
  <c r="L82" i="41"/>
  <c r="E83" i="41"/>
  <c r="O83" i="41"/>
  <c r="D82" i="41"/>
  <c r="G83" i="41"/>
  <c r="J83" i="41"/>
  <c r="I82" i="41"/>
  <c r="J82" i="41"/>
  <c r="G82" i="41"/>
  <c r="F82" i="41"/>
  <c r="L83" i="41"/>
  <c r="K82" i="41"/>
  <c r="F65" i="46"/>
  <c r="F66" i="46"/>
  <c r="F35" i="46"/>
  <c r="O65" i="46"/>
  <c r="O66" i="46"/>
  <c r="O35" i="46"/>
  <c r="F58" i="43"/>
  <c r="F62" i="43"/>
  <c r="F65" i="43"/>
  <c r="F66" i="43"/>
  <c r="F35" i="43"/>
  <c r="L58" i="43"/>
  <c r="L62" i="43"/>
  <c r="L65" i="43"/>
  <c r="L66" i="43"/>
  <c r="L35" i="43"/>
  <c r="K77" i="41"/>
  <c r="L77" i="41"/>
  <c r="E76" i="41"/>
  <c r="I76" i="41"/>
  <c r="D76" i="41"/>
  <c r="F76" i="41"/>
  <c r="G76" i="41"/>
  <c r="H76" i="41"/>
  <c r="J76" i="41"/>
  <c r="K76" i="41"/>
  <c r="L76" i="41"/>
  <c r="M76" i="41"/>
  <c r="O76" i="41"/>
  <c r="P76" i="41"/>
  <c r="I77" i="41"/>
  <c r="M77" i="41"/>
  <c r="O77" i="41"/>
  <c r="J77" i="41"/>
  <c r="N77" i="41"/>
  <c r="G77" i="41"/>
  <c r="E77" i="41"/>
  <c r="H77" i="41"/>
  <c r="P77" i="41"/>
  <c r="I67" i="41"/>
  <c r="I73" i="41"/>
  <c r="H82" i="41"/>
  <c r="E60" i="48"/>
  <c r="E68" i="48"/>
  <c r="E70" i="48"/>
  <c r="N68" i="48"/>
  <c r="D62" i="43"/>
  <c r="D65" i="43"/>
  <c r="N62" i="43"/>
  <c r="F61" i="43"/>
  <c r="K57" i="43"/>
  <c r="O61" i="43"/>
  <c r="N61" i="43"/>
  <c r="E73" i="41"/>
  <c r="G73" i="41"/>
  <c r="M73" i="41"/>
  <c r="N73" i="41"/>
  <c r="O73" i="41"/>
  <c r="G65" i="40"/>
  <c r="L68" i="48"/>
  <c r="G67" i="48"/>
  <c r="O67" i="48"/>
  <c r="H68" i="48"/>
  <c r="J67" i="48"/>
  <c r="L67" i="48"/>
  <c r="G68" i="48"/>
  <c r="J68" i="48"/>
  <c r="E67" i="48"/>
  <c r="H67" i="48"/>
  <c r="N67" i="48"/>
  <c r="H66" i="41"/>
  <c r="D66" i="41"/>
  <c r="J66" i="41"/>
  <c r="O67" i="41"/>
  <c r="G67" i="41"/>
  <c r="D67" i="41"/>
  <c r="E67" i="41"/>
  <c r="M67" i="41"/>
  <c r="N67" i="41"/>
  <c r="P67" i="41"/>
  <c r="O66" i="41"/>
  <c r="F66" i="41"/>
  <c r="G66" i="41"/>
  <c r="E66" i="41"/>
  <c r="I66" i="41"/>
  <c r="H57" i="47"/>
  <c r="H68" i="47"/>
  <c r="H69" i="47"/>
  <c r="H34" i="47"/>
  <c r="N57" i="47"/>
  <c r="N68" i="47"/>
  <c r="N69" i="47"/>
  <c r="N34" i="47"/>
  <c r="J57" i="47"/>
  <c r="J68" i="47"/>
  <c r="J69" i="47"/>
  <c r="J34" i="47"/>
  <c r="F57" i="47"/>
  <c r="F68" i="47"/>
  <c r="F69" i="47"/>
  <c r="F34" i="47"/>
  <c r="L57" i="47"/>
  <c r="L68" i="47"/>
  <c r="L69" i="47"/>
  <c r="L34" i="47"/>
  <c r="O57" i="47"/>
  <c r="O68" i="47"/>
  <c r="O69" i="47"/>
  <c r="O34" i="47"/>
  <c r="H58" i="47"/>
  <c r="K57" i="47"/>
  <c r="K68" i="47"/>
  <c r="K69" i="47"/>
  <c r="K34" i="47"/>
  <c r="L58" i="47"/>
  <c r="L65" i="47"/>
  <c r="L66" i="47"/>
  <c r="L35" i="47"/>
  <c r="J70" i="48"/>
  <c r="D69" i="48"/>
  <c r="J69" i="48"/>
  <c r="G69" i="48"/>
  <c r="H69" i="48"/>
  <c r="N69" i="48"/>
  <c r="P69" i="48"/>
  <c r="R69" i="48"/>
  <c r="S25" i="47"/>
  <c r="J59" i="40"/>
  <c r="H59" i="40"/>
  <c r="D59" i="40"/>
  <c r="I59" i="40"/>
  <c r="N57" i="43"/>
  <c r="N68" i="43"/>
  <c r="N69" i="43"/>
  <c r="N34" i="43"/>
  <c r="O57" i="43"/>
  <c r="O68" i="43"/>
  <c r="O69" i="43"/>
  <c r="O34" i="43"/>
  <c r="H57" i="43"/>
  <c r="L57" i="43"/>
  <c r="I57" i="43"/>
  <c r="F57" i="43"/>
  <c r="L59" i="48"/>
  <c r="H60" i="48"/>
  <c r="H64" i="48"/>
  <c r="H71" i="48"/>
  <c r="H72" i="48"/>
  <c r="H35" i="48"/>
  <c r="D60" i="48"/>
  <c r="D62" i="48"/>
  <c r="D71" i="48"/>
  <c r="D72" i="48"/>
  <c r="D35" i="48"/>
  <c r="G59" i="48"/>
  <c r="G74" i="48"/>
  <c r="G75" i="48"/>
  <c r="G34" i="48"/>
  <c r="N59" i="48"/>
  <c r="K35" i="48"/>
  <c r="I60" i="42"/>
  <c r="F60" i="42"/>
  <c r="E60" i="42"/>
  <c r="E65" i="40"/>
  <c r="E66" i="40"/>
  <c r="F66" i="40"/>
  <c r="L65" i="40"/>
  <c r="D65" i="40"/>
  <c r="L66" i="40"/>
  <c r="M62" i="48"/>
  <c r="J62" i="48"/>
  <c r="H65" i="47"/>
  <c r="H66" i="47"/>
  <c r="H35" i="47"/>
  <c r="H74" i="48"/>
  <c r="H75" i="48"/>
  <c r="H34" i="48"/>
  <c r="D66" i="43"/>
  <c r="D35" i="43"/>
  <c r="I81" i="41"/>
  <c r="K81" i="41"/>
  <c r="E80" i="41"/>
  <c r="I80" i="41"/>
  <c r="E81" i="41"/>
  <c r="J79" i="41"/>
  <c r="P79" i="41"/>
  <c r="Q79" i="41"/>
  <c r="F62" i="40"/>
  <c r="L62" i="40"/>
  <c r="L61" i="40"/>
  <c r="K61" i="40"/>
  <c r="N61" i="40"/>
  <c r="E62" i="40"/>
  <c r="O62" i="40"/>
  <c r="M61" i="40"/>
  <c r="D61" i="40"/>
  <c r="H62" i="40"/>
  <c r="D62" i="40"/>
  <c r="G62" i="40"/>
  <c r="I62" i="40"/>
  <c r="J62" i="40"/>
  <c r="K62" i="40"/>
  <c r="M62" i="40"/>
  <c r="N62" i="40"/>
  <c r="P62" i="40"/>
  <c r="Q62" i="40"/>
  <c r="J61" i="40"/>
  <c r="F61" i="40"/>
  <c r="I66" i="40"/>
  <c r="P66" i="40"/>
  <c r="I61" i="40"/>
  <c r="H61" i="40"/>
  <c r="G61" i="40"/>
  <c r="T25" i="46"/>
  <c r="D34" i="46"/>
  <c r="O61" i="40"/>
  <c r="M34" i="48"/>
  <c r="AY32" i="37"/>
  <c r="D65" i="47"/>
  <c r="D66" i="47"/>
  <c r="P58" i="47"/>
  <c r="Q58" i="47"/>
  <c r="G80" i="41"/>
  <c r="E61" i="40"/>
  <c r="I74" i="48"/>
  <c r="I75" i="48"/>
  <c r="I34" i="48"/>
  <c r="E74" i="48"/>
  <c r="E75" i="48"/>
  <c r="E34" i="48"/>
  <c r="R72" i="41"/>
  <c r="P57" i="48"/>
  <c r="R57" i="48"/>
  <c r="I63" i="40"/>
  <c r="K80" i="41"/>
  <c r="M81" i="41"/>
  <c r="O80" i="41"/>
  <c r="M80" i="41"/>
  <c r="D81" i="41"/>
  <c r="G81" i="41"/>
  <c r="H80" i="41"/>
  <c r="H81" i="41"/>
  <c r="F80" i="41"/>
  <c r="J81" i="41"/>
  <c r="J59" i="48"/>
  <c r="E65" i="46"/>
  <c r="E66" i="46"/>
  <c r="E35" i="46"/>
  <c r="L71" i="48"/>
  <c r="L72" i="48"/>
  <c r="L35" i="48"/>
  <c r="P58" i="48"/>
  <c r="P68" i="48"/>
  <c r="S32" i="37"/>
  <c r="R23" i="48"/>
  <c r="S23" i="48"/>
  <c r="P58" i="46"/>
  <c r="Q58" i="46"/>
  <c r="R58" i="46"/>
  <c r="D65" i="46"/>
  <c r="D66" i="46"/>
  <c r="D35" i="46"/>
  <c r="H63" i="42"/>
  <c r="M64" i="42"/>
  <c r="J60" i="48"/>
  <c r="J71" i="48"/>
  <c r="J72" i="48"/>
  <c r="J35" i="48"/>
  <c r="T25" i="47"/>
  <c r="T25" i="41"/>
  <c r="D67" i="48"/>
  <c r="P67" i="48"/>
  <c r="R67" i="48"/>
  <c r="J74" i="48"/>
  <c r="J75" i="48"/>
  <c r="J34" i="48"/>
  <c r="E25" i="40"/>
  <c r="P69" i="41"/>
  <c r="Q69" i="41"/>
  <c r="N65" i="40"/>
  <c r="P65" i="40"/>
  <c r="R65" i="40"/>
  <c r="G65" i="43"/>
  <c r="G66" i="43"/>
  <c r="G35" i="43"/>
  <c r="Q66" i="40"/>
  <c r="R66" i="40"/>
  <c r="T23" i="48"/>
  <c r="P61" i="40"/>
  <c r="R61" i="40"/>
  <c r="P65" i="47"/>
  <c r="R65" i="47"/>
  <c r="Q66" i="48"/>
  <c r="R66" i="48"/>
  <c r="R79" i="41"/>
  <c r="Q68" i="48"/>
  <c r="R68" i="48"/>
  <c r="I74" i="40"/>
  <c r="I75" i="40"/>
  <c r="I34" i="40"/>
  <c r="AX32" i="37"/>
  <c r="F68" i="43"/>
  <c r="F69" i="43"/>
  <c r="F34" i="43"/>
  <c r="P57" i="43"/>
  <c r="I64" i="40"/>
  <c r="L64" i="40"/>
  <c r="H64" i="40"/>
  <c r="G64" i="40"/>
  <c r="G71" i="40"/>
  <c r="G72" i="40"/>
  <c r="G35" i="40"/>
  <c r="J63" i="40"/>
  <c r="J74" i="40"/>
  <c r="J75" i="40"/>
  <c r="J34" i="40"/>
  <c r="F64" i="40"/>
  <c r="N64" i="40"/>
  <c r="J64" i="40"/>
  <c r="F63" i="40"/>
  <c r="E63" i="40"/>
  <c r="K64" i="40"/>
  <c r="H63" i="40"/>
  <c r="H74" i="40"/>
  <c r="H75" i="40"/>
  <c r="H34" i="40"/>
  <c r="D64" i="40"/>
  <c r="N63" i="40"/>
  <c r="J63" i="42"/>
  <c r="O64" i="42"/>
  <c r="L63" i="40"/>
  <c r="E34" i="46"/>
  <c r="J68" i="46"/>
  <c r="J69" i="46"/>
  <c r="J34" i="46"/>
  <c r="P34" i="46"/>
  <c r="P59" i="46"/>
  <c r="R59" i="46"/>
  <c r="P61" i="48"/>
  <c r="R61" i="48"/>
  <c r="Q68" i="40"/>
  <c r="R68" i="40"/>
  <c r="D34" i="47"/>
  <c r="P34" i="47"/>
  <c r="P69" i="47"/>
  <c r="P60" i="48"/>
  <c r="I64" i="42"/>
  <c r="K63" i="40"/>
  <c r="D63" i="40"/>
  <c r="N74" i="48"/>
  <c r="N75" i="48"/>
  <c r="N34" i="48"/>
  <c r="O64" i="40"/>
  <c r="O71" i="40"/>
  <c r="O72" i="40"/>
  <c r="O35" i="40"/>
  <c r="D63" i="42"/>
  <c r="F64" i="42"/>
  <c r="F71" i="42"/>
  <c r="F72" i="42"/>
  <c r="F35" i="42"/>
  <c r="P59" i="48"/>
  <c r="R59" i="48"/>
  <c r="E64" i="40"/>
  <c r="G63" i="40"/>
  <c r="Q58" i="48"/>
  <c r="R58" i="48"/>
  <c r="D74" i="48"/>
  <c r="G63" i="42"/>
  <c r="K63" i="42"/>
  <c r="P57" i="42"/>
  <c r="M63" i="40"/>
  <c r="M64" i="40"/>
  <c r="M71" i="40"/>
  <c r="M72" i="40"/>
  <c r="M35" i="40"/>
  <c r="I71" i="42"/>
  <c r="I72" i="42"/>
  <c r="I35" i="42"/>
  <c r="P66" i="41"/>
  <c r="R66" i="41"/>
  <c r="P82" i="41"/>
  <c r="J74" i="42"/>
  <c r="J75" i="42"/>
  <c r="J34" i="42"/>
  <c r="P62" i="48"/>
  <c r="E71" i="48"/>
  <c r="E72" i="48"/>
  <c r="L74" i="48"/>
  <c r="L75" i="48"/>
  <c r="L34" i="48"/>
  <c r="E61" i="43"/>
  <c r="E68" i="43"/>
  <c r="E69" i="43"/>
  <c r="E34" i="43"/>
  <c r="D64" i="42"/>
  <c r="M63" i="42"/>
  <c r="F63" i="42"/>
  <c r="G64" i="42"/>
  <c r="G71" i="42"/>
  <c r="G72" i="42"/>
  <c r="G35" i="42"/>
  <c r="J64" i="42"/>
  <c r="J71" i="42"/>
  <c r="J72" i="42"/>
  <c r="J35" i="42"/>
  <c r="N64" i="42"/>
  <c r="E63" i="42"/>
  <c r="E74" i="42"/>
  <c r="E75" i="42"/>
  <c r="E34" i="42"/>
  <c r="I63" i="42"/>
  <c r="E64" i="42"/>
  <c r="H64" i="42"/>
  <c r="K64" i="42"/>
  <c r="L63" i="42"/>
  <c r="P58" i="43"/>
  <c r="Q58" i="43"/>
  <c r="D35" i="47"/>
  <c r="P35" i="47"/>
  <c r="P66" i="47"/>
  <c r="R58" i="47"/>
  <c r="AC23" i="47"/>
  <c r="AD23" i="47"/>
  <c r="F25" i="40"/>
  <c r="G25" i="40"/>
  <c r="O25" i="40"/>
  <c r="P25" i="40"/>
  <c r="L64" i="42"/>
  <c r="O63" i="40"/>
  <c r="N63" i="42"/>
  <c r="P83" i="41"/>
  <c r="P59" i="43"/>
  <c r="R59" i="43"/>
  <c r="P70" i="48"/>
  <c r="J65" i="46"/>
  <c r="J66" i="46"/>
  <c r="J35" i="46"/>
  <c r="E65" i="43"/>
  <c r="E66" i="43"/>
  <c r="E35" i="43"/>
  <c r="O74" i="48"/>
  <c r="O75" i="48"/>
  <c r="O34" i="48"/>
  <c r="N64" i="41"/>
  <c r="N87" i="41"/>
  <c r="N88" i="41"/>
  <c r="N34" i="41"/>
  <c r="F65" i="41"/>
  <c r="J64" i="41"/>
  <c r="J70" i="41"/>
  <c r="J87" i="41"/>
  <c r="J88" i="41"/>
  <c r="J34" i="41"/>
  <c r="M65" i="41"/>
  <c r="M71" i="41"/>
  <c r="M75" i="41"/>
  <c r="M84" i="41"/>
  <c r="M85" i="41"/>
  <c r="M35" i="41"/>
  <c r="L64" i="41"/>
  <c r="L74" i="41"/>
  <c r="L80" i="41"/>
  <c r="L87" i="41"/>
  <c r="L88" i="41"/>
  <c r="L34" i="41"/>
  <c r="H65" i="41"/>
  <c r="D65" i="41"/>
  <c r="F64" i="41"/>
  <c r="J65" i="41"/>
  <c r="O64" i="41"/>
  <c r="N65" i="41"/>
  <c r="G65" i="41"/>
  <c r="G71" i="41"/>
  <c r="G84" i="41"/>
  <c r="G85" i="41"/>
  <c r="G35" i="41"/>
  <c r="L65" i="41"/>
  <c r="K65" i="41"/>
  <c r="D70" i="41"/>
  <c r="I71" i="41"/>
  <c r="I84" i="41"/>
  <c r="I85" i="41"/>
  <c r="I35" i="41"/>
  <c r="H70" i="41"/>
  <c r="H74" i="41"/>
  <c r="H87" i="41"/>
  <c r="H88" i="41"/>
  <c r="H34" i="41"/>
  <c r="L71" i="41"/>
  <c r="K70" i="41"/>
  <c r="K87" i="41"/>
  <c r="K88" i="41"/>
  <c r="K34" i="41"/>
  <c r="O70" i="41"/>
  <c r="H71" i="41"/>
  <c r="E70" i="41"/>
  <c r="E87" i="41"/>
  <c r="E88" i="41"/>
  <c r="E34" i="41"/>
  <c r="U25" i="46"/>
  <c r="AC25" i="46"/>
  <c r="AD25" i="46"/>
  <c r="AC25" i="48"/>
  <c r="AD25" i="48"/>
  <c r="P57" i="47"/>
  <c r="N65" i="43"/>
  <c r="N66" i="43"/>
  <c r="N35" i="43"/>
  <c r="P78" i="41"/>
  <c r="R78" i="41"/>
  <c r="R32" i="37"/>
  <c r="D71" i="42"/>
  <c r="D72" i="42"/>
  <c r="D35" i="42"/>
  <c r="P64" i="48"/>
  <c r="D80" i="41"/>
  <c r="P80" i="41"/>
  <c r="R80" i="41"/>
  <c r="L81" i="41"/>
  <c r="O81" i="41"/>
  <c r="O84" i="41"/>
  <c r="O85" i="41"/>
  <c r="O35" i="41"/>
  <c r="N81" i="41"/>
  <c r="F81" i="41"/>
  <c r="P81" i="41"/>
  <c r="E84" i="41"/>
  <c r="E85" i="41"/>
  <c r="E35" i="41"/>
  <c r="G57" i="40"/>
  <c r="K58" i="40"/>
  <c r="J58" i="40"/>
  <c r="L57" i="40"/>
  <c r="D57" i="40"/>
  <c r="D58" i="40"/>
  <c r="O57" i="40"/>
  <c r="L58" i="40"/>
  <c r="L71" i="40"/>
  <c r="L72" i="40"/>
  <c r="L35" i="40"/>
  <c r="K57" i="40"/>
  <c r="M57" i="40"/>
  <c r="I58" i="40"/>
  <c r="N57" i="40"/>
  <c r="F58" i="40"/>
  <c r="F60" i="40"/>
  <c r="F71" i="40"/>
  <c r="F72" i="40"/>
  <c r="F35" i="40"/>
  <c r="M74" i="41"/>
  <c r="M87" i="41"/>
  <c r="M88" i="41"/>
  <c r="M34" i="41"/>
  <c r="I74" i="41"/>
  <c r="I87" i="41"/>
  <c r="I88" i="41"/>
  <c r="I34" i="41"/>
  <c r="J75" i="41"/>
  <c r="G74" i="41"/>
  <c r="H75" i="41"/>
  <c r="L75" i="41"/>
  <c r="K75" i="41"/>
  <c r="N75" i="41"/>
  <c r="U23" i="48"/>
  <c r="AC23" i="48"/>
  <c r="AD23" i="48"/>
  <c r="P73" i="41"/>
  <c r="Q73" i="41"/>
  <c r="R73" i="41"/>
  <c r="E71" i="42"/>
  <c r="E72" i="42"/>
  <c r="E35" i="42"/>
  <c r="M74" i="42"/>
  <c r="M75" i="42"/>
  <c r="M34" i="42"/>
  <c r="G71" i="48"/>
  <c r="G72" i="48"/>
  <c r="G35" i="48"/>
  <c r="P65" i="48"/>
  <c r="R65" i="48"/>
  <c r="N61" i="42"/>
  <c r="N74" i="42"/>
  <c r="N75" i="42"/>
  <c r="N34" i="42"/>
  <c r="D61" i="42"/>
  <c r="L61" i="42"/>
  <c r="G61" i="42"/>
  <c r="N62" i="42"/>
  <c r="N71" i="42"/>
  <c r="N72" i="42"/>
  <c r="N35" i="42"/>
  <c r="F61" i="42"/>
  <c r="F74" i="42"/>
  <c r="F75" i="42"/>
  <c r="F34" i="42"/>
  <c r="O62" i="42"/>
  <c r="O71" i="42"/>
  <c r="O72" i="42"/>
  <c r="O35" i="42"/>
  <c r="I61" i="42"/>
  <c r="L62" i="42"/>
  <c r="K61" i="42"/>
  <c r="M62" i="42"/>
  <c r="M71" i="42"/>
  <c r="M72" i="42"/>
  <c r="M35" i="42"/>
  <c r="J61" i="43"/>
  <c r="J68" i="43"/>
  <c r="J69" i="43"/>
  <c r="J34" i="43"/>
  <c r="M62" i="43"/>
  <c r="M65" i="43"/>
  <c r="M66" i="43"/>
  <c r="M35" i="43"/>
  <c r="D61" i="43"/>
  <c r="D68" i="43"/>
  <c r="D69" i="43"/>
  <c r="I61" i="43"/>
  <c r="I68" i="43"/>
  <c r="I69" i="43"/>
  <c r="I34" i="43"/>
  <c r="J62" i="43"/>
  <c r="J65" i="43"/>
  <c r="J66" i="43"/>
  <c r="J35" i="43"/>
  <c r="G61" i="43"/>
  <c r="G68" i="43"/>
  <c r="G69" i="43"/>
  <c r="G34" i="43"/>
  <c r="O62" i="43"/>
  <c r="O65" i="43"/>
  <c r="O66" i="43"/>
  <c r="O35" i="43"/>
  <c r="K61" i="43"/>
  <c r="K68" i="43"/>
  <c r="K69" i="43"/>
  <c r="K34" i="43"/>
  <c r="M61" i="43"/>
  <c r="M68" i="43"/>
  <c r="M69" i="43"/>
  <c r="M34" i="43"/>
  <c r="L61" i="43"/>
  <c r="L68" i="43"/>
  <c r="L69" i="43"/>
  <c r="L34" i="43"/>
  <c r="H62" i="43"/>
  <c r="I62" i="43"/>
  <c r="I65" i="43"/>
  <c r="I66" i="43"/>
  <c r="I35" i="43"/>
  <c r="K62" i="43"/>
  <c r="K65" i="43"/>
  <c r="K66" i="43"/>
  <c r="K35" i="43"/>
  <c r="H61" i="43"/>
  <c r="H68" i="43"/>
  <c r="H69" i="43"/>
  <c r="H34" i="43"/>
  <c r="P57" i="46"/>
  <c r="M71" i="48"/>
  <c r="M72" i="48"/>
  <c r="M35" i="48"/>
  <c r="P60" i="43"/>
  <c r="N71" i="48"/>
  <c r="N72" i="48"/>
  <c r="N35" i="48"/>
  <c r="H60" i="40"/>
  <c r="L59" i="40"/>
  <c r="I60" i="40"/>
  <c r="N59" i="40"/>
  <c r="G59" i="40"/>
  <c r="K60" i="40"/>
  <c r="J60" i="40"/>
  <c r="O59" i="40"/>
  <c r="E59" i="40"/>
  <c r="E74" i="40"/>
  <c r="E75" i="40"/>
  <c r="E34" i="40"/>
  <c r="M59" i="40"/>
  <c r="N60" i="40"/>
  <c r="N71" i="40"/>
  <c r="N72" i="40"/>
  <c r="N35" i="40"/>
  <c r="E60" i="40"/>
  <c r="E71" i="40"/>
  <c r="E72" i="40"/>
  <c r="E35" i="40"/>
  <c r="F59" i="40"/>
  <c r="F74" i="40"/>
  <c r="F75" i="40"/>
  <c r="F34" i="40"/>
  <c r="D60" i="40"/>
  <c r="K59" i="40"/>
  <c r="AC24" i="41"/>
  <c r="AC25" i="40"/>
  <c r="AD25" i="40"/>
  <c r="AC23" i="42"/>
  <c r="AD23" i="42"/>
  <c r="U25" i="47"/>
  <c r="AC25" i="47"/>
  <c r="AD25" i="47"/>
  <c r="AC25" i="43"/>
  <c r="AD25" i="43"/>
  <c r="I59" i="42"/>
  <c r="I74" i="42"/>
  <c r="I75" i="42"/>
  <c r="I34" i="42"/>
  <c r="U25" i="41"/>
  <c r="AC25" i="41"/>
  <c r="AD25" i="41"/>
  <c r="H59" i="42"/>
  <c r="H74" i="42"/>
  <c r="H75" i="42"/>
  <c r="H34" i="42"/>
  <c r="E25" i="41"/>
  <c r="E25" i="46"/>
  <c r="AC23" i="46"/>
  <c r="AD23" i="46"/>
  <c r="P60" i="46"/>
  <c r="Q60" i="46"/>
  <c r="R60" i="46"/>
  <c r="K60" i="42"/>
  <c r="P60" i="42"/>
  <c r="L59" i="42"/>
  <c r="L74" i="42"/>
  <c r="L75" i="42"/>
  <c r="L34" i="42"/>
  <c r="G59" i="42"/>
  <c r="G74" i="42"/>
  <c r="G75" i="42"/>
  <c r="G34" i="42"/>
  <c r="D25" i="42"/>
  <c r="E25" i="42"/>
  <c r="H65" i="46"/>
  <c r="H66" i="46"/>
  <c r="H35" i="46"/>
  <c r="P35" i="46"/>
  <c r="Q60" i="43"/>
  <c r="R60" i="43"/>
  <c r="H65" i="43"/>
  <c r="H66" i="43"/>
  <c r="H35" i="43"/>
  <c r="R58" i="43"/>
  <c r="H71" i="42"/>
  <c r="H72" i="42"/>
  <c r="H35" i="42"/>
  <c r="H84" i="41"/>
  <c r="H85" i="41"/>
  <c r="R69" i="41"/>
  <c r="Q67" i="41"/>
  <c r="R67" i="41"/>
  <c r="R62" i="40"/>
  <c r="H71" i="40"/>
  <c r="H72" i="40"/>
  <c r="Q60" i="42"/>
  <c r="R60" i="42"/>
  <c r="D34" i="43"/>
  <c r="P69" i="43"/>
  <c r="P34" i="43"/>
  <c r="F25" i="46"/>
  <c r="G25" i="46"/>
  <c r="F25" i="41"/>
  <c r="G25" i="41"/>
  <c r="O25" i="41"/>
  <c r="P25" i="41"/>
  <c r="P68" i="46"/>
  <c r="R57" i="46"/>
  <c r="N74" i="40"/>
  <c r="N75" i="40"/>
  <c r="N34" i="40"/>
  <c r="Q70" i="48"/>
  <c r="R70" i="48"/>
  <c r="R57" i="43"/>
  <c r="Q81" i="41"/>
  <c r="R81" i="41"/>
  <c r="P66" i="46"/>
  <c r="P75" i="41"/>
  <c r="Q75" i="41"/>
  <c r="R75" i="41"/>
  <c r="G87" i="41"/>
  <c r="G88" i="41"/>
  <c r="G34" i="41"/>
  <c r="P74" i="41"/>
  <c r="R74" i="41"/>
  <c r="I71" i="40"/>
  <c r="I72" i="40"/>
  <c r="I35" i="40"/>
  <c r="J71" i="40"/>
  <c r="J72" i="40"/>
  <c r="J35" i="40"/>
  <c r="N84" i="41"/>
  <c r="N85" i="41"/>
  <c r="N35" i="41"/>
  <c r="E35" i="48"/>
  <c r="P35" i="48"/>
  <c r="P72" i="48"/>
  <c r="K71" i="42"/>
  <c r="K72" i="42"/>
  <c r="K35" i="42"/>
  <c r="L71" i="42"/>
  <c r="L72" i="42"/>
  <c r="L35" i="42"/>
  <c r="P35" i="42"/>
  <c r="Q60" i="48"/>
  <c r="R60" i="48"/>
  <c r="L74" i="40"/>
  <c r="L75" i="40"/>
  <c r="L34" i="40"/>
  <c r="P65" i="46"/>
  <c r="R65" i="46"/>
  <c r="K74" i="42"/>
  <c r="K75" i="42"/>
  <c r="K34" i="42"/>
  <c r="D74" i="42"/>
  <c r="D75" i="42"/>
  <c r="P61" i="42"/>
  <c r="R61" i="42"/>
  <c r="M74" i="40"/>
  <c r="M75" i="40"/>
  <c r="M34" i="40"/>
  <c r="K71" i="40"/>
  <c r="K72" i="40"/>
  <c r="K35" i="40"/>
  <c r="O87" i="41"/>
  <c r="O88" i="41"/>
  <c r="O34" i="41"/>
  <c r="F84" i="41"/>
  <c r="F85" i="41"/>
  <c r="F35" i="41"/>
  <c r="Q62" i="48"/>
  <c r="R62" i="48"/>
  <c r="O25" i="46"/>
  <c r="P25" i="46"/>
  <c r="K74" i="40"/>
  <c r="K75" i="40"/>
  <c r="K34" i="40"/>
  <c r="G74" i="40"/>
  <c r="G75" i="40"/>
  <c r="G34" i="40"/>
  <c r="P59" i="42"/>
  <c r="R59" i="42"/>
  <c r="J84" i="41"/>
  <c r="J85" i="41"/>
  <c r="J35" i="41"/>
  <c r="P63" i="42"/>
  <c r="P74" i="42"/>
  <c r="R57" i="42"/>
  <c r="P69" i="46"/>
  <c r="P64" i="40"/>
  <c r="L84" i="41"/>
  <c r="L85" i="41"/>
  <c r="L35" i="41"/>
  <c r="F87" i="41"/>
  <c r="F88" i="41"/>
  <c r="F34" i="41"/>
  <c r="P64" i="41"/>
  <c r="R64" i="41"/>
  <c r="P63" i="40"/>
  <c r="R63" i="40"/>
  <c r="P57" i="40"/>
  <c r="R57" i="40"/>
  <c r="D74" i="40"/>
  <c r="P68" i="47"/>
  <c r="R57" i="47"/>
  <c r="O74" i="40"/>
  <c r="O75" i="40"/>
  <c r="O34" i="40"/>
  <c r="P62" i="42"/>
  <c r="Q62" i="42"/>
  <c r="R62" i="42"/>
  <c r="P70" i="41"/>
  <c r="R70" i="41"/>
  <c r="D84" i="41"/>
  <c r="D85" i="41"/>
  <c r="D35" i="41"/>
  <c r="P65" i="41"/>
  <c r="P59" i="40"/>
  <c r="R59" i="40"/>
  <c r="P64" i="42"/>
  <c r="D87" i="41"/>
  <c r="Q64" i="48"/>
  <c r="R64" i="48"/>
  <c r="P71" i="48"/>
  <c r="R71" i="48"/>
  <c r="D71" i="40"/>
  <c r="D72" i="40"/>
  <c r="P72" i="40"/>
  <c r="F25" i="42"/>
  <c r="O25" i="42"/>
  <c r="P25" i="42" s="1"/>
  <c r="H35" i="41"/>
  <c r="AC23" i="41"/>
  <c r="AD23" i="41"/>
  <c r="AC25" i="42"/>
  <c r="AD25" i="42"/>
  <c r="P60" i="40"/>
  <c r="Q60" i="40"/>
  <c r="R60" i="40"/>
  <c r="P62" i="43"/>
  <c r="Q62" i="43"/>
  <c r="R62" i="43"/>
  <c r="P61" i="43"/>
  <c r="R61" i="43"/>
  <c r="P58" i="40"/>
  <c r="D35" i="40"/>
  <c r="AC23" i="43"/>
  <c r="AD23" i="43"/>
  <c r="P71" i="41"/>
  <c r="K84" i="41"/>
  <c r="K85" i="41"/>
  <c r="K35" i="41"/>
  <c r="D75" i="48"/>
  <c r="P74" i="48"/>
  <c r="R63" i="42"/>
  <c r="P66" i="43"/>
  <c r="P35" i="43"/>
  <c r="H35" i="40"/>
  <c r="P85" i="41"/>
  <c r="P75" i="48"/>
  <c r="D34" i="48"/>
  <c r="P34" i="48"/>
  <c r="Q71" i="41"/>
  <c r="R71" i="41"/>
  <c r="P74" i="40"/>
  <c r="D75" i="40"/>
  <c r="P75" i="42"/>
  <c r="D34" i="42"/>
  <c r="P34" i="42"/>
  <c r="P71" i="42"/>
  <c r="R71" i="42"/>
  <c r="Q65" i="41"/>
  <c r="R65" i="41"/>
  <c r="P84" i="41"/>
  <c r="R84" i="41"/>
  <c r="Q64" i="40"/>
  <c r="R64" i="40"/>
  <c r="P35" i="40"/>
  <c r="P35" i="41"/>
  <c r="P72" i="42"/>
  <c r="P65" i="43"/>
  <c r="R65" i="43"/>
  <c r="Q58" i="40"/>
  <c r="R58" i="40"/>
  <c r="P71" i="40"/>
  <c r="R71" i="40"/>
  <c r="Q64" i="42"/>
  <c r="R64" i="42"/>
  <c r="D88" i="41"/>
  <c r="P87" i="41"/>
  <c r="P68" i="43"/>
  <c r="P75" i="40"/>
  <c r="D34" i="40"/>
  <c r="P34" i="40"/>
  <c r="P88" i="41"/>
  <c r="D34" i="41"/>
  <c r="P34"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
  </authors>
  <commentList>
    <comment ref="AA15" authorId="0" shapeId="0" xr:uid="{50E20686-0E5A-43DE-AA18-14258F89969F}">
      <text>
        <r>
          <rPr>
            <b/>
            <sz val="11"/>
            <color indexed="81"/>
            <rFont val="Tahoma"/>
            <family val="2"/>
          </rPr>
          <t>OLS</t>
        </r>
        <r>
          <rPr>
            <sz val="11"/>
            <color indexed="81"/>
            <rFont val="Tahoma"/>
            <family val="2"/>
          </rPr>
          <t xml:space="preserve">
Promoción de la igualdad, el desarrollo de capacidades y el reconocimiento de las mujeres</t>
        </r>
      </text>
    </comment>
    <comment ref="C32" authorId="1"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
  </authors>
  <commentList>
    <comment ref="AA15" authorId="0" shapeId="0" xr:uid="{5ACB7B10-B1DD-466C-B5A9-249CCA25DB4D}">
      <text>
        <r>
          <rPr>
            <b/>
            <sz val="9"/>
            <color indexed="81"/>
            <rFont val="Tahoma"/>
            <family val="2"/>
          </rPr>
          <t xml:space="preserve">OLS
</t>
        </r>
        <r>
          <rPr>
            <sz val="9"/>
            <color indexed="81"/>
            <rFont val="Tahoma"/>
            <family val="2"/>
          </rPr>
          <t>Promoción de la igualdad, el desarrollo de capacidades y el reconocimiento de las mujeres</t>
        </r>
      </text>
    </comment>
    <comment ref="C32" authorId="1"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A36" authorId="0" shapeId="0" xr:uid="{00000000-0006-0000-0200-000004000000}">
      <text>
        <r>
          <rPr>
            <b/>
            <sz val="9"/>
            <color indexed="81"/>
            <rFont val="Tahoma"/>
            <family val="2"/>
          </rPr>
          <t>Angela Marcela Forero Ruiz:</t>
        </r>
        <r>
          <rPr>
            <sz val="9"/>
            <color indexed="81"/>
            <rFont val="Tahoma"/>
            <family val="2"/>
          </rPr>
          <t xml:space="preserve">
</t>
        </r>
        <r>
          <rPr>
            <sz val="11"/>
            <color indexed="81"/>
            <rFont val="Tahoma"/>
            <family val="2"/>
          </rPr>
          <t>AJUSTAR NUMERACIÓN, ESTA ACTVIDAD EMPEZARIA EN 7 Y TOCA MOVER LAS DEMÁS</t>
        </r>
      </text>
    </comment>
    <comment ref="A38" authorId="0" shapeId="0" xr:uid="{00000000-0006-0000-0200-000005000000}">
      <text>
        <r>
          <rPr>
            <b/>
            <sz val="11"/>
            <color indexed="81"/>
            <rFont val="Tahoma"/>
            <family val="2"/>
          </rPr>
          <t>Angela Marcela Forero Ruiz:</t>
        </r>
        <r>
          <rPr>
            <sz val="11"/>
            <color indexed="81"/>
            <rFont val="Tahoma"/>
            <family val="2"/>
          </rPr>
          <t xml:space="preserve">
ESPECIFICAR A QUE METODOLOGÍAS </t>
        </r>
      </text>
    </comment>
    <comment ref="A52" authorId="0" shapeId="0" xr:uid="{00000000-0006-0000-0200-000006000000}">
      <text>
        <r>
          <rPr>
            <b/>
            <sz val="11"/>
            <color indexed="81"/>
            <rFont val="Tahoma"/>
            <family val="2"/>
          </rPr>
          <t>Angela Marcela Forero Ruiz:</t>
        </r>
        <r>
          <rPr>
            <sz val="11"/>
            <color indexed="81"/>
            <rFont val="Tahoma"/>
            <family val="2"/>
          </rPr>
          <t xml:space="preserve">
Redactar en forma de actividad "REALIZAR" o "LLEVAR A CABO"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
  </authors>
  <commentList>
    <comment ref="AA15" authorId="0" shapeId="0" xr:uid="{E7559FE3-A396-4621-BAF7-8CB68C5E1E87}">
      <text>
        <r>
          <rPr>
            <b/>
            <sz val="9"/>
            <color indexed="81"/>
            <rFont val="Tahoma"/>
            <family val="2"/>
          </rPr>
          <t>OLS</t>
        </r>
        <r>
          <rPr>
            <sz val="9"/>
            <color indexed="81"/>
            <rFont val="Tahoma"/>
            <family val="2"/>
          </rPr>
          <t xml:space="preserve">
Promoción de la igualdad, el desarrollo de capacidades y el reconocimiento de las mujeres
</t>
        </r>
      </text>
    </comment>
    <comment ref="G24" authorId="0" shapeId="0" xr:uid="{277D499C-E895-455B-8887-D9AB14CBC612}">
      <text>
        <r>
          <rPr>
            <b/>
            <sz val="11"/>
            <color indexed="81"/>
            <rFont val="Tahoma"/>
            <family val="2"/>
          </rPr>
          <t xml:space="preserve">OLS: </t>
        </r>
        <r>
          <rPr>
            <sz val="11"/>
            <color indexed="81"/>
            <rFont val="Tahoma"/>
            <family val="2"/>
          </rPr>
          <t>Incluir anulacions de la reserva de tal forma que de $50.439.823 qu corresponde al valor actual</t>
        </r>
      </text>
    </comment>
    <comment ref="C32" authorId="1"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A36" authorId="0" shapeId="0" xr:uid="{00000000-0006-0000-0300-000004000000}">
      <text>
        <r>
          <rPr>
            <b/>
            <sz val="9"/>
            <color indexed="81"/>
            <rFont val="Tahoma"/>
            <family val="2"/>
          </rPr>
          <t>Angela Marcela Forero Ruiz:</t>
        </r>
        <r>
          <rPr>
            <sz val="9"/>
            <color indexed="81"/>
            <rFont val="Tahoma"/>
            <family val="2"/>
          </rPr>
          <t xml:space="preserve">
</t>
        </r>
        <r>
          <rPr>
            <sz val="11"/>
            <color indexed="81"/>
            <rFont val="Tahoma"/>
            <family val="2"/>
          </rPr>
          <t>AJUSTAR LA NUMERACION, ESTA ACTIVIDAD SERIA LA 17</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
    <author>ANGELA MARCELA FORERO RUIZ</author>
  </authors>
  <commentList>
    <comment ref="AA15" authorId="0" shapeId="0" xr:uid="{4A1A040B-3441-4769-AEA0-EC09EE46858A}">
      <text>
        <r>
          <rPr>
            <b/>
            <sz val="11"/>
            <color indexed="81"/>
            <rFont val="Tahoma"/>
            <family val="2"/>
          </rPr>
          <t xml:space="preserve">OLS
</t>
        </r>
        <r>
          <rPr>
            <sz val="11"/>
            <color indexed="81"/>
            <rFont val="Tahoma"/>
            <family val="2"/>
          </rPr>
          <t xml:space="preserve">Promoción de la igualdad, el desarrollo de capacidades y el reconocimiento de las mujeres
</t>
        </r>
      </text>
    </comment>
    <comment ref="C32" authorId="1" shapeId="0" xr:uid="{00000000-0006-0000-04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4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4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T34" authorId="3" shapeId="0" xr:uid="{83AC199E-A857-4BB8-A037-A64864B6572E}">
      <text>
        <r>
          <rPr>
            <b/>
            <sz val="9"/>
            <color indexed="81"/>
            <rFont val="Tahoma"/>
            <family val="2"/>
          </rPr>
          <t>Ajustar para que diga trimestre</t>
        </r>
      </text>
    </comment>
    <comment ref="A36" authorId="0" shapeId="0" xr:uid="{00000000-0006-0000-0400-000005000000}">
      <text>
        <r>
          <rPr>
            <b/>
            <sz val="9"/>
            <color indexed="81"/>
            <rFont val="Tahoma"/>
            <family val="2"/>
          </rPr>
          <t>Angela Marcela Forero Ruiz:</t>
        </r>
        <r>
          <rPr>
            <sz val="9"/>
            <color indexed="81"/>
            <rFont val="Tahoma"/>
            <family val="2"/>
          </rPr>
          <t xml:space="preserve">
</t>
        </r>
        <r>
          <rPr>
            <sz val="11"/>
            <color indexed="81"/>
            <rFont val="Tahoma"/>
            <family val="2"/>
          </rPr>
          <t>AJUSTAR NUMERACION DE LAS ACTIVIDADES, ESTA INICIARIA CON 21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Denis Helbert Morales Roa</author>
  </authors>
  <commentList>
    <comment ref="AA15" authorId="0" shapeId="0" xr:uid="{41A2195A-9D06-475D-9138-7C3E93F2BC12}">
      <text>
        <r>
          <rPr>
            <b/>
            <sz val="11"/>
            <color indexed="81"/>
            <rFont val="Tahoma"/>
            <family val="2"/>
          </rPr>
          <t xml:space="preserve">OLS
</t>
        </r>
        <r>
          <rPr>
            <sz val="11"/>
            <color indexed="81"/>
            <rFont val="Tahoma"/>
            <family val="2"/>
          </rPr>
          <t>Promoción de la igualdad, el desarrollo de capacidades y el reconocimiento de las mujeres</t>
        </r>
      </text>
    </comment>
    <comment ref="W17" authorId="0" shapeId="0" xr:uid="{00000000-0006-0000-0500-000001000000}">
      <text>
        <r>
          <rPr>
            <b/>
            <sz val="11"/>
            <color indexed="81"/>
            <rFont val="Tahoma"/>
            <family val="2"/>
          </rPr>
          <t>Angela Marcela Forero Ruiz:</t>
        </r>
        <r>
          <rPr>
            <sz val="11"/>
            <color indexed="81"/>
            <rFont val="Tahoma"/>
            <family val="2"/>
          </rPr>
          <t xml:space="preserve">
La meta para 2023 es 0,20</t>
        </r>
      </text>
    </comment>
    <comment ref="AC17" authorId="0" shapeId="0" xr:uid="{00000000-0006-0000-0500-000002000000}">
      <text>
        <r>
          <rPr>
            <b/>
            <sz val="11"/>
            <color indexed="81"/>
            <rFont val="Tahoma"/>
            <family val="2"/>
          </rPr>
          <t>Angela Marcela Forero Ruiz:</t>
        </r>
        <r>
          <rPr>
            <sz val="11"/>
            <color indexed="81"/>
            <rFont val="Tahoma"/>
            <family val="2"/>
          </rPr>
          <t xml:space="preserve">
Incluir ponderación de esta meta 6%</t>
        </r>
      </text>
    </comment>
    <comment ref="C32" authorId="1" shapeId="0" xr:uid="{00000000-0006-0000-0500-000003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A36" authorId="0" shapeId="0" xr:uid="{00000000-0006-0000-0500-000004000000}">
      <text>
        <r>
          <rPr>
            <b/>
            <sz val="9"/>
            <color indexed="81"/>
            <rFont val="Tahoma"/>
            <family val="2"/>
          </rPr>
          <t>Angela Marcela Forero Ruiz:</t>
        </r>
        <r>
          <rPr>
            <sz val="9"/>
            <color indexed="81"/>
            <rFont val="Tahoma"/>
            <family val="2"/>
          </rPr>
          <t xml:space="preserve">
AJUSTAR NUMERACION, ESTA ACTIVIDAD INICIARIA CON EL NUMERO 24</t>
        </r>
      </text>
    </comment>
    <comment ref="A38" authorId="2" shapeId="0" xr:uid="{00000000-0006-0000-0500-000005000000}">
      <text>
        <r>
          <rPr>
            <b/>
            <sz val="9"/>
            <color indexed="81"/>
            <rFont val="Tahoma"/>
            <family val="2"/>
          </rPr>
          <t>Denis Helbert Morales Roa:</t>
        </r>
        <r>
          <rPr>
            <sz val="9"/>
            <color indexed="81"/>
            <rFont val="Tahoma"/>
            <family val="2"/>
          </rPr>
          <t xml:space="preserve">
En esta meta debe también reportar la dirección de Territorialización. Se debe preguntar a Territorialización, a qué meta reportan el fortalecimiento de Organizaciones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Denis Helbert Morales Roa</author>
  </authors>
  <commentList>
    <comment ref="AA15" authorId="0" shapeId="0" xr:uid="{C6D6757C-3A3C-4AF4-A049-55CFE81CFE53}">
      <text>
        <r>
          <rPr>
            <b/>
            <sz val="11"/>
            <color indexed="81"/>
            <rFont val="Tahoma"/>
            <family val="2"/>
          </rPr>
          <t xml:space="preserve">OLS
</t>
        </r>
        <r>
          <rPr>
            <sz val="11"/>
            <color indexed="81"/>
            <rFont val="Tahoma"/>
            <family val="2"/>
          </rPr>
          <t>Promoción de la igualdad, el desarrollo de capacidades y el reconocimiento de las mujeres</t>
        </r>
      </text>
    </comment>
    <comment ref="AC17" authorId="0" shapeId="0" xr:uid="{00000000-0006-0000-0600-000001000000}">
      <text>
        <r>
          <rPr>
            <b/>
            <sz val="11"/>
            <color indexed="81"/>
            <rFont val="Tahoma"/>
            <family val="2"/>
          </rPr>
          <t>Angela Marcela Forero Ruiz:</t>
        </r>
        <r>
          <rPr>
            <sz val="11"/>
            <color indexed="81"/>
            <rFont val="Tahoma"/>
            <family val="2"/>
          </rPr>
          <t xml:space="preserve">
Incluir ponderación de esta meta 5%</t>
        </r>
      </text>
    </comment>
    <comment ref="A50" authorId="1" shapeId="0" xr:uid="{00000000-0006-0000-0600-000002000000}">
      <text>
        <r>
          <rPr>
            <b/>
            <sz val="9"/>
            <color indexed="81"/>
            <rFont val="Tahoma"/>
            <family val="2"/>
          </rPr>
          <t>Denis Helbert Morales Roa:</t>
        </r>
        <r>
          <rPr>
            <sz val="9"/>
            <color indexed="81"/>
            <rFont val="Tahoma"/>
            <family val="2"/>
          </rPr>
          <t xml:space="preserve">
Se propone que se mantenga este acompañamiento pero que se sume a la meta  el acompañamiento a otra instancia que podría ser el Consejo Distrital de Jóvenes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
  </authors>
  <commentList>
    <comment ref="AA15" authorId="0" shapeId="0" xr:uid="{67B74F3C-409D-448D-AC72-15886E1EF3BB}">
      <text>
        <r>
          <rPr>
            <b/>
            <sz val="11"/>
            <color indexed="81"/>
            <rFont val="Tahoma"/>
            <family val="2"/>
          </rPr>
          <t xml:space="preserve">OLS
</t>
        </r>
        <r>
          <rPr>
            <sz val="11"/>
            <color indexed="81"/>
            <rFont val="Tahoma"/>
            <family val="2"/>
          </rPr>
          <t>Promoción de la igualdad, el desarrollo de capacidades y el reconocimiento de las mujeres</t>
        </r>
      </text>
    </comment>
    <comment ref="C32" authorId="1" shapeId="0" xr:uid="{00000000-0006-0000-0700-000002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700-000003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700-000004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A36" authorId="0" shapeId="0" xr:uid="{00000000-0006-0000-0700-000005000000}">
      <text>
        <r>
          <rPr>
            <b/>
            <sz val="9"/>
            <color indexed="81"/>
            <rFont val="Tahoma"/>
            <family val="2"/>
          </rPr>
          <t>Angela Marcela Forero Ruiz:</t>
        </r>
        <r>
          <rPr>
            <sz val="9"/>
            <color indexed="81"/>
            <rFont val="Tahoma"/>
            <family val="2"/>
          </rPr>
          <t xml:space="preserve">
AJUSTAR NUMERACION DE LAS ACTIVIDADES, CREO QUE ESTA SERIA LA 32 Y ASI SUCESIVAMENTE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8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8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8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8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8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8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800-000007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8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800-000009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8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<sst xmlns="http://schemas.openxmlformats.org/spreadsheetml/2006/main" count="2113" uniqueCount="599">
  <si>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</si>
  <si>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</si>
  <si>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</si>
  <si>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</si>
  <si>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</si>
  <si>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</si>
  <si>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</si>
  <si>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</si>
  <si>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ABR</t>
  </si>
  <si>
    <t>FECHA DE REPORTE</t>
  </si>
  <si>
    <t>TIPO DE REPORTE</t>
  </si>
  <si>
    <t>FORMULACION</t>
  </si>
  <si>
    <t>ACTUALIZACION</t>
  </si>
  <si>
    <t>SEGUIMIENTO</t>
  </si>
  <si>
    <t>X</t>
  </si>
  <si>
    <t>NOMBRE DEL PROYECTO</t>
  </si>
  <si>
    <t>7671 - Implementación de acciones afirmativas dirigidas a las mujeres con enfoque diferencial y de género en Bogotá</t>
  </si>
  <si>
    <t>PROPÓSITO</t>
  </si>
  <si>
    <t>Hacer un nuevo contrato social con igualdad de oportunidades para la inclusión social, productiva y política</t>
  </si>
  <si>
    <t>LOGRO</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</si>
  <si>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</si>
  <si>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</si>
  <si>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DESCRIPCIÓN DE LA META (ACTIVIDAD MGA)</t>
  </si>
  <si>
    <t>Elaborar e implementar 3 lineamientos con enfoques de derechos de las mujeres, de género y diferencial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</si>
  <si>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</si>
  <si>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</si>
  <si>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</si>
  <si>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</si>
  <si>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</si>
  <si>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</si>
  <si>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</si>
  <si>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</si>
  <si>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MAY</t>
  </si>
  <si>
    <t>JUN</t>
  </si>
  <si>
    <t>JUL</t>
  </si>
  <si>
    <t>AGO</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</si>
  <si>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</si>
  <si>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</si>
  <si>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</si>
  <si>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</si>
  <si>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</si>
  <si>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</si>
  <si>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</si>
  <si>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</si>
  <si>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</si>
  <si>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</si>
  <si>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</si>
  <si>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</si>
  <si>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</si>
  <si>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</si>
  <si>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</si>
  <si>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 xml:space="preserve">Elaborar e implementar 3 lineamientos con enfoque de derechos de las mujeres, de genero y diferencial </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</si>
  <si>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</si>
  <si>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</si>
  <si>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</si>
  <si>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</si>
  <si>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</si>
  <si>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</si>
  <si>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</si>
  <si>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</si>
  <si>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</si>
  <si>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</si>
  <si>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</si>
  <si>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</si>
  <si>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</si>
  <si>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</si>
  <si>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</si>
  <si>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</si>
  <si>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</si>
  <si>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</si>
  <si>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</si>
  <si>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</si>
  <si>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</si>
  <si>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</si>
  <si>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</si>
  <si>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</si>
  <si>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</si>
  <si>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</si>
  <si>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</si>
  <si>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</si>
  <si>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</si>
  <si>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</si>
  <si>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 Realizar actividades de asistencia técnica dirigidas a los Sectores de la Administración Distrital, orientadas a la implementación de los lineamientos para la estrategia de transversalización del enfoque diferencial y del procedimiento de asistencia técnica que lidera la Dirección de Enfoque Diferencial. </t>
  </si>
  <si>
    <t xml:space="preserve">2. Consolidar la caja de herramientas que contribuya a la eliminación de barreras de acceso a los servicios y a la realización de acciones afirmativas dirigidas a mujeres en sus diferencias y diversidad para la garantía de sus derechos en el Distrito Capital. </t>
  </si>
  <si>
    <t>3. Formular, validar, implementar y hacer seguimiento al plan de fortalecimiento interno para la incorporación de acciones afirmativas con enfoque diferencial que permitan el acceso de las mujeres en toda su diversidad a los servicios que presta la Secretaría Distrital de la Mujer.</t>
  </si>
  <si>
    <t>4. Socializar e implementar la hoja de ruta para incorporar los enfoques de derechos de las mujeres, de género y diferencial, a través del acompañamiento y articulación con las consejeras  por el Sector Mujeres en el CTPD.</t>
  </si>
  <si>
    <t>5. Socializar e implementar la hoja de ruta para incorporar los enfoques de derechos de las mujeres, de género y diferencial, a través del acompañamiento y articulación con la Submesa para la garantía y seguimiento de los derechos de las mujeres, diversidades, disidencias sexuales y de Género.</t>
  </si>
  <si>
    <t>6. Realizar un documento que dé cuenta de los avances en la incorporación durante el cuatrienio de los enfoques de derechos de las mujeres, de género y diferencial para mujeres en las instancias que se acompañan desde la Subsecretaría del Cuidado y Políticas de Igualdad.</t>
  </si>
  <si>
    <t>*Incluir tantas filas sean necesarias</t>
  </si>
  <si>
    <t>DESCRIPCIÓN DE LA ACTIVIDAD</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</si>
  <si>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</si>
  <si>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</si>
  <si>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</si>
  <si>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</si>
  <si>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</si>
  <si>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</si>
  <si>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</si>
  <si>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</si>
  <si>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</si>
  <si>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</si>
  <si>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</si>
  <si>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</si>
  <si>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</si>
  <si>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</si>
  <si>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</si>
  <si>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</si>
  <si>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</si>
  <si>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</si>
  <si>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</si>
  <si>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Implementar 3 estrategias con enfoque diferencial para mujeres en su diversidad</t>
  </si>
  <si>
    <t xml:space="preserve">7. Realizar ajustes a las metodologías de semilleros y jornadas significativas de acuerdo con las necesidades de cada grupo poblacional teniendo en cuenta sus diferencias y diversidad </t>
  </si>
  <si>
    <t>8. Realizar semilleros y jornadas significativas  que brinden herramientas para el  empoderamiento. Dirigidos a niñas, adolescentes y mujeres jóvenes en sus diferencias y diversidad</t>
  </si>
  <si>
    <t>9. Desarrollar acciones de difusión, visibilización divulgación de la estrategia de empoderamiento.</t>
  </si>
  <si>
    <t>10. Desarrollar escuelas de educación emocional enfocadas en fortalecer capacidades y herramientas para gestionar la salud mental de las mujeres en su diversidad en la ciudad de Bogotá.</t>
  </si>
  <si>
    <t>11. Desarrollar espacios de encuentro de mujeres para el cuidado emocional denominados Espacios Respiro.</t>
  </si>
  <si>
    <t xml:space="preserve">12.Diseñar e implementar una estrategia de difusión y socialización de la caja de herramientas construida en el marco de la estrategia de capacidades psicoemocionales  </t>
  </si>
  <si>
    <t xml:space="preserve">13.   Implementar la Fase I y II de la EDCM . Espacios EMAA mujeres en sus diferencias y diversidad; hombres trans y personas no binarias. Jornadas de Dignidad Menstrual. </t>
  </si>
  <si>
    <t xml:space="preserve">14. Realizar la Mesa Interinstitucional activa, implementando Plan de Trabajo  </t>
  </si>
  <si>
    <t xml:space="preserve">15. Definir e implementar acciones de las fases III y IV de la Estrategia de Cuidado Menstrual dirigidas a mujeres y personas con experiencias menstruales en sus diferencias y diversidad, según priorización y pertinencia. </t>
  </si>
  <si>
    <t>16. Diseñar y poner en acción el Plan Estratégico de Comunicaciones de la EDCM</t>
  </si>
  <si>
    <t xml:space="preserve">Implementar la Estrategia Casa de Todas </t>
  </si>
  <si>
    <t>Se ha brindado atención integral y acompañamiento a las mujeres que realizan ASP con el fin de contribuir a la garantía de derechos, combatir la estigmatización y mejorar la calidad de vida de esta población a través de una oferta institucional diferencial y especializada.</t>
  </si>
  <si>
    <t>17. Realizar atenciones en intervención de trabajo  social que comprenden plan de intervención, valoraciones iniciales, intervenciones y seguimiento a mujeres que realizan actividades sexuales pagadas.</t>
  </si>
  <si>
    <t>18.  Realizar atenciones psicosociales  (valoraciones iniciales, asesoría y seguimientos) a mujeres que realizan actividades sexuales pagadas y sus familias</t>
  </si>
  <si>
    <t>19. Realizar atenciones jurídicas a mujeres que realizan actividades sexuales pagadas, que consisten en orientación, asesoría y representación jurídica especializada y llevar casos de intervención o representación judicial, con valoraciones iniciales, asesorías u orientaciones y seguimiento.</t>
  </si>
  <si>
    <t>20. Generar información de los sitios, dinámicas y contextos de las actividades sexuales pagadas en Bogotá</t>
  </si>
  <si>
    <t xml:space="preserve">7671 - Implementación de acciones afirmativas dirigidas a las mujeres con enfoque diferencial y de género en Bogotá								
								</t>
  </si>
  <si>
    <t xml:space="preserve">Hacer un nuevo contrato social con igualdad de oportunidades para la inclusión social, productiva y política								</t>
  </si>
  <si>
    <t xml:space="preserve">Implementar una estrategia de educación flexible con enfoque diferencial.	</t>
  </si>
  <si>
    <t>Implementar una estrategia de educación flexible con enfoque diferencial.</t>
  </si>
  <si>
    <t>No presenta retrasos</t>
  </si>
  <si>
    <r>
      <t>La estrategia de educación flexible permite la reducción de las barreras de acceso al derecho a la educación de las mujeres en sus diferencias y diversidad</t>
    </r>
    <r>
      <rPr>
        <sz val="11"/>
        <color indexed="60"/>
        <rFont val="Times New Roman"/>
        <family val="1"/>
      </rPr>
      <t xml:space="preserve">. </t>
    </r>
  </si>
  <si>
    <t>21.  Promover los apoyos de acceso a educación superior a través del acompañamiento, preparación (PRE ICFES) y financiación del Examen Saber 11°  (ICFES).</t>
  </si>
  <si>
    <t>22. Promover la vinculación de las mujeres en toda su diversidad a la educación superior a través de ferias universitarias, y la divulgación/socialización de herramientas formativas (manuales, documentos, caja de herramientas) con diversas Universidades e Instituciones educativas que permitan facilitar el acceso, permanencia y culminación de los estudios superiores.</t>
  </si>
  <si>
    <t xml:space="preserve">23. Promover y acompañar a las mujeres en toda su diversidad en las estrategias de educación flexible y en los procesos de vinculación a la formación complementaria (cursos cortos) a través de alianzas interinstitucionales públicas y privadas. </t>
  </si>
  <si>
    <t>Implementar 1 estrategia de fortalecimiento de capacidades  para el ejercicio del derecho a la participación de las mujeres</t>
  </si>
  <si>
    <t>Fortalecimiento de las capacidades de las mujeres en torno al ejercicio del derecho de la participación</t>
  </si>
  <si>
    <t>24. Realizar la implementación de la estrategia de fortalecimiento de capacidades para el ejercicio del derecho a la participación de las mujeres en el Distrito.</t>
  </si>
  <si>
    <t xml:space="preserve">Acompañar técnicamente 4 instancias de participación y representación de las mujeres  para fortalecer sus capacidades de liderazgo	</t>
  </si>
  <si>
    <t>Acompañamiento técnico para el fortalecimiento del derecho a la participación de las mujeres en las diferentes instancias priorizadas, para el posicionamiento de sus agendas.</t>
  </si>
  <si>
    <t>25. Acompañar técnica y operativamente el desarrollo de la Mesa coordinadora y el Espacio Ampliado y cuando se solicite por parte del CCM la plenaria del espacio autónomo.</t>
  </si>
  <si>
    <t>26. Acompañar técnicamente el desarrollo de las mesas de trabajo con los sectores de la administración distrital y alcaldias locales, y hacer seguimiento a los compromisos adquiridos por la administración distrital y los alcaldes locales en el marco del Consejo Consultivo de Mujeres.</t>
  </si>
  <si>
    <t>27. Acompañar técnicamente el desarrollo de comisiones de trabajo del Espacio Autónomo del Consejo Consultivo de Mujeres.</t>
  </si>
  <si>
    <t>28. Acompañar técnicamente la transversalización del enfoque de género en el Concejo de Bogotá, con énfasis en las bancadas de mujeres de este órgano</t>
  </si>
  <si>
    <t>29. Acompañar técnicamente, gestionar y coordinar las reuniones con la Submesa para la garantía y seguimiento de los derechos de las mujeres, diversidades, disidencias sexuales y de Género.</t>
  </si>
  <si>
    <t>30. Realizar Acompañamiento técnico al Puesto de mando Unificado (PMU) durante las movilizaciones y protesta social que se realicen y a las cuales se convoque a la SDMujer.</t>
  </si>
  <si>
    <t>31. Acompañar técnicamente a las consejeras del sector mujeres del Consejo Distrital de jóvenes</t>
  </si>
  <si>
    <t>7671 - Implementación de acciones afirmativas dirigidas a las mujeres con enfoque diferencial y de género en Bogotá7671 - Implementación de acciones afirmativas dirigidas a las mujeres con enfoque diferencial y de género en Bogotá</t>
  </si>
  <si>
    <t>Diseñar e implementar 4 estrategias de transformación de imaginarios, representaciones  y estereotipos de discriminación con enfoque diferencial y de género, dirigidas a la ciudadanía</t>
  </si>
  <si>
    <t xml:space="preserve">No se presentan retrasos.
</t>
  </si>
  <si>
    <t>Se contribuye en la eliminación de estereotipos, imaginarios y representaciones de discriminación para las mujeres en sus diferencias y diversidad, a través de fomentar la incorporación del enfoque diferencial en los diferentes sectores de la administración distrital, visibilizar las agendas políticas de las mujeres en sus diferencias y diversidades por medio de las conmemoraciones, crear herramientas con enfoque diferencial, así como vincular a las  mujeres en las actividades de la Dirección.</t>
  </si>
  <si>
    <t>32. Apoyar, articular y desarrollar las conmemoraciones de las mujeres en sus diferencias y diversidad, con las cuales se trabaja en la Dirección de Enfoque Diferencial, reconociendo sus particularidades, usos y costumbres, que permita el posicionamiento de sus agendas políticas a nivel distrital por medio de la transformación cultural vinculando a la sociedad civil, organizaciones de mujeres y sectores de la Administración Distrital.</t>
  </si>
  <si>
    <t xml:space="preserve">33. Diseñar e implementar jornadas de información  con las Oficinas de planeación de los sectores de la administración con el objetivo de transversalizar el enfoque de género y diferencial, por medio de acciones que permitan una transformación cultural, reduciendo los imaginarios, estereotipos y representaciones de las mujeres en sus diferencias y diversidades. </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</si>
  <si>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</si>
  <si>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</si>
  <si>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</si>
  <si>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</si>
  <si>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</si>
  <si>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</si>
  <si>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</si>
  <si>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</si>
  <si>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3. Igualdad de oportunidades y desarrollo de capacidades para las mujeres</t>
  </si>
  <si>
    <t>OBJETIVO ESTRATEGICO:</t>
  </si>
  <si>
    <t>Implementar acciones afirmativas y estrategias con Enfoque Diferencial para las mujeres en toda su diversidad.</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</si>
  <si>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</si>
  <si>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</si>
  <si>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</si>
  <si>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</si>
  <si>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</si>
  <si>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</si>
  <si>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</si>
  <si>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</si>
  <si>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</si>
  <si>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</si>
  <si>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</si>
  <si>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 2023</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</si>
  <si>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</si>
  <si>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</si>
  <si>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</si>
  <si>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</si>
  <si>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</si>
  <si>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</si>
  <si>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</si>
  <si>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</si>
  <si>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</si>
  <si>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</si>
  <si>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</si>
  <si>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N/A</t>
  </si>
  <si>
    <t>Diseñar acciones afirmativas con enfoque diferencial, para desarrollar capacidades y promover el bienestar socio emocional y los derechos de las mujeres en todas sus diversidades, en los sectores de la administración distrital y en las localidades</t>
  </si>
  <si>
    <t>Número de sectores que implementan acciones afirmativas con enfoque diferencial para desarrollar capacidades y promover los derechos de las mujeres en todas sus diversidades</t>
  </si>
  <si>
    <t>Constante</t>
  </si>
  <si>
    <t>Sectores</t>
  </si>
  <si>
    <t xml:space="preserve">Se cuantificará el número de sectores a impactar anualmente, que deben ser 15 en total; se espera que tales sectores transversalicen el enfoque diferencial e implementen acciones afirmativas con enfoque diferencial. </t>
  </si>
  <si>
    <t>ANUAL</t>
  </si>
  <si>
    <t xml:space="preserve">Documentos de implementación de las estrategias; actas de reuniones, listados de asistencia y reportes </t>
  </si>
  <si>
    <t>No presenta retrasos en esta acción</t>
  </si>
  <si>
    <t>No aplica</t>
  </si>
  <si>
    <t>Realizar atenciones socio jurídicas brindadas a través de la Estrategia Casa de Todas, a mujeres que realizan actividades sexuales pagadas.</t>
  </si>
  <si>
    <t>39.Atenciones socio jurídicas brindadas a través de la Estrategia Casa de Todas, a mujeres que realizan actividades sexuales pagadas (valoraciones inciales, asesorias u orientacicones , seguimientos)</t>
  </si>
  <si>
    <t>Suma</t>
  </si>
  <si>
    <t>Atenciones</t>
  </si>
  <si>
    <t>Se cuantificarán mensualmente las atenciones sociojuridicas: valoraciones iniciales, asesorías y seguimientos.</t>
  </si>
  <si>
    <t>MENSUAL</t>
  </si>
  <si>
    <t>Reporte mensual de atenciones socio jurídicas realizadas-PMR Mensual</t>
  </si>
  <si>
    <t xml:space="preserve">No presenta retrasos </t>
  </si>
  <si>
    <t>Realizar atenciones psicosociales brindadas a través de la Estrategia Casa de Todas, a mujeres que realizan actividades sexuales pagadas.</t>
  </si>
  <si>
    <t>40.Atenciones psicosociales brindadas a través de la Estrategia Casa de Todas, a mujeres que realizan actividades sexuales pagadas (valoraciones inciales, asesorias, seguimientos)</t>
  </si>
  <si>
    <t>Se cuantificarán mensualmente las atenciones psicosociales: valoraciones iniciales, asesorías y seguimientos.</t>
  </si>
  <si>
    <t>Reporte mensual de atenciones psicosociales realizadas-PMR Mensual</t>
  </si>
  <si>
    <t>Realizar atenciones en trabajo social brindadas a través de la Estrategia Casa de Todas, a mujeres que realizan actividades sexuales pagadas.</t>
  </si>
  <si>
    <t>41.Atenciones en trabajo social brindadas a través de la Estrategia Casa de Todas, a mujeres que realizan actividades sexuales pagadas (valoraciones inicales intervenciones y seguimientos)</t>
  </si>
  <si>
    <t>Se cuantificarán mensualmente las atenciones en trabajo social: valoraciones iniciales, asesorías y seguimientos.</t>
  </si>
  <si>
    <t>Reporte mensual de atenciones en trabajo social realizadas-PMR Mensual</t>
  </si>
  <si>
    <t>Transversalización del enfoque de género y diferencial para mujeres</t>
  </si>
  <si>
    <t>NA</t>
  </si>
  <si>
    <t xml:space="preserve">Elaborar e implementar 3 lineamientos con enfoque de derechos de las mujeres, de género y diferencial. </t>
  </si>
  <si>
    <t xml:space="preserve">1. Número de actividades de alistamiento, seguimiento y evaluación de la asistencia técnica implementadas 
</t>
  </si>
  <si>
    <t xml:space="preserve">Suma </t>
  </si>
  <si>
    <t xml:space="preserve">Actividades
</t>
  </si>
  <si>
    <t xml:space="preserve">24 actividades de alistamiento anuales.
</t>
  </si>
  <si>
    <t xml:space="preserve">1. Evidencias de reuniones internas para alistar, planear y hacer seguimiento a la asistencia técnica
2. Documentos elaborados asociados a la asistencia técnica
</t>
  </si>
  <si>
    <t>No se presentaron retrasos en esta actividad</t>
  </si>
  <si>
    <t>2. No. de actividades de asistencia técnica para la transversalización del enfoque diferencial para mujeres implementadas.</t>
  </si>
  <si>
    <t xml:space="preserve">36 actividades de asistencia anuales </t>
  </si>
  <si>
    <t xml:space="preserve">1. Evidencias de reuniones externas para asistencia técnica
2. Informes de asistencia técnica mensuales </t>
  </si>
  <si>
    <t>Implementación de acciones afirmativas dirigidas a las mujeres con enfoque diferencial y de género en Bogotá Bogotá</t>
  </si>
  <si>
    <t>Personas con acceso a los servicios sociales del Estado con enfoque diferencial.</t>
  </si>
  <si>
    <t>Número de personas</t>
  </si>
  <si>
    <t>Mujeres atendidas en el marco del proyecto de inversión 7671</t>
  </si>
  <si>
    <t>Reporte SIMISIONAL</t>
  </si>
  <si>
    <t xml:space="preserve">No se presentan retrasos en la meta   </t>
  </si>
  <si>
    <t>Se realiza búsqueda activa en el territorio a través de los recorridos. La atención se articula con las demás entidades y organizaciones que atienden población vulnerable y garantía de derechos.</t>
  </si>
  <si>
    <t>ELABORÓ</t>
  </si>
  <si>
    <t>Firma:</t>
  </si>
  <si>
    <t>APROBÓ (Según aplique Gerenta de proyecto, Lider técnica y responsable de proceso)</t>
  </si>
  <si>
    <t>REVISÓ OFICINA ASESORA DE PLANEACIÓN</t>
  </si>
  <si>
    <t xml:space="preserve">VoBo. </t>
  </si>
  <si>
    <t>Nombre: Mireya Leuro Vásquez</t>
  </si>
  <si>
    <t>Nombre:  Marcia Yazmin Castro Ramírez</t>
  </si>
  <si>
    <t>Nombre:</t>
  </si>
  <si>
    <t>Nombre: Sandra Catalina Campos Romero</t>
  </si>
  <si>
    <t xml:space="preserve">Cargo: Profesional Especializada Dirección de Enfoque Diferencial </t>
  </si>
  <si>
    <t xml:space="preserve">Cargo:   Directora de Enfoque Diferencial </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</si>
  <si>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</si>
  <si>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</si>
  <si>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</si>
  <si>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</si>
  <si>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</si>
  <si>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</si>
  <si>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</si>
  <si>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</si>
  <si>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</si>
  <si>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</si>
  <si>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</si>
  <si>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</si>
  <si>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</si>
  <si>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</si>
  <si>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</si>
  <si>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</si>
  <si>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</si>
  <si>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</si>
  <si>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</si>
  <si>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</si>
  <si>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</si>
  <si>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</si>
  <si>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</si>
  <si>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</si>
  <si>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</si>
  <si>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</si>
  <si>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</si>
  <si>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</si>
  <si>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</si>
  <si>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</si>
  <si>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</si>
  <si>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</si>
  <si>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</si>
  <si>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</si>
  <si>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</si>
  <si>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</si>
  <si>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</si>
  <si>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</si>
  <si>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</si>
  <si>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</si>
  <si>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</si>
  <si>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</si>
  <si>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</si>
  <si>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</si>
  <si>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</si>
  <si>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</si>
  <si>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</si>
  <si>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</si>
  <si>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</si>
  <si>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</si>
  <si>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</si>
  <si>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</si>
  <si>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</si>
  <si>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</si>
  <si>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</si>
  <si>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</si>
  <si>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</si>
  <si>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</si>
  <si>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</si>
  <si>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</si>
  <si>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</si>
  <si>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</si>
  <si>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</si>
  <si>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</si>
  <si>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</si>
  <si>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</si>
  <si>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</si>
  <si>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</si>
  <si>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</si>
  <si>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</si>
  <si>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</si>
  <si>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</si>
  <si>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</si>
  <si>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</si>
  <si>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</si>
  <si>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</si>
  <si>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</si>
  <si>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</si>
  <si>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</si>
  <si>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</si>
  <si>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</si>
  <si>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</si>
  <si>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</si>
  <si>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</si>
  <si>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</si>
  <si>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</si>
  <si>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</si>
  <si>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</si>
  <si>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</si>
  <si>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</si>
  <si>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</si>
  <si>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</si>
  <si>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</si>
  <si>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</si>
  <si>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</si>
  <si>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</si>
  <si>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</si>
  <si>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</si>
  <si>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</si>
  <si>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</si>
  <si>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</si>
  <si>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</si>
  <si>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</si>
  <si>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</si>
  <si>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</si>
  <si>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</si>
  <si>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</si>
  <si>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</si>
  <si>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</si>
  <si>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</si>
  <si>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</si>
  <si>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</si>
  <si>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</si>
  <si>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</si>
  <si>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</si>
  <si>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</si>
  <si>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</si>
  <si>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</si>
  <si>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</si>
  <si>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</si>
  <si>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</si>
  <si>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</si>
  <si>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</si>
  <si>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</si>
  <si>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</si>
  <si>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</si>
  <si>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</si>
  <si>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</si>
  <si>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</si>
  <si>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</si>
  <si>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</si>
  <si>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</si>
  <si>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</si>
  <si>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</si>
  <si>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</si>
  <si>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</si>
  <si>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</si>
  <si>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</si>
  <si>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</si>
  <si>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</si>
  <si>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</si>
  <si>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</si>
  <si>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</si>
  <si>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</si>
  <si>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</si>
  <si>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</si>
  <si>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</si>
  <si>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</si>
  <si>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</si>
  <si>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</si>
  <si>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</si>
  <si>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</si>
  <si>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</si>
  <si>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</si>
  <si>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</si>
  <si>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</si>
  <si>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</si>
  <si>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</si>
  <si>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</si>
  <si>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</si>
  <si>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</si>
  <si>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</si>
  <si>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</si>
  <si>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</si>
  <si>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</si>
  <si>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</si>
  <si>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</si>
  <si>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</si>
  <si>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</si>
  <si>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</si>
  <si>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</si>
  <si>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</si>
  <si>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</si>
  <si>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</si>
  <si>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</si>
  <si>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</si>
  <si>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</si>
  <si>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</si>
  <si>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</si>
  <si>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</si>
  <si>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</si>
  <si>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</si>
  <si>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</si>
  <si>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</si>
  <si>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</si>
  <si>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</si>
  <si>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</si>
  <si>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</si>
  <si>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</si>
  <si>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</si>
  <si>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</si>
  <si>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</si>
  <si>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</si>
  <si>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</si>
  <si>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</si>
  <si>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</si>
  <si>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</si>
  <si>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</si>
  <si>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</si>
  <si>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</si>
  <si>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</si>
  <si>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</si>
  <si>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</si>
  <si>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</si>
  <si>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</si>
  <si>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</si>
  <si>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</si>
  <si>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</si>
  <si>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</si>
  <si>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</si>
  <si>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</si>
  <si>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</si>
  <si>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</si>
  <si>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</si>
  <si>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</si>
  <si>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</si>
  <si>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</si>
  <si>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</si>
  <si>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</si>
  <si>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</si>
  <si>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</si>
  <si>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</si>
  <si>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</si>
  <si>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</si>
  <si>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</si>
  <si>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</si>
  <si>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</si>
  <si>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</si>
  <si>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</si>
  <si>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</si>
  <si>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</si>
  <si>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</si>
  <si>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</si>
  <si>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</si>
  <si>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</si>
  <si>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</si>
  <si>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</si>
  <si>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</si>
  <si>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</si>
  <si>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</si>
  <si>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</si>
  <si>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</si>
  <si>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</si>
  <si>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</si>
  <si>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</si>
  <si>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</si>
  <si>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</si>
  <si>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</si>
  <si>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</si>
  <si>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</si>
  <si>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</si>
  <si>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</si>
  <si>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</si>
  <si>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</si>
  <si>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</si>
  <si>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</si>
  <si>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</si>
  <si>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</si>
  <si>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</si>
  <si>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</si>
  <si>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</si>
  <si>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</si>
  <si>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</si>
  <si>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</si>
  <si>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</si>
  <si>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</si>
  <si>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</si>
  <si>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</si>
  <si>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</si>
  <si>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</si>
  <si>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</si>
  <si>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</si>
  <si>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</si>
  <si>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</si>
  <si>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</si>
  <si>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</si>
  <si>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</si>
  <si>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</si>
  <si>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</si>
  <si>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</si>
  <si>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</si>
  <si>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</si>
  <si>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</si>
  <si>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</si>
  <si>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</si>
  <si>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Se han realizado el acompañamiento técnico a las cuatro instancias priorizadas  CCM , la Submesa de Género, el CTPD, el Concejo de Bogotá y Consejo Distrital de Juventud</t>
  </si>
  <si>
    <t>Actividad no programada para el mes de enero
Se realiza: Reunión previa de la Submesa para la garantía de los derechos de las mujeres, diversidades, disidencias sexuales y de género, el 08 de febrero, con el fin de revisar con la coordinadora del equipo la presentación para la primera subcomisión y la agenda a desarrollar.
Reunión extraordinaria del Decreto 053-2023, el 10 de febrero con el fin de revisar de manera técnica y logística la convocatoria de la marcha en apoyo a las reformas del Gobierno Nacional. 
Reunión extraordinaria del Decreto 053-2023, el  10 de febrero con el fin de revisar de manera técnica y logística la convocatoria de la Gran Marcha contra reformas pre dictatoriales #PararParaSalvar
Reunión de la Submesa para la garantía de los derechos de las mujeres, diversidades, disidencias sexuales y de género, el 23 de febrero, con el fin de revisar la agenda a desarrollar el 8 de marzo, la socialización de la estrategia "Bogotá ciudad purpura" y la revisión del cronograma de 2023.
Reunión previa de la Submesa para la garantía de los derechos de las mujeres, diversidades, disidencias sexuales y de género, el  21 de marzo, con el fin de revisar con la coordinadora del equipo la presentación para el balance del 08 de marzo día internacional de la Mujer 
Reunión extraordinaria del Decreto 053-2023, los días 02, 13 y 14 10 de marzo, con el fin de revisar de manera técnica y logística la convocatoria de movilización y protesta social citados para estos días. 
Reunión ordinaria del Decreto 053-2023, el 3 de marzo, con el fin de on el fin de socializar por parte de la Secretaría Distrital de Gobierno el Decreto 053 de 2023 a las entidades y organizaciones firmantes.
Reunión de la Submesa para la garantía de los derechos de las mujeres, diversidades, disidencias sexuales y de género, el 23 de febrero, con el fin de revisar la agenda a desarrollar el 8 de marzo, la socialización de la estrategia "Bogotá ciudad purpura" y la revisión del cronograma de 2023.
Se realiza reunión extraordinaria de la Submesa para la garantia de los derechos de las mujeres, diversidades, disidencias sexuales y de género el dá 11 de abril, con el fin de realizar el cronograma de trabajo del año 2023
Se realiza reunión ordinaria de la Submesa para la garantia de los derechos de las mujeres, diversidades, disidencias sexuales y de género el dá 19 de abril, con el fin de con el fin de socializar las rutas para prevenir todas las VBG por parte de las entidades firmantes del Decreto 053 de 2023.
Se realiza reunión extraordinaria del Decreto 053-2023, el día 25 de abril con el fin de verificar y unificar el estado actual de convocatorias que se tienen previstas para el 25 de abril de 2023, y el 1 de mayo con las instituciones firmantes del Decreto 053-2023.
Se realiza reunión extraoordinaria del Decreto 053-2023, el día 25 de abril con el fin de verificar y unificar el estado actual de convocatorias que se tienen previstas para el 27 de abril de 2023 con el fin de Realizar Mesa distrital de coordinación y seguimiento 28 A y 1M
Se realiza reunión ordinaria de la Submesa para la garantia de los derechos de las mujeres, diversidades, disidencias sexuales y de género el día 30 de mayo, con el fin de con el fin de socializar las rutas para prevenir todas las VBG por parte de las entidades y organizaciones de la sociedad civil firmantes del Decreto 053 de 2023.
Se realiza reunión extraordinaria del Decreto 053-2023 Marcha LGBTI Distrital, el día18 de mayo con el fin de planificar la marcha Distrital LGBTIQ, que se llevara a cabo elproximo 2 de julio de 2023.</t>
  </si>
  <si>
    <t xml:space="preserve">Actividad no programada para el mes de enero
Se realizó Puesto de Mando Unificado, (PMU) los días 14-15 y 24 de febrero  de manera presencial en el Centro de Comando y Computa (C4) , con motivo de las protestas y movilización social citada para estos días.
Se realizó Puesto de Mando Unificado, (PMU) de manera virtual el día 22 de febrero, a través de Google meets , con motivo de la movilización de taxistas en la ciudad de Bogotá.
Se realizó Puesto de Mando Unificado, (PMU) los días 08,16 de marzo de manera presencial en el Centro de Comando y Computa (C4) , con motivo de las protestas y movilización social citada para estos días, en especial el 08, día internacional de la Mujer 
Se realizó Puesto de Mando Unificado, (PMU) de manera virtual el día 25 de marzo, a través de Google meets , con motivo de la Asamblea Nacional Popular.
Se realizó Puesto de Mando Unificado, (PMU) virtual el día 14 de abril, con el fin de acompañar la convocatoria de movilización social por parte de la Universidad Distrital
Se realizó Puesto de Mando Unificado, (PMU) en las instalaciones del C4, con el fin de  acompañar la convocatoria de conmemoración del "Estallido social "
Se realizó Puesto de Mando Unificado, (PMU)  el día 01 de mayo, con el fin de acompañar la convocatoria de movilización social por el día del trabajo
</t>
  </si>
  <si>
    <t>Actividad no programada para el mes de enero
En febrero se llevó a cabo mesa de trabajo virtual del equipo de promoción de la participación y representación de las mujeres de la Subsecretaría del Cuidado y Políticas de Igualdad el 17 de febrero de 2023, en donde se revisó la plataforma IFOS y se establecieron acuerdos. Se llevó a cabo mesa de trabajo virtual del equipo de promoción de la participación y representación de las mujeres de la Subsecretaría del Cuidado y Políticas de Igualdad el 21 de febrero
de 2023, en donde se realizó la verificación de las organizaciones sociales de las instancias de participación en la plataforma IFOS. Se llevó a cabo mesa de trabajo virtual del equipo de promoción de la participación y representación de las mujeres de la Subsecretaría del Cuidado y Políticas de Igualdad el 27 de febrero de 2023, en donde se informó sobre el proceso de verificación de las organizaciones sociales de las instancias de participación en la plataforma IFOS y se establecieron acuerdos de trabajo.
El 30 de marzo se llevó  a cabo una reunión con el IDPAC con el objetivo de resolver dudas sobre la Plataforma IFOS, herramienta que se utilizará para la caracterización de las organizaciones de mujeres. 
En el marco de fortalecimiento del CCM, el 14 de abril se llevó a cabo una reunión con la Dirección de Derechos y Diseño de Política y las consejeras consultivas, con el objetivo de definir unos espacios de diálogo con la instancia sobre la actualización de la PPMYEG y sus avances en el Distrito, así como el desarrollo de una asistencia técnica para el análisis y discusión de información clave sobre cada unos de los derechos priorizados en la política, para la construcción de agendas políticas para la incidencia en escenarios 2023 – 2024. En cuanto a la caracterización de instancias no se avanzó puesto que lo que presentó el IDPAC es caracterización de organizaciones y en nuestro caso no aplica.
El 11 de mayo se llevó cabo una reunión con el equipo de corresponsabilidad, para preparar las capacitaciones proyectadas sobre la Plataforma Colibrí de la Veeduría Distrital y SECOP, dirigida al CCM, el CTPD, la Submesa de Género y organizaciones de mujeres en general., de igual manera se realizó la articulación con la Veeduría Distrital, para solicitar la capacitación sobre la Plataforma Colibrí.
El 12 de mayo la Dirección de Derechos y Diseño de Política, realizó un espacio de soialización y fortalecimiento dirigido al CCM,  el cual tuvo como objetivo presentar el CONPES 14, su plan de acción e implementación durante la vigencia 2022
El 18 de mayo se apoyó en la revisión preliminar de la propuesta de fortalecimiento presentada por el CCM, identificando las temáticas que se quieren abordar por parte de las consejeras consultivas para el fortalecimiento de la instancia. 
Durante el mes de mayo se realizó solicitud al operador logísitico para los días 2, 30 y 31 de mayo con el objetivo de garantizar logisticamente el desarrollo de las actividades programadas por el CCM y la Submesa de Género, relacionada con requerimientos de alimentación durante estas jornadas
De igual manera, durante este mes se brindó asistencia técnica a las instancias que acompaña la Subsecretaría del Cuidado y Políticas de Igualdad:
- CCM: Yudy Stephany Álvarez Poveda - Contrato 320 de 2023 y Mayra Alejandra Palacios Guacheta - Contrato 145 de 2023
- CTPD: Mónica Patricia Hoyos Robayo - Contrato 467 de 2023
- Submesa de Género: María Constanza López Mejía - Contrato 468 de 2023</t>
  </si>
  <si>
    <t>Se realiza fortalecimiento a instancias con la programación de procesos de capacitación, logistica y acompañamiento técnico</t>
  </si>
  <si>
    <t>Avances en propuesta de fortalecimiento al CCM y procesos de cvapacitación  las diferentes instancias</t>
  </si>
  <si>
    <t xml:space="preserve">El 25 de enero se llevo a cabo la sesión ordinaria de la Mesa Coordinadora, en la cual se presento la versión final del documento del proyecto de acuerdo del Sistema Distrital de Cuidado por parte de la Secretaria Distrital de la Mujer, y se definió la estrategia a seguir para su respectiva radicación por parte del CCM en el Concejo de Bogotá.
El 22 de febrero se llevó a cabo la Mesa Coordinadora en la cual se presentaron las propuestas de modificación a tres artículos del Decreto 364 de 2021, de igual manera se socializo el ejercicio de incidencia realizado por el CCM sobre el proyecto de Acuerdo del Sistema Distrital de Cuidado. 
El 22 de febrero se acompaño  la sesión del Espacio Autónomo, en la cual se inició con la revisión y definición del Plan de Acción vigencia 2023 del CCM
El 29 de marzo se llevó a cabo la Mesa Coordinadora en la cual se realizó la revisión y ratificación del plan de acción del CCM vigencia 2023, y se presentó el balance del seguimiento realizado por la SDMujer al Pacto de Corresponsabilidad suscrito entre el CCM y los Alcaldes y Alcaldesas Locales
El 29 de marzo se acompaño  la sesión del Espacio Autónomo, en la cual se socializó por parte de la comisión que se conformó para la revisión del reglamento interno, los ajustes realizados al mismo y se ratificó la aprobación del reglamento, de igual manera, se realizó la nueva elección de la Mesa Coordinadora, consejera articuladora y consejera secretaria. 
Durante el mes de abril por parte del CCM, se solicitó la reprogramación de la sesión de la Mesa Coordinadora para el 2 de mayo de 2023, ya que para el 26 de abril las consejeras consultivas fueron invitadas al encuentro de defensores y defensoras de Derechos Humanos.La SCPI realizó  todos los preparativos técnicos y logísticos para la mesa coordinadora y el espacio autonomo.
El 2 de mayo se llevó  a cabo la Mesa Coordinadora del Consejo Consultivo de Mujeres, en la cual se realizó un balance de los temas abordados por este espacio durante la vigencia 2022, y se definieron los mecanismos de participación de las consejeras consultivas que integran esta mesa. De igual manera, en esta fecha se llevó la sesión del Espacio Autónomo, en la cual las consejeras consultivas avanzaron en la definición de los lineamientos y plan de acción de las comisiones internas del CCM.
El 31 de mayo se llevó  a cabo la Mesa Coordinadora del Consejo Consultivo de Mujeres, se abordaron temas relacionados con violencias basadas en género y fortalecimiento de la CIOM, así mismo se realizó la sesión del Espacio Autónomo, en la cual las consejeras consultivas realizaron el seguimiento a las delegaciones que tienen ante otras instancias de participación del Distrito Capital. 
El 15 de mayo se apoyó en el desarollo de la reunión extraordinaria del Espacio Autónomo, la cual tuvo como objetivo identificar las acciones a seguir para la construcción de la agenda de las mujeres. 
Durante el mes de mayo, se inició con la prepración del Espacio Ampliado, para lo cual se elaboraron los bullets para la intervención de la Alcaldesa Mayor y la Secretaria Distrital de la Mujer, así como el guion y minuto a minuto de la sesión. </t>
  </si>
  <si>
    <t xml:space="preserve">Durante el mes de enero no se programaron mesas de trabajo con los sectores de la Administración Distrital, teniendo en cuenta que el CCM se encuentra en la etapa de definición y elaboración del plan de acción de la instancia, correspondiente a la vigencia 2023. 
Los días 7 y 27 de febrero se realizaron reuniones internas para hacer seguimiento y revisar la información reportada por las Alcaldías Locales, en el marco del seguimiento al Pacto de Corresponsabilidad suscrito entre el CCM y los alcaldes y alcaldesas locales, con el objetivo de sistematizar la información para el análisis posterior de las consejeras consultivas. 
El 10 de marzo se llevó  a cabo una reunión inicial con la Secretaría Distrital de Planeación, con el objetivo de conocer la propuesta de encuentro con el CCM para socializar los avances en la formulación de las Unidades de Planeamiento Local y del Plan Maestro del Cuidado y Servicios Sociales
El 11 de abril se llevó  a cabo una reunión con la Secretaría Distrital de Planeación, sesión en la cual se le presentó al CCM una propuesta de articulación para revisar y trabajar conjuntmente con la instancia, los instrumentos por medio de los cuales se reglamenta el POT
El 14 de abril, se llevó  a cabo una reunión con la Dirección de Derechos y Diseño de Política con el objetivo de presentarle nuevamente  al CCM la propuesta de asistencia técnica en el marco de la PPMYEG y los derechos priorizados en el CONPES 14. 
El 8 de mayo se llevó a cabo una reunión con la Secretaría Distrital de Planeación y la Comisión POT del CCM, con el objetivo de revisar el Plan Maestro del Cuidado y Servicios Sociales y recoger aportes de las consejeras consultivas.
El 12 de mayo se llevó a cabo una reunión con la Dirección de Derechos y Diseño de Política, la cual tuvo como objetivo presentar el CONPES 14, su plan de acción e implementación durante la vigencia 2022
El 25 de mayo se llevó a cabo una reunión con la Secretaría Distrital de Planeación y la Comisión POT del CCM, con el objetivo de revisar el Sistema de Participación Territorial del POT y recoger aportes de las consejeras consultivas. </t>
  </si>
  <si>
    <t xml:space="preserve">En el marco de las comisiones del CCM, se conformó la comisión dinamizadora para articular y liderar lo relacionado con el proyecto de acuerdo del Sistema Distrital de Cuidado, y la cual llevó a cabo una mesa técnica el 30 de enero con los concejales y las concejalas que manifestaron su intereses de incidir y articular con el CCM para la presentación del proyecto de acuerdo en mención. 
El 27 de febrero se llevó a cabo una reunión con la comisión del CCM conformada para revisar y ajustar el reglamento interno de la instancia. 
En el marco de las comisiones del CCM, el 14 de marzo se llevó  a cabo una sesión extraordinaria convocada por el Espacio Autónomo, para finalizar la revisión y elaboración del plan de acción del CCM vigencia 2023
El 17 de abril, se acompañó el desarrollo de la reunión extraordinaria del CCM - Espacio Autónomo, en la cual se revisó como se encontraba la conformación de las comisiones de la instancia a la fecha, y se definieron las acciones a seguir para iniciar la elaboración de plan de acción de cada una de ellas.
El 10 de mayo se apoyó en el desarrollo de la reunión realizada por la Comisión POT del CCM, para continuar con la elaboración y lineamientos del plan de acción de la comisión. 
El 16 de mayo se apoyó en el desarrollo de la reunión realizada por la Comisión de Ética del CCM, para continuar con la elaboración y lineamientos del plan de acción de la comisión. </t>
  </si>
  <si>
    <t xml:space="preserve">Actividad no programada para el mes de enero
Durante el mes de febrero se iniciaron acciones relacionadas con el acompañamiento técnico para el Consejo Distrital de Juventud para la vigencia 2023.
Se llevaron a cabo mesas de trabajo del equipo de promoción de la participación y representación de las mujeres los días 07/02/23 y 15/02/23 para generar estrategias que faciliten el proceso de acompañamiento con Consejo Distrital de Juventud.
Se llevó a cabo mesa de trabajo con profesional que referencia juventud desde la SDMujer el día 13/02/23 en donde se dio contexto del acompañamiento técnico que se brindará a la instancia durante la vigencia 2023.
Se llevó a cabo mesa de trabajo con profesional de la estrategia Bogotá 50/50 Ruta por la Paridad de la Dirección de Territorialización el 21/02/23 en donde se retomó el proceso de articulación para el desarrollo de acciones proyectas para ejecutar durante la vigencia 2023.
Se construyó texto que brinda la ruta de acción para el acompañamiento técnico del Consejo Distrital de Juventud.
Durante el mes de marzo continuaron las acciones relacionadas con el acompañamiento técnico para el Consejo Distrital de Juventud para la vigencia 2023.
Se llevó a cabo mesa de trabajo con profesional de la Secretaría Distrital de Gobierno, quien acompaña técnicamente al Consejo Distrital de Juventud el día 16/03/23 en donde se socializó el proceso de acompañamiento técnico que se brindará a la instancia durante la vigencia 2023, aperturando la articulación con la instancia de participación distrital.
Durante el mes de mayo se mantuvo contacto continuo con profesional de la Secretaría Distrital de Gobierno, encargada del acompañamiento técnico al Consejo Distrtal de Juventud, quien informo sobre el avance en el proceso de posesión de consejos y consejeras, fortaleciendo así la articulación para lograr el acompañamiento técnico que se brindará a la instancia durante la vigencia 2023, por solicitud de ella se realizó PPT con las dos propuestas estratégicas de acompañamiento para la instancia de participación distrital, se envío correo electrónico con la finalidad de acelerar el proceso de articulación con el Consejo Distrital de Juventud desde la SDMujer.
Se llevó a cabo mesa de trabajo del equipo de promoción de la participación y representación de las mujeres y profesionales de las estrategias Lidera Par y Hablemos de Paridad de la Dirección de Territorialización de Derechos, el día 29/05/2023, en donde se concretaron acuerdos para el acompañamiento técnico del Consejo Territorial de Planeación Distrital-CTPD y el Consejo Distrital de Juventud para lo que resta de la vigencia, teniendo en cuenta las acciones pendientes con las instancias de participación distrital.
Durante el mes de abril se mantuvo contacto continuo con profesional de la Secretaría Distrital de Gobierno, encargada del acompañamiento técnico al Consejo Distrtal de Juventud, quien informo sobre el avance del proceso de elección y posesión de consejos y consejeras, fortaleciendo así el proceso de articulación para lograr el acompañamiento técnico que se brindará a la instancia durante la vigencia 2023, por solicitud de ella se realizó PPT con las dos propuestas estratégicas de acompañamiento para la instancia de participación distrital. </t>
  </si>
  <si>
    <t>Actividad no programada para el mes de mayo.</t>
  </si>
  <si>
    <t>Se realizó la sesión ordinaria de la Mesa Coordinadora y Espacio Autonomo. Se realizó acompañamiento técnico a la submesa de género y participamos en los PMU convocados. E han realizado acercamientos al Consejo Distrital de juventud</t>
  </si>
  <si>
    <t xml:space="preserve">Durante el mes de enero del 2023 se asistió a una reunión con la Comisión Legal para la Equidad de la Mujer en donde el CCM socializó el proyecto y recibió comentarios por parte de los y las concejalas. Posteriormente se apoyó la radicación del proyecto en el Concejo de Bogotá. 
Durante el mes de febrero del 2023, se acompañó la sesión de Gobierno en donde la Comisión Legal Para la Equidad de la Mujer aprobó su reglamento. También se asistió a la mesa de trabajo convocada por el Concejal Celio Nieves en donde se aclararon inquietudes respecto a la Ruta única de atención a violencias basadas en género. De otro lado, se acompañaron diferentes espacios con el fin de asesorar técnicamente el desarrollo del proyecto de acuerdo 151 del 2023 que busca institucionalizar el sistema de cuidado: se acompañó la reunión de las Consejeras Consultivas de Mujeres y la reunión del Mecanismo de Participación del Sistema de Cuidado. 
Durante el mes de marzo, se acompañaron los debates en el Concejo de Bogotá en donde se discutió el proyecto de acuerdo que busca institucionalizar el Sistema Distrital del Cuidado. Se aprobó el proyecto en los dos debates por unanimidad y se sancionó por la Alcaldesa Mayor. De otro lado, se acompañó el foro del 8 de marzo en el Concejo en donde se escucharon a diferentes expertas en género. También se preparó la reunión con el equipo de la Concejala Luz Marina Gordillo en donde se socializó el avance de la implementación del Sistema Violeta. 
Durante el mes de abril se asistió a las mesas técnicas en donde se discutió el proyecto de acuerdo 208 del 2023 sobre vendedores informales, el resultado de estas reuniones fue la incorporación del enfoque de género en el articulado. Adicionalmente se organizó una charla con una organización de mujeres de Ciudad Bolivar, solicitada por la concejal Maria Fernanda Rojas en donde se socializó la normativa vigente sobre derechos de las mujeres y el sistema distrital del cuidado.
 Durante el mes de mayo se asistió a la reunión con el equipo del sello de igualdad para coordinar su implementación en el Concejo de Bogotá. También se asistió a una mesa de trabajo con la Presidenta de la Comisión Legal de la Mujer para socializar ideas para un proyecto sobre el acoso callejero. </t>
  </si>
  <si>
    <t>En mayo se avanzó en definir las necesidades de asistencia técnica – AT con un sector (Movilidad) y se avanzó en la AT con los 4 sectores (Hacienda, Jurídica, Ambiente y Movilidad). Se hizo seguimiento a la AT y se consolidaron los cronogramas de AT de los 4 sectores para el primer semestre del año. Se realizaron 3 acciones de transversalización del enfoque diferencial: 1 con el sector Gestión Pública y 2 con el sector Mujeres. Se caracterizó una herramienta de la estrategia de empoderamiento a niñas, adolescentes y jóvenes y se avanzó en el ajuste al manual de atención a mujeres trans y personas no binarias, para su aprobación. Se socializó con la Dirección de Enfoque Diferencial – Estrategia Casa de Todas, la consolidación de las barreras de acceso a este servicio y se solicitó identificar acciones para disminuir o eliminar dichas barreras. Para el mes de mayo se realizó el acompañamiento técnico al CTPD y la Submesa de género.</t>
  </si>
  <si>
    <t>Entre enero y mayo se actualizó y publicó en Kawak del procedimiento de asistencia técnica (AT) y sus formatos; se coordinó la AT a los sectores Movilidad, Hacienda, Jurídica y Ambiente, con la Dirección de Derechos y Diseño de Política; se avanzó en definir las actividades de AT con los 4 sectores (Jurídica, Hacienda, Ambiente y Movilidad) y se avanzó en su implementación. Se consolidaron los cronogramas de AT de los 4 sectores para el primer semestre del año. Se hizo seguimiento a la AT y se dieron lineamientos a las profesionales. Se realizaron 11 acciones de transversalización del enfoque diferencial: Sector Salud 1, Desarrollo Económico 1, Hacienda 1, Seguridad, Convivencia y Justicia 1, Gestión Pública 1 y Mujeres 6. Se aprobó propuesta metodológica para avanzar en la consolidación de la caja de herramientas; se diseñó matriz para caracterizar las herramientas y se caracterizaron 10. Se finalizó consolidación de información sobre barreras de acceso a los servicios de la entidad; se elaboró y aprobó con ajustes la propuesta para avanzar en la formulación, validación, implementación y seguimiento al plan de fortalecimiento en 2023; se elaboraron 7 documentos: 1 con conclusiones de la caracterización de servicios y la identificación de barreras y 6 donde se identifican situaciones que afectan la prestación de servicios a cargo de la Subsecretaría de Fortalecimiento de Capacidades y Oportunidades - SFCYO y las direcciones de Eliminación de las Violencias contra las Mujeres y Acceso a la Justicia - DEVAJ, Gestión del Conocimiento - DGC, Territorialización de Derechos y Participación - DTDYP, Sistema del Cuidado – DSC y Enfoque Diferencial - DED. Se realizaron 6 reuniones para socializar la consolidación de barreras y solicitar la definición de acciones para su eliminación con SFCYO, DEVAJ, DGC, DSC, DTDYP y DED – Estrategia Casa de Todas y se les remitió la matriz consolidada y los documentos elaborados. Avances  en la implementación del lineamiento de corresponsabilidad y de transversalización de enfoques en el CTPD y en la submesa de género. Avances respecto a la implementación y protocolización en LUCHA de los procedimientos de acompañamiento técnico.</t>
  </si>
  <si>
    <t>Se cuenta con una nueva versión ajustada y publicada en Kawak del procedimiento “Asistencia técnica a los Sectores de la Administración Distrital y las localidades para la transversalización del enfoque diferencial” y sus formatos. Se cuenta con 4 cronogramas de asistencia técnica para el primer semestre del año de los sectores Hacienda, Jurídica, Ambiente y Movilidad. Se ha llegado con acciones de información y sensibilización en enfoque diferencial al personal de 5 entidades (Secretaría de Hacienda, Secretaría Jurídica, Catastro Distrital, Instituto de Protección y Bienestar Animal y La Rolita- Operadora Distrital de Transporte). Se cuenta con una propuesta metodológica para avanzar en la consolidación de la caja de herramientas aprobada por la directora de Enfoque Diferencial y validada con el equipo de profesionales, así como con una matriz de caracterización de herramientas validada y 10 herramientas caracterizadas. Se cuenta con propuesta para avanzar en la formulación, validación, implementación y seguimiento al plan de fortalecimiento interno durante el 2023 aprobada por la directora de Enfoque Diferencial, así como con una matriz de consolidación de las barreras de acceso a los servicios identificadas, socializada con las distintas dependencias y 7 documentos elaborados: uno con conclusiones de la caracterización de servicios y la identificación de barreras de acceso y 6 donde se identifican situaciones que afectan la prestación de algunos de los servicios que brinda la Secretaría Distrital de la Mujer, que son resultado de los grupos focales realizados con servidoras y usuarias durante el 2022. La matriz consolidada de barreras identificadas permitirá que las dependencias propongan acciones para disminuir o eliminar esas barreras, las cuales harán parte del Plan de Fortalecimiento. 
Fortalecimiento de las capacidades de las mujeres en torno al ejercicio del derecho de la participación</t>
  </si>
  <si>
    <r>
      <t xml:space="preserve">De enero a abril se ajustó el Procedimiento de Asistencia Técnica - AT; se realizaron 8 acciones de transversalización del enfoque diferencial - ED: Salud 1, Mujeres 4, Dllo Económico 1, Hacienda 1, Seguridad, Convivencia y Justicia 1. Se coordinó con DDYDP la AT a los 4 sectores, se avanzó en identificar las actividades de AT en los 4 sectores y se avanzó en la AT con 2. En </t>
    </r>
    <r>
      <rPr>
        <b/>
        <sz val="11"/>
        <color theme="1"/>
        <rFont val="Times New Roman"/>
        <family val="1"/>
      </rPr>
      <t xml:space="preserve">mayo </t>
    </r>
    <r>
      <rPr>
        <sz val="11"/>
        <color theme="1"/>
        <rFont val="Times New Roman"/>
        <family val="1"/>
      </rPr>
      <t>se avanzó en definir la AT con Movilidad: reunión con Transmilenio para identificar necesidades del equipo psicosocial de la Dirección Técnica de Seguridad (23/05/2023). Se avanzó en la AT con los 4 sectores: Jurídica: 2da y 3era jornada de capacitación a personal de Secretaría Jurídica sobre incorporación del ED en políticas y proyectos y estereotipos e imaginarios acerca de las mujeres diversas (23 y 30-05-2023); Hacienda: 2da jornada de capacitación a personal de Secretaría de Hacienda y Catastro sobre estereotipos e imaginarios acerca de las mujeres diversas (30-05-2023); Ambiente: taller con personal del IDPYBA sobre PPMYEG y lineamientos para atención a mujeres trans (10-05-2023) y asistencia a taller con Secretaría de Ambiente sobre evaluación de necesidades de equidad e inclusión en el desarrollo de proyectos de eficiencia energética y energías renovables (24-05-2023); Movilidad: jornada de información con personal administrativo de La Rolita-Operadora Distrital de Transporte sobre género, derechos de las mujeres y elementos para trabajar con mujeres LBT (16-05-2023). Se consolidaron los cronogramas de AT de todos los sectores (24-05-2023) y se hizo seguimiento a la AT (25-05-2023). Se realizaron 3 acciones de transversalización del ED con 2 sectores: Gestión Pública: taller sobre ED y discapacidad con personal de la línea 195 (18-05-2023); Mujeres: taller sobre atención con ED con personal de seguridad (6-05-2023) y prestación de 21 servicios de interpretación en Lengua de Señas Colombiana para inclusión de ciudadanas sordas (4,8,9,11,12,15,16,17,18,1923,24,25,26,29,30-05-2023).</t>
    </r>
  </si>
  <si>
    <r>
      <t xml:space="preserve">De enero a abril se elaboró propuesta metodológica para avanzar en la consolidación de la caja de herramientas y se definió un cronograma preliminar de actividades, que se remitió a la directora de Enfoque Diferencial para revisión y aprobación. Se recibió aprobación por parte de la directora y se socializó y validó con las profesionales que lideraron la elaboración de las herramientas. Se diseñó matriz para caracterizar las herramientas, se avanzó en la caracterización de 9 herramientas de las 20 identificadas inicialmente y se coordinó el ajuste al Manual de atención a mujeres trans y personas no binarias en el Distrito Capital. En </t>
    </r>
    <r>
      <rPr>
        <b/>
        <sz val="11"/>
        <color theme="1"/>
        <rFont val="Times New Roman"/>
        <family val="1"/>
      </rPr>
      <t xml:space="preserve">mayo </t>
    </r>
    <r>
      <rPr>
        <sz val="11"/>
        <color theme="1"/>
        <rFont val="Times New Roman"/>
        <family val="1"/>
      </rPr>
      <t>se avanzó en la caracterización de una herramienta de la estrategia de empoderamiento a niñas, adolescentes y jóvenes: Documento de análisis diagnósticos de entrada y salida "Semilleros de empoderamiento" (16 y 17-05-2023) y se avanzó en el ajuste al Manual de atención a mujeres trans y personas no binarias en el Distrito Capital, elaborado en 2021, para su aprobación final (12 y 29-05-2023).</t>
    </r>
  </si>
  <si>
    <r>
      <t xml:space="preserve">La actividad no estaba programada para el mes de enero. 
Febrero: Se avanzó en la construcción del plan de trabajo correspondiente al desarrollo de las escuelas de educación emocional para la vigencia 2023. Se iniciaron reuniones de concertación y búsqueda de los grupos de mujeres participantes.  
Marzo Se logró:
• Convocatoria escuela de educación emocional virtual: 922
• Concertación cronograma escuela de educación emocional mujeres migrantes y refugiadas- Fundación Juntos se puede.
Abril se logró:
•Inicio escuela de educación emocional mujeres migrantes y refugiadas: 10 mujeres 
•Inicio escuela de educación emocional mujeres habitantes de calle: 21 mujeres 
•Inicio escuela de educación emocional virtual: 1115 usuarias inscritas
</t>
    </r>
    <r>
      <rPr>
        <b/>
        <sz val="11"/>
        <rFont val="Times New Roman"/>
        <family val="1"/>
      </rPr>
      <t>Mayo</t>
    </r>
    <r>
      <rPr>
        <sz val="11"/>
        <rFont val="Times New Roman"/>
        <family val="1"/>
      </rPr>
      <t xml:space="preserve"> se logró:
•Finalización escuela de educación emocional mujeres migrantes y refugiadas: 5 mujeres 
•Escuela de educación emocional mujeres habitantes de calle: 35 mujeres
•Escuela de educación emocional virtual: 1115 usuarias inscritas de las cuales han finalizado: 87 participantes. 
</t>
    </r>
  </si>
  <si>
    <r>
      <t xml:space="preserve">La actividad no estaba programada para el mes de enero. 
Febrero: Se avanzó en la construcción del plan de trabajo correspondiente al desarrollo de los espacios respiro para la vigencia 2023. Se iniciaron reuniones de concertación y búsqueda de los grupos de mujeres participantes. 
Marzo Se realizó:
• 1 Espacio respiro con mujeres en ASP. Total: 12
• 1 Espacio respiro con mujeres adultas y mayores. Total: 13
• 1 Espacio respiro con mujeres trans. Total: 8
Abril Se realizó:
• 1 Espacio respiro con mujeres indígenas. Total: 20
• 2 Espacios respiro con mujeres migrantes y refugiadas. Total: 41
• 1 Espacio respiro con mujeres adultas y mayores. Total: 9
• 1 Espacio respiro con mujeres Gitanas. Total: 23
• 1 Espacio respiro con mujeres Raizales. Total: 29
• 1 Espacio respiro con mujeres en ASP. Total: 10
• 1 Espacio respiro con mujeres habitantes de calle. Total: 23
</t>
    </r>
    <r>
      <rPr>
        <b/>
        <sz val="11"/>
        <rFont val="Times New Roman"/>
        <family val="1"/>
      </rPr>
      <t>Mayo</t>
    </r>
    <r>
      <rPr>
        <sz val="11"/>
        <rFont val="Times New Roman"/>
        <family val="1"/>
      </rPr>
      <t xml:space="preserve"> se realizó:
• 1 Espacio respiro con mujeres indígenas. Total: 16
• 1 Espacio respiro con mujeres migrantes y refugiadas. Total: 16 
• 1 Espacio respiro con mujeres adultas y mayores. Total: 16
• 1 Espacio respiro con mujeres Campesinas y rurales. Total: 13
• 2 Espacios respiro con mujeres en riesgo de habitar calle. Total: 82
• 1 Espacio respiro con mujeres en ASP. Total: 8
• 1 Espacio respiro con mujeres palenqueras. Total: 12
• 1 Espacio respiro con mujeres jóvenes. Total: 3
• 3 Espacios respiro con mujeres con discapacidad. Total: 38
• 1 Espacio respiro con mujeres en sus diferencias y diversidad virtual. Total 30
</t>
    </r>
  </si>
  <si>
    <r>
      <t xml:space="preserve">La actividad no estaba programada para el mes de enero. 
Febrero: Se avanzó en la construcción del plan de trabajo correspondiente al desarrollo de la estrategia de difusión y socialización de la caja de herramientas. Asimismo, se realizó mapeo de posibles entidades y grupos objetivo y se definió la lista de recursos disponibles para la construcción de la caja de herramientas.
Marzo: Se avanzó en la construcción de la caja de herramientas de la estrategia de capacidades psicoemocionales.  
Abril: Se avanzó en:
 • Construcción de la propuesta metodológica de la transferencia de conocimientos y productos de la estrategia de capacidades psicoemocionales.
• Desarrollo de un encuentro de transferencia con la organización RECA Red de empleo con apoyo para personas con discapacidad. Total asistentes: 7 profesionales
</t>
    </r>
    <r>
      <rPr>
        <b/>
        <sz val="11"/>
        <rFont val="Times New Roman"/>
        <family val="1"/>
      </rPr>
      <t>Mayo</t>
    </r>
    <r>
      <rPr>
        <sz val="11"/>
        <rFont val="Times New Roman"/>
        <family val="1"/>
      </rPr>
      <t xml:space="preserve"> se avanzó en:
• Desarrollo de un encuentro de transferencia con el equipo psicosocial de SIDICU. Total asistentes: 10
</t>
    </r>
  </si>
  <si>
    <r>
      <t xml:space="preserve">La actividad no estaba programada para el mes de enero. Durante el mes de febrero se realizó difusión de la estrategia de empoderamiento a la comunidad educativa del Colegio Juan Rey de la localidad San Cristóbal. De forma interna se realizó socialización de la estrategia a las profesionales de la DED que para la vigencia 2023 van a acompañar los espacios para el desarrollo de la misma. En el mes de marzo se realizó socialización y difusión de la estrategia de empoderamiento en el Concejo de Bogotá en el marco de la quinta mesa de la Comisión Accidental por la Infancia y la Adolescencia.  En el mes de abril se realizó socialización y difusión de la estrategia de empoderamiento con profesionales de la Secretaría de Seguridad y Convivencia y  en la mesa RIAIA. En el mes de </t>
    </r>
    <r>
      <rPr>
        <b/>
        <sz val="11"/>
        <rFont val="Times New Roman"/>
        <family val="1"/>
      </rPr>
      <t>mayo</t>
    </r>
    <r>
      <rPr>
        <sz val="11"/>
        <rFont val="Times New Roman"/>
        <family val="1"/>
      </rPr>
      <t xml:space="preserve"> se realizó socialización y difusión de la estrategia de empoderamiento con profesionales de la Secretaría Distrital de Gobierno,  Biblored y se realizó segunda sesión de socialización de la estrategia en la mesa RIAIA. </t>
    </r>
  </si>
  <si>
    <r>
      <t>Durante los meses de enero a marzo se realizaron parte del proceso de contratación del personal de atención de la Casa de Todas; sin embargo, este hecho fue contemplado en la planeación de las metas de atenciones por tanto no se presentaron retrasos en el cumplimiento de las mismas.</t>
    </r>
    <r>
      <rPr>
        <sz val="11"/>
        <color rgb="FFFF0000"/>
        <rFont val="Times New Roman"/>
        <family val="1"/>
      </rPr>
      <t xml:space="preserve"> </t>
    </r>
    <r>
      <rPr>
        <sz val="11"/>
        <rFont val="Times New Roman"/>
        <family val="1"/>
      </rPr>
      <t>Para la actividad 20, presenta un leve retraso,  por el proceso de contratación de  la profesional  que genera información de las dinámicas de la actividad sexual pagada, el cual se suplirá en el mes de junio sin inconvenientes.</t>
    </r>
  </si>
  <si>
    <r>
      <t xml:space="preserve">Durante los meses de enero a </t>
    </r>
    <r>
      <rPr>
        <b/>
        <sz val="11"/>
        <rFont val="Times New Roman"/>
        <family val="1"/>
      </rPr>
      <t>mayo</t>
    </r>
    <r>
      <rPr>
        <sz val="11"/>
        <rFont val="Times New Roman"/>
        <family val="1"/>
      </rPr>
      <t xml:space="preserve"> de 2023  se atendieron en el área jurídica 421 mujeres y se realizaron 1236 atenciones desagregadas así: 376 asesorías, 765 seguimientos y 95 valoraciones iniciales. Se cumplió en forma oportuna y efectiva con la orientación y asesoría requerida por las personas asistentes, con la entrega de la información precisa sobre los temas consultados y las acciones legales pertinentes respectivas. Se prestó atención telefónica y presencial, en el marco de estas atenciones, durante el periodo se logró además de dar las asesorías requeridas, el seguimiento a casos en curso y la elaboración y trámite de: 
*37 Derechos de petición
*13 Impulsos procesales
*42 Procesos de representación
*11 Comités estudio de casos
*6 Audiencias</t>
    </r>
  </si>
  <si>
    <t xml:space="preserve">En lo corrido del año se realizaron reuniones de gestión para las alianzas con el ICFES, BID y la Agencia Atenea en el marco de la implementación de la estrategia de Educación Flexible. Asimismo, se realizó cronograma de estrategia para la implementación y cumplimiento de metas en el marco del Plan de Acción.  Se inicio contrato interadministrativo con ICFES para Pruebas Saber. Asimismo, se avanzó programación de Ferias de Educación Superior e inicio el proceso de ICFES con reunión de bienvenida e inducción presencial con una participación de 105 mujeres. Se cuenta con una articulación solida con ACNUR para apoyo económico a 10 mujeres en la EEF en la Casa de Todas que participan en educación Flexible, de las cuales se gradúan 4 como bachilleres y se evaluaron las lecciones aprendidas del pilotaje y se continuó el desembolso de los apoyos de asistencias económicas a las 10 mujeres de EEF con Casa de Todas que finaliza en el mes de mayo. Se espera continuar con 6 mujeres restantes las asistencias económicas por parte de ACNUR. Se envíó lista para gestión de cursos de inglés con SENA a mujeres inscritas en Pruebas Saber 11, esta articulación se realiza con Dirección de Gestión de Conocimiento. Se cuenta con Planeación de Feria que permitirá que las mujeres conozcan la oferta de Instituciones de Educación Superior. </t>
  </si>
  <si>
    <r>
      <t xml:space="preserve">Durante febrero se realizaron 2 encuentros de planeación y articulación con el equipo de la Estrategia de Educación Flexible para definir cronograma y metodología de las Ferias Universitarias de Educación Superior.  Igualmente, se sostuvo una reunión con la Agencia de Educación Superior, Ciencia y Tecnología (ATENEA), se retomó la articulación y con la Dirección de Derechos y Diseño de Políticas (DDDP) y La Dirección de Eliminación de Violencias contra las Mujeres y Acceso a la Justicia (DEVAJ) para los procesos de vinculación y permanencia en educación superior de las mujeres. El compromiso es continuar, el proceso de formación que se realizará para la Secretaria de Educación Distrital (SED) en los enfoques (derechos, género y diferencial ). Durante marzo se realizó jornada de empalme debido a los próximos cambios de profesionales vinculadas a la EEF. Asimismo, en alianza con el BID, se realizó la revisión del documento final de sistematización del pilotaje de programa de educación flexible con la Secretaria de Educación Distrital (SED) y Casa de la Mujer. Igualmente, se realizó encuentro con la Dirección de Gestión de Conocimiento para definir los pasos para la publicación del Manual de Educación Superior. Durante el mes de abril, se cuenta con el Manual de Educación Superior retroalimentado y con los aportes de la Dirección de Derechos y Diseño de Política (DDDP) de la SDMujer. Durante </t>
    </r>
    <r>
      <rPr>
        <b/>
        <sz val="11"/>
        <rFont val="Times New Roman"/>
        <family val="1"/>
      </rPr>
      <t>mayo</t>
    </r>
    <r>
      <rPr>
        <sz val="11"/>
        <rFont val="Times New Roman"/>
        <family val="1"/>
      </rPr>
      <t xml:space="preserve">, se realizó jornada de articulación con la Dirección de Diseño de Políticas de la SDMujer para compartir las actividades de la estrategia Educación Flexible, como la primera Feria de Educación Superior a realizarse en junio. Igualmente, se realizó una reunión donde se identificaron lecciones aprendidas y se hizo planeación preliminar, asímismo se cuenta con listado de convocatoria inicial para Instituciones de Educación Superior. </t>
    </r>
  </si>
  <si>
    <r>
      <t xml:space="preserve">Durante febrero en alianza con el BID, se sostuvo reunión con el Sistema Distrital de Cuidado (SIDICU) y Casa de la Mujer, para conocer el estado actual del proyecto, se revisaron las acciones en el cronograma en donde la Estrategia de Educación Flexible y se programó la revisión del documento  sistematización del pilotaje de programa de educación flexible con la Secretaria de Educación Distrital (SED) y Casa de la Mujer, en la Manzana de Cuidado de Mártires, para cuidadoras colombianas y migrantes. Se inició convocatoria desde la Estrategia Casa de Todas para la vinculación de mujeres en la Estrategia de Educación Flexible de la SED, con mujeres que ejercen Actividades Sexuales Pagadas (ASP). Durante marzo, se continuo el proceso de formación de Educación Flexible en Casa de Todas, y se llevó a cabo una articulación con ACNUR para brindar asistencias en efectivo a 10 mujeres en Casa de Todas. Finalmente, se realizó articulación para vinculación a los cursos de inglés del SENA para mujeres inscritas Pruebas Saber 11. Durante abril se realizó articulación con Makaia para definir las acciones de articulación para este año y se continuó con la articulación con los 10 apoyos económicos mujeres (ASP). Asimismo, se realizó articulación con Secretaría de Desarrollo Económico para llevar toda la oferta de la Ruta de Empleabilidad y de emprendimiento. Durante </t>
    </r>
    <r>
      <rPr>
        <b/>
        <sz val="11"/>
        <rFont val="Times New Roman"/>
        <family val="1"/>
      </rPr>
      <t>mayo</t>
    </r>
    <r>
      <rPr>
        <sz val="11"/>
        <rFont val="Times New Roman"/>
        <family val="1"/>
      </rPr>
      <t xml:space="preserve"> se realizó reunión para evaluar pilotaje de apoyos de asistencia económica a mujeres ASP de la EEF de las cuales 4 se gradúan de bachiller. Se continuó la articulación con Atenea y se invitó a participar de la Feria. Asimismo, se inició articulación con Universidad Javeriana con dos ofertas, apoyo formativo a mujeres Pruebas Saber 11 y un curso de eléctrica</t>
    </r>
    <r>
      <rPr>
        <b/>
        <sz val="11"/>
        <color rgb="FFFF0000"/>
        <rFont val="Times New Roman"/>
        <family val="1"/>
      </rPr>
      <t xml:space="preserve"> </t>
    </r>
    <r>
      <rPr>
        <sz val="11"/>
        <rFont val="Times New Roman"/>
        <family val="1"/>
      </rPr>
      <t xml:space="preserve">para la vida. Se espera realizar convenio con apoyo de la Dirección de Gestión de Conocimiento (DGC). Igualmente con esta direccion se está realizando articulación para curso inglés SENA con mujeres que presentan la Prueba Saber 11. </t>
    </r>
  </si>
  <si>
    <t>Durante el mes de mayo de 2023  se atendieron en el área jurídica 132 mujeres y se realizaron 286 atenciones desagregadas así: 91 asesorías, 164 seguimientos y 31 valoraciones iniciales. Se cumplió en forma oportuna y efectiva con la orientación y asesoría requerida por las personas asistentes, con la entrega de la información precisa sobre los temas consultados y las acciones legales pertinentes respectivas. Se prestó atención telefónica y presencial, en el marco de estas atenciones, durante el periodo se logró además de dar las asesorías requeridas, el seguimiento a casos en curso y la elaboración y trámite de: 
*9 Derechos de petición
*3 Impulsos procesales
*13 Procesos de representación
*2 Comités estudio de casos
*2 Audiencias</t>
  </si>
  <si>
    <t>Durante los meses de enero a mayo de 2023  se atendieron en el área jurídica 421 mujeres y se realizaron 1236 atenciones desagregadas así: 376 asesorías, 765 seguimientos y 95 valoraciones iniciales. Se cumplió en forma oportuna y efectiva con la orientación y asesoría requerida por las personas asistentes, con la entrega de la información precisa sobre los temas consultados y las acciones legales pertinentes respectivas. Se prestó atención telefónica y presencial, en el marco de estas atenciones, durante el periodo se logró además de dar las asesorías requeridas, el seguimiento a casos en curso y la elaboración y trámite de: 
*37 Derechos de petición
*13 Impulsos procesales
*42 Procesos de representación
*11 Comités estudio de casos
*6 Audiencias</t>
  </si>
  <si>
    <t xml:space="preserve">Durante el mes de mayo de 2023 se atendieron 169 mujeres en el área psicosocial y se realizaron 276 atenciones desagregadas así: 65 asesorías, 155 seguimientos y 56 valoración inicial. La atención se prestó de manera presencial y telefónica acorde a la agenda programada.  Se han realizado primeras atenciones y orientación psicosocial con énfasis en  gestión del malestar emocional manifiesto por las mujeres, se brindaron herramientas psicológicas dirigidas a gestionarlo, facilitar la expresión de sentimientos y avanzar en su reconocimiento como sujetas de derechos. Así mismo, se motivó la corresponsabilidad para el cuidado de su salud mental, focalizándoles en su proyecto de vida y preparación para la toma de decisiones y mejorar su situación actual. </t>
  </si>
  <si>
    <t xml:space="preserve">Durante el mes de mayo de 2023 se atendieron 227 mujeres en trabajo social y se realizaron 323 atenciones desagregadas así: 129 intervenciones, 175 seguimientos y 19 valoraciones iniciales. Durante el periodo se realizó atención presencial y telefónica. A través de la atención, en el periodo se logró dar respuesta a las siguientes necesidades específicas:
A través de la atención  se logró dar respuesta a los procesos de: 
*7 Portabilidad.
*18 Solicitud de encuesta socioeconomica SISBEN
*10 Afiliaciones al sistema de salud
*17 Activación servicios de SDIS, proyecto enlace emergencia social , bono de adulto mayor y jardines
*5 Solicitud cupo DLE.                                                 
*16 Proceso educación flexible.
*6 Formación cursos técnicos SENA.
*9 Formación para el trabajo (Miquelina y Conviventia).
*26 Pruebas rápidas con secretaria de salud.
*10 Fondo Nacional del Ahorro.
*2 Subsidios con Hábitat.
*26 Salud sexual y reproductiva liga contra el cáncer.                   
*15 Empleabilidad. 
*1 educación superior.
*7 Anticoncepción
*3 IVE
*4 Ruta de victimas conflicto armado 
*3 Traslado municipio salud 
*1 movilidad escolar 
Se remitió con entidades como:  Secretaria de Salud, Fundación Miquelina, Fondo Nacional del Ahorro, Registraduría, Secretaría Desarrollo Económico, Secretaria de Educación, Secretaria Integracion Social, Secretaria de Planeación, Orientame, Secretaria de habitat, Conviventia, AHF, Agencia de empleo del SENA.                                                                                                                            </t>
  </si>
  <si>
    <t>En el mes de mayo se realizaron dos (2) actividades de alistamiento: 
Una acción de seguimiento: consolidación de los cronogramas de asistencia técnica de todos los sectores, correspondientes al primer semestre del año (24-05-2023) y reunión de seguimiento a la asistencia técnica realizada con el equipo de profesionales para validar los cronogramas de asistencia técnica de los sectores correspondientes al primer semestre del año y socializar los avances en cada sector (25-05-2023).
Una acción de alistamiento de la asistencia técnica implementada con el sector Movilidad: reunión con la Dirección de Derechos y Diseño de Política de la SDMujer y Transmilenio para identificar las necesidades del equipo de la Dirección Técnica de Seguridad de la entidad para realizar un proceso de información en enfoque de género y diferencial con el equipo psicosocial que atiende situaciones de violencias y discriminación en Transmilenio (23-05-2023).</t>
  </si>
  <si>
    <t>A mayo se han implementado 9 actividades de alistamiento, seguimiento y evaluación de la asistencia técnica.</t>
  </si>
  <si>
    <t>En el mes de mayo se realizaron seis (6) actividades de asistencia técnica:
Dos (2) acciones de formación con el sector Jurídica: 1. Se llevó a cabo la segunda jornada de capacitación con la participación de 20 servidoras, servidores y contratistas de la Secretaría Jurídica Distrital, donde se realizaron ejercicios prácticos de aplicación de los temas vistos en la primera jornada acerca de los antecedentes y avances que ha tenido el enfoque diferencial-poblacional en el Distrito Capital y las nociones básicas del concepto de enfoque diferencial desde la Política Pública de Mujer y Equidad de Género (23-05-2023). 2. Se llevó a cabo la tercera jornada de capacitación con la participación de 8 servidoras, servidores y contratistas de la Secretaría Jurídica Distrital, donde se abordó el tema de los estereotipos e imaginarios acerca de las mujeres en sus diferencias y diversidad (30-05-2023).
Una (1) acción de formación con el sector Hacienda: se llevó a cabo la segunda jornada de capacitación con la participación de 25 servidoras, servidores y contratistas de la Secretaría Distrital de Hacienda y la Unidad Administrativa Especial de Catastro Distrital, donde se abordó el tema de los estereotipos e imaginarios acerca de las mujeres en sus diferencias y diversidad (30-05-2023).
Una (1) acción de formación con el sector Ambiente: se realizó un taller con la participación de 22 personas del IDPYBA, sobre la PPMYEG, derechos de las mujeres y lineamientos de atención a mujeres trans y personas no binarias (10-05-2023).
Una (1) acción de acompañamiento con el sector Ambiente: se participó en taller con la Secretaría de Ambiente para la evaluación de necesidades de equidad e inclusión en el desarrollo de proyectos de eficiencia energética y energías renovables (24-05-2023)
Una (1) acción de formación con el sector Movilidad: se realizó una jornada de información con la participación de 21 personas del área administrativa de La Rolita-Operadora Distrital de Transporte, sobre conceptos básicos de género y derechos de las mujeres. Adicionalmente, se abordó el sistema sexo-género y algunos elementos clave para el trabajo con mujeres lesbianas, bisexuales y trans (16-05-2023).</t>
  </si>
  <si>
    <t>A mayo se han implementado 8 actividades de asistencia técnica para la transversalización del enfoque diferencial</t>
  </si>
  <si>
    <r>
      <t>De enero a abril se consolidó la información de las barreras de acceso a los servicios identificadas en 2022 con servidoras y usuarias en los grupos focales y encuestas. Se elaboró propuesta metodológica para avanzar en la formulación, validación, implementación y seguimiento al plan de fortalecimiento en 2023, la cual fue aprobada por la directora. Se organizó la información de la caracterización de servicios y la identificación de barreras y se elaboraron 7 documentos: 1 de Conclusiones de la caracterización de servicios y la identificación de barreras y 6 donde se identifican situaciones que afectan la prestación de servicios a cargo de las distintas dependencias. Se realizaron 5 reuniones con las dependencias para socializar la consolidación de barreras y solicitar la definición de acciones para su eliminación y se les remitió la matriz consolidada y los documentos elaborados. En</t>
    </r>
    <r>
      <rPr>
        <b/>
        <sz val="11"/>
        <rFont val="Times New Roman"/>
        <family val="1"/>
      </rPr>
      <t xml:space="preserve"> mayo</t>
    </r>
    <r>
      <rPr>
        <sz val="11"/>
        <rFont val="Times New Roman"/>
        <family val="1"/>
      </rPr>
      <t xml:space="preserve"> se realizó reunión con profesionales de la estrategia Casa de Todas de la Dirección de Enfoque Diferencial para socializar la consolidación de barreras que impiden el acceso a este servicio, a las mujeres en sus diferencias y diversidad y solicitar que identifiquen acciones para disminuir o eliminar esas barreras (08-05-2023). Retraso: Se presentó retraso en la elaboración de la propuesta preliminar del Plan de Fortalecimiento porque no se recibieron los insumos de todas las dependencias (se fijó como plazo inicial el 12 de mayo y luego se prolongó hasta el 26 de mayo), solo 3 dependencias enviaron las matrices. Alternativa de solución: ajustar el cronograma de las actividades para elaborar y validar la propuesta del Plan de Fortalecimiento en el mes de junio y poder iniciar la implementación y seguimiento en el mes de julio.</t>
    </r>
  </si>
  <si>
    <r>
      <t xml:space="preserve">Actividad no programada para el mes de enero.
Para el mes de febrero se realizó presentación de la  Submesa  para la garantía y seguimiento de los derechos de las mujeres, diversidades, disidencias sexuales y de género, con nombre, objetivos, acciones, logros y resultados.
No se requirió de esta actividad para el mes de marzo.
Durante el mes de abril se realizó la socialización de la caracterización realizada durante el 25 de noviembre "día de la eliminación de todo tipo de violencias a la Subsecretaría del Cuidado y Politicas de Igualdad para que revise los resultados arrojados durante el proceso.
Durante el mes de </t>
    </r>
    <r>
      <rPr>
        <b/>
        <sz val="11"/>
        <rFont val="Times New Roman"/>
        <family val="1"/>
      </rPr>
      <t xml:space="preserve">mayo </t>
    </r>
    <r>
      <rPr>
        <sz val="11"/>
        <rFont val="Times New Roman"/>
        <family val="1"/>
      </rPr>
      <t xml:space="preserve">se realizó documento de empalme de la gestión que se realiza en la Submesa para la garantía y seguimiento de los derechos de las mujeres, diversidades, disidencias sexuales y de género, </t>
    </r>
  </si>
  <si>
    <r>
      <t>La actividad no estaba programada para el mes de enero. En el mes de febrero se definió las actividades a realizar con los equipos de Planeación de los sectores de la administración, se definió la que se realizara durante el mes junio, que se hará la construcción de una metodología y se vincularán a los 15 sectores. Para el mes de marzo se realizaron  tres (3) reuniones los días 07, 21 y 28 de marzo para el seguimiento en el marco de la Estrategia de Transformación Cultural (ETC.) en las que se definió que se realizarán 2 jornadas de sensibilización durante el mes de junio con la vinculación de dos funcionarios de las oficinas de planeación de los 15 sectores, se estableció que se realizará la construcción de la metodología para estas jornadas, que permitirán la incorporación del enfoque diferencial y la visibilizaciión de las mujeres en sus diferencias y diversidad. Para e</t>
    </r>
    <r>
      <rPr>
        <b/>
        <sz val="11"/>
        <color theme="1"/>
        <rFont val="Times New Roman"/>
        <family val="1"/>
      </rPr>
      <t xml:space="preserve">l </t>
    </r>
    <r>
      <rPr>
        <sz val="11"/>
        <color theme="1"/>
        <rFont val="Times New Roman"/>
        <family val="1"/>
      </rPr>
      <t xml:space="preserve">mes de abril se realizaron 2 reuniones los días 11 y 18, en dichas reuniones se realizó la revisión y construcción de la metodología para el desarrollo de las sensibilizaciones con los equipos de Planeación del distrito. Para </t>
    </r>
    <r>
      <rPr>
        <b/>
        <sz val="11"/>
        <color theme="1"/>
        <rFont val="Times New Roman"/>
        <family val="1"/>
      </rPr>
      <t>el mes de mayo</t>
    </r>
    <r>
      <rPr>
        <sz val="11"/>
        <color theme="1"/>
        <rFont val="Times New Roman"/>
        <family val="1"/>
      </rPr>
      <t xml:space="preserve"> se realizaron 2 reuniones los días 9 y 23 donde se concluyó con versión final para el desarrollo de la sesiones de sensibilización, se construyó el oficio para el envío a los sectores.</t>
    </r>
  </si>
  <si>
    <r>
      <t>A mayo se ha trabajado transversalización del enfoque diferencial con 9 sectores:</t>
    </r>
    <r>
      <rPr>
        <b/>
        <sz val="11"/>
        <color indexed="8"/>
        <rFont val="Times New Roman"/>
        <family val="1"/>
      </rPr>
      <t xml:space="preserve"> 
</t>
    </r>
    <r>
      <rPr>
        <sz val="11"/>
        <color indexed="8"/>
        <rFont val="Times New Roman"/>
        <family val="1"/>
      </rPr>
      <t>Salud, Desarrollo Económico, Hacienda, Jurídica, Seguridad Convivencia y Justicia, Mujeres, Ambiente, Gestión Pública y Movilidad.</t>
    </r>
  </si>
  <si>
    <r>
      <t>Actividad no programada para el mes de enero, en febrero se retomaron acciones relacionadas con el acompañamiento técnico para el CTPD, se envía correo electrónico a las tres consejeras territoriales informando el inicio de acciones para la vigencia 2023. Se llevó a cabo mesa de trabajo con el nuevo profesional encargado de la coordinación de la secretaría técnica de la instancias por parte de la Secretaría Distrital de Planeación  el día 07/02/2023 en donde se dio contexto de las acciones proyectada para la vigencia 2023. Se llevó a cabo mesa de trabajo con profesional de la estrategia Bogotá 50/50 Ruta por la Paridad de la Dirección de Territorialización el día 21/02/23 en donde se retomó el proceso de articulación para el desarrollo de acciones proyectas para ejecutar durante la vigencia 2023. Se llevó a cabo mesa de trabajo con la consejera Aura Abril el día 08/02/2023 en donde se da a conocer como avanza su ejercicio de representación como consejera consultiva ante el CTPD. Se tramitó solicitud del Consejo Territorial de Planeación Distrital relacionada con la delegación de la consejera por el CCM para el CTPD, se dio respuesta a través de oficio 1-2023-001297 del 10/02/23 y se copió a la Secretaría Distrital de Planeación con oficio 1-2023-001296 del 10/02/23. Se tramitó solicitud de la consejera Alexandra Useche relacionada con la grabación de la sesión de delegación de la consejera por el CCM para el CTPD, se dio respuesta a través de oficio con radicado 1-2023-001798 del 22/02/23. Se compartió a través de correo electrónico el documento de Caja de Herramientas a la consejera territorial Sandra Mazo, para que este sea socializado en sesión de plenaria del CTPD. 
Durante el mes de marzo se retomaron acciones relacionadas con el acompañamiento técnico para el CTPD.
Se llevó a cabo mesa de trabajo presencial con las consejeras electas por el sector mujer para el CTPD el día 06/03/2023 en donde se realizó el respectivo seguimiento para retomar acciones proyectadas para la vigencia 2023. Se llevó a cabo mesa de trabajo del equipo de promoción de la participación el día 13/03/2023 para elaborar el acta de la pasada sesión de trabajo con las tres consejeras electas por el sector mujer. Se compartió a través de correo electrónico a las tres consejeras territoriales el acta de la sesión del pasado 06/03/2023 con el link de la página web de la SDMujer, en donde está cargado el documento de Caja de Herramientas para que este sea socializado en sesión de plenaria del CTPD. Se solicitó a través de correo electrónico a profesional que realiza acompañamiento al CTPD desde la Secretaría Distrital de Planeación el acta y grabación de la sesión donde se socializó en la instancia el proyecto de acuerdo del Sistema Distrital de Cuidado. 
Durante el mes de abril</t>
    </r>
    <r>
      <rPr>
        <b/>
        <sz val="11"/>
        <rFont val="Times New Roman"/>
        <family val="1"/>
      </rPr>
      <t xml:space="preserve"> </t>
    </r>
    <r>
      <rPr>
        <sz val="11"/>
        <rFont val="Times New Roman"/>
        <family val="1"/>
      </rPr>
      <t>se retomaron acciones relacionadas con el acompañamiento técnico para el CTPD.
Se llevaron a cabo mesas de trabajo con las consejeras electas por el sector mujer para el CTPD los días 18/04/2023 y 27/04/2023 en donde se realizó el respectivo seguimiento para retomar acciones proyectadas para la vigencia 2023 como la socialización de la Caja de Herramientas, la socialización y firma del Pacto por la Paridad y el plan de acción del Lineamiento del CTPD.
Se llevó a cabo mesa de trabajo del equipo de promoción de la participación el día 18/04/2023 para revisar el plan de acción propuesto en el Lineamiento del CTPD.
Se llevó a cabo mesa con profesional de la estrategia de emprendimiento y empleabilidad el día 28/04/2023 para revisar el portafolio de oferta institucional relacionada con la garantía del derecho a la educación, para dar respuesta al plan de acción del Lineamiento del CTPD.
Se solicitó a través de correo electrónico la consecución de una mesa de trabajo para retomar acciones de articulación con la Estrategia Clínica Lidera Par de la Dirección de Territorialización de Derechos.
Se llevó a cabo mesa de trabajo el día 09/05/2023, con la Subsecretaria del Cuidado y Políticas de Igualdad y profesional del área jurídica en donde se trabajó en la alerta generada por la situación que se viene presentando en el relacionamiento entre las consejeras electas por el sector mujeres para el CTPD, se generaron alternativas de solución desde el quehacer institucional. 
Se llevó a cabo mesa de trabajo del equipo de promoción de la participación y representación de las mujeres y profesionales de las estrategias Lidera Par y Hablemos de Paridad de la Dirección de Territorialización de Derechos, el día 29/05/2023, en donde se concretaron acuerdos para el acompañamiento técnico del Consejo Territorial de Planeación Distrital-CTPD y el Consejo Distrital de Juventud para lo que resta de la vigencia, teniendo en cuenta las acciones pendientes con las instancias de participación distrital.
Se llevó a cabo mesa de trabajo con profesional de la Dirección de Diseño de Política encargada de liderar el Derecho a la Educación el 02/05/2023, en donde se revisó la oferta institucional para la garantía de este derecho, buscando dar respuesta al plan de acción propuesto en el documento de Lineamientos del CTPD.
Se llevó a cabo mesa de trabajo con profesional encargada de liderar el convenio Sena desde la Subsecretaría del Cuidado y Políticas de Igualdad el 29 /05/2023, en donde se revisó el portafolio del convenio para procurar el proceso de articulación dando respuesta al plan de acción propuesto en el documento de Lineamientos  del CTPD.
Se realizó PPT sobre la Caja de Herramientas pedagógicas para la socialización con el CTPD.
Se envío vía correo electrónico a las consejeras por el sector mujeres para el CTPD información sobre el proyecto C40.</t>
    </r>
  </si>
  <si>
    <r>
      <t xml:space="preserve">Desde la </t>
    </r>
    <r>
      <rPr>
        <b/>
        <sz val="11"/>
        <rFont val="Times New Roman"/>
        <family val="1"/>
      </rPr>
      <t>Estrategia de empoderamiento</t>
    </r>
    <r>
      <rPr>
        <sz val="11"/>
        <rFont val="Times New Roman"/>
        <family val="1"/>
      </rPr>
      <t xml:space="preserve">, en mayo se llevaron a  cabo 2 semilleros con los grados tercero y cuarto del Colegio Juan Rey (62 personas). Se realizó primera sesión de semillero  con el grado quinto del Colegio Juan Rey  (35 personas) y la última sesión de  semillero  con los grados séptimo (701 y 702) del Colegio Juan Rey (61 personas). Se realizó difusión y socialización de la estrategia a profesionales de la Secretaría Distrital de Gobierno, profesionales de Biblored y en la mesa RIAIA. Se construyeron las  metodológias para los semilleros con estudiantes de primaria desarrollados en  el Colegio Juan Rey.  
Desde la </t>
    </r>
    <r>
      <rPr>
        <b/>
        <sz val="11"/>
        <rFont val="Times New Roman"/>
        <family val="1"/>
      </rPr>
      <t>Estrategia de capacidades psicoemocionales</t>
    </r>
    <r>
      <rPr>
        <sz val="11"/>
        <rFont val="Times New Roman"/>
        <family val="1"/>
      </rPr>
      <t xml:space="preserve">, durante el mes de Mayo se realizaron 13 espacios respiro con diferentes grupos poblacionales, para un total de 234 participantes. Se realizaron 2 escuelas de educación emocional presencial con 40 participantes y 1 virtual que ha certificado 87 participantes. Adicional, se realizó la implementación de un espacio de transferencia de conocimientos  con equipo psicosocial de SIDICU. 
Desde la </t>
    </r>
    <r>
      <rPr>
        <b/>
        <sz val="11"/>
        <rFont val="Times New Roman"/>
        <family val="1"/>
      </rPr>
      <t>Estrategia de Cuidado Menstrual</t>
    </r>
    <r>
      <rPr>
        <sz val="11"/>
        <rFont val="Times New Roman"/>
        <family val="1"/>
      </rPr>
      <t xml:space="preserve">, en mayo se avanzó con los acuerdos de acciones a realizar a través de la Mesa Distrital de Cuidado Menstrual, se definieron las acciones para junio. Se realizó recorrido por la Dignidad Menstrual en la localidad de Usaquén (5), Jornada Distrital de Cuidado Menstrual en Santa Fe (38) y cualificaciones a equipos territoriales de la Secreatría Distrital de Integración Social (22). Se realizaron EMAA con mujeres que realizan ASP (14), se articuló para atender colegios en la ruralidad en donde se trabajó en el colegio Verjón Alto de la localidad de Santa Fé con estudiantes hombres y mujeres de 5 cursos (80 estudiantes en total, de las cuales 47 fueron niñas y adolescentes mujeres). Se logró visibilizar el tema en diferentes escenarios, al igual que llegar a diferentes poblaciones y contextos en donde persiste el tabú menstrual. </t>
    </r>
  </si>
  <si>
    <r>
      <t xml:space="preserve">Desde la </t>
    </r>
    <r>
      <rPr>
        <b/>
        <sz val="11"/>
        <rFont val="Times New Roman"/>
        <family val="1"/>
      </rPr>
      <t>Estrategia de empoderamiento</t>
    </r>
    <r>
      <rPr>
        <sz val="11"/>
        <rFont val="Times New Roman"/>
        <family val="1"/>
      </rPr>
      <t xml:space="preserve">  se logró brindar  herramientas de empoderamiento a niñas, adolescentes y mujeres jóvenes en sus diferencias y diversidad, fortaleciendo su comprensión y la detección y rutas de atención de violencias basadas en género. 
Desde la Estrategia de capacidades psicoemocionales se consolidó una oferta de bienestar emocional para las mujeres en sus diversidades en especial aquellas que por las diferentes dinámicas sociales y culturales han vivido discriminación y violencias, la oferta busca el fortalecimiento de capacidades para la gestión emocional, así como la búsqueda y consolidación de redes de apoyo entre mujeres, además de trabajo de cooperación entre sectores del distrito y con organizaciones internacionales favoreciendo la sostenibilidad y capacidad de la estrategia. 
Desde </t>
    </r>
    <r>
      <rPr>
        <b/>
        <sz val="11"/>
        <rFont val="Times New Roman"/>
        <family val="1"/>
      </rPr>
      <t xml:space="preserve">Estrategia de Cuidado Menstrual </t>
    </r>
    <r>
      <rPr>
        <sz val="11"/>
        <rFont val="Times New Roman"/>
        <family val="1"/>
      </rPr>
      <t xml:space="preserve">se brindó información pertinente y elementos para el cuidado menstrual que impacta en la garantía de derechos sexuales y reproductivo, el Derecho a la Salud Plena de las personas beneficiarias  atendiendo a las solicitudes de la Corte Constitucional de acuerdo con la Sentencia T398-19 ampliando a estas actividades a mujeres pertenecientes a otras poblaciones </t>
    </r>
  </si>
  <si>
    <r>
      <t xml:space="preserve">En la </t>
    </r>
    <r>
      <rPr>
        <b/>
        <sz val="11"/>
        <rFont val="Times New Roman"/>
        <family val="1"/>
      </rPr>
      <t>Estrategia de empoderamiento</t>
    </r>
    <r>
      <rPr>
        <sz val="11"/>
        <rFont val="Times New Roman"/>
        <family val="1"/>
      </rPr>
      <t xml:space="preserve"> para el mes mayo no se presentaron retrasos en el desarrollo de la estrategia.   
En la</t>
    </r>
    <r>
      <rPr>
        <b/>
        <sz val="11"/>
        <rFont val="Times New Roman"/>
        <family val="1"/>
      </rPr>
      <t xml:space="preserve"> Estrategia de capacidades psicoemocionales </t>
    </r>
    <r>
      <rPr>
        <sz val="11"/>
        <rFont val="Times New Roman"/>
        <family val="1"/>
      </rPr>
      <t xml:space="preserve">no se presentan retrasos. 
En la </t>
    </r>
    <r>
      <rPr>
        <b/>
        <sz val="11"/>
        <rFont val="Times New Roman"/>
        <family val="1"/>
      </rPr>
      <t xml:space="preserve">Estrategia de Cuidado Menstrual </t>
    </r>
    <r>
      <rPr>
        <sz val="11"/>
        <rFont val="Times New Roman"/>
        <family val="1"/>
      </rPr>
      <t xml:space="preserve">se presenta retraso en la actividad 16, los porcentajes programados para febrero y marzo no se han logrado ejecutar; no obstante, se avanzó en gran medida en mayo y se hará alcance en junio y julio.  </t>
    </r>
  </si>
  <si>
    <r>
      <t xml:space="preserve">La actividad no estaba programada para el mes de enero. En el mes de febrero la actividad no presentó avance, por trámites contractuales.  En el mes de marzo se realizó una Jornada de Dignidad Menstrual en la localidad de Los Mártires, en la que se realizó taller de cuidado menstrual a 36 personas que se reportan en SIMISIONAL y se entregaron 25 kits "Menstruar con bienestar".  En el mes de abril se realizaron dos recorridos por la Dignidad Menstrual en las localidades de 1) San Cristóbal 9 mujeres habitantes de calle y se entregaron 5 kits de cuidado menstrual, y  2) Bosa 6 mujeres habitantes de calle y se entregaron 5 kits de cuidado menstrual.  En el mes de </t>
    </r>
    <r>
      <rPr>
        <b/>
        <sz val="11"/>
        <rFont val="Times New Roman"/>
        <family val="1"/>
      </rPr>
      <t>mayo</t>
    </r>
    <r>
      <rPr>
        <sz val="11"/>
        <rFont val="Times New Roman"/>
        <family val="1"/>
      </rPr>
      <t xml:space="preserve"> se realizó una Jornada de Dignidad Menstrual en la localidad de Santa Fe articulada a traves de la Mesa Distrital de Cuidado Menstrual, en esta Jornada se realizó taller de cuidado menstrual a 38 mujeres. La SDMujer no entregó elementos de Cuidado Menstrual, los cuales fueron asumidos por SDIS e IDIPRON. Se realizó un recorrido por la Dignidad Menstrual en las localidad de Usaquén en donde se atendieron 5 mujeres habitantes de calle a las cuales la SDMujer les entregó el Kit "Menstruar con Bienestar".  Se realizó taller de la EMAA con 14 Mujeres que realizan ASP citadas por el equipo de Casa de Todas en el marco de toma de citologias en donde se sensibilizó del tema de cuidado menstrual, la salud relacionada con la menstruación y elementos de gestión menstrual. Esta actividad no presenta retrasos en su ejecución. </t>
    </r>
  </si>
  <si>
    <r>
      <t>La actividad no estaba programada para el mes de enero. En el mes de febrero la actividad no presentó avance, por trámites contractuales. En el mes de marzo se realizó la Primera Mesa de Cuidado Menstrual con la participación de la Secretaría de Salud, Secretaría de Integración Social, IDIPRON y SDMujer. Se definió el Plan de Acción y cronograma de jornadas y recorridos por la Dignidad Menstrual. En el mes de abril</t>
    </r>
    <r>
      <rPr>
        <b/>
        <sz val="11"/>
        <rFont val="Times New Roman"/>
        <family val="1"/>
      </rPr>
      <t xml:space="preserve"> </t>
    </r>
    <r>
      <rPr>
        <sz val="11"/>
        <rFont val="Times New Roman"/>
        <family val="1"/>
      </rPr>
      <t>se realizó la Segunda Mesa de Cuidado Menstrual con la participación de la Secretaría Distrital de Salud, Secretaría Distrital de Integración Social, IDIPRON y SDMujer. En el mes de</t>
    </r>
    <r>
      <rPr>
        <b/>
        <sz val="11"/>
        <rFont val="Times New Roman"/>
        <family val="1"/>
      </rPr>
      <t xml:space="preserve"> mayo</t>
    </r>
    <r>
      <rPr>
        <sz val="11"/>
        <rFont val="Times New Roman"/>
        <family val="1"/>
      </rPr>
      <t xml:space="preserve"> se realizó la Tercera Mesa de Cuidado Menstrual con la participación de la Secretaría Distrital de Salud, Secretaría Distrital de Integración Social, IDIPRON y SDMujer. Se definió el Plan de Acción y cronograma de jornadas y recorridos por la Dignidad Menstrual para el mes de junio. No hay atraso en la implementación. </t>
    </r>
  </si>
  <si>
    <r>
      <t xml:space="preserve">En el mes de </t>
    </r>
    <r>
      <rPr>
        <sz val="11"/>
        <rFont val="Times New Roman"/>
        <family val="1"/>
      </rPr>
      <t xml:space="preserve">mayo </t>
    </r>
    <r>
      <rPr>
        <sz val="11"/>
        <color theme="1"/>
        <rFont val="Times New Roman"/>
        <family val="1"/>
      </rPr>
      <t>se realizaron atenciones a 577 mujeres nuevas en sus diferencias y diversidad desde la Dirección de Enfoque Diferencial</t>
    </r>
  </si>
  <si>
    <r>
      <t xml:space="preserve">Entre enero y </t>
    </r>
    <r>
      <rPr>
        <sz val="11"/>
        <rFont val="Times New Roman"/>
        <family val="1"/>
      </rPr>
      <t xml:space="preserve">mayo </t>
    </r>
    <r>
      <rPr>
        <sz val="11"/>
        <color theme="1"/>
        <rFont val="Times New Roman"/>
        <family val="1"/>
      </rPr>
      <t xml:space="preserve"> se realizaron atenciones a 1322 mujeres nuevas en sus diferencias y diversidad desde la Dirección de Enfoque Diferencial</t>
    </r>
  </si>
  <si>
    <t>Nombre: Angie Paola Mesa Rojas</t>
  </si>
  <si>
    <t>Cargo: Subsecretaria del Cuidado y Políticas de Igualdad</t>
  </si>
  <si>
    <r>
      <t xml:space="preserve">En mayo se trabajó en transversalización del enfoque diferencial con 3 sectores: </t>
    </r>
    <r>
      <rPr>
        <b/>
        <sz val="11"/>
        <color indexed="8"/>
        <rFont val="Times New Roman"/>
        <family val="1"/>
      </rPr>
      <t xml:space="preserve">Ambiente: </t>
    </r>
    <r>
      <rPr>
        <sz val="11"/>
        <color rgb="FF000000"/>
        <rFont val="Times New Roman"/>
        <family val="1"/>
      </rPr>
      <t xml:space="preserve">taller con personal del  Instituto de Protección y Bienestar Animal-IDPYBA sobre PPMYEG y lineamientos para atención a mujeres trans (10-05-2023) y asistencia a taller con Secretaría de Ambiente sobre evaluación de necesidades de equidad e inclusión en el desarrollo de proyectos de eficiencia energética y energías renovables (24-05-2023); </t>
    </r>
    <r>
      <rPr>
        <b/>
        <sz val="11"/>
        <color rgb="FF000000"/>
        <rFont val="Times New Roman"/>
        <family val="1"/>
      </rPr>
      <t>Gestión Pública</t>
    </r>
    <r>
      <rPr>
        <sz val="11"/>
        <color rgb="FF000000"/>
        <rFont val="Times New Roman"/>
        <family val="1"/>
      </rPr>
      <t xml:space="preserve">: taller sobre ED y discapacidad con personal de la línea 195 (18-05-2023); </t>
    </r>
    <r>
      <rPr>
        <b/>
        <sz val="11"/>
        <color rgb="FF000000"/>
        <rFont val="Times New Roman"/>
        <family val="1"/>
      </rPr>
      <t>Movilidad</t>
    </r>
    <r>
      <rPr>
        <sz val="11"/>
        <color rgb="FF000000"/>
        <rFont val="Times New Roman"/>
        <family val="1"/>
      </rPr>
      <t>: jornada de información con personal administrativo de La Rolita-Operadora Distrital de Transporte sobre género, derechos de las mujeres y elementos para trabajar con mujeres LBT (16-05-2023).</t>
    </r>
  </si>
  <si>
    <r>
      <t xml:space="preserve">A mayo, desde la </t>
    </r>
    <r>
      <rPr>
        <b/>
        <sz val="11"/>
        <rFont val="Times New Roman"/>
        <family val="1"/>
      </rPr>
      <t>Estrategia de empoderamiento</t>
    </r>
    <r>
      <rPr>
        <sz val="11"/>
        <rFont val="Times New Roman"/>
        <family val="1"/>
      </rPr>
      <t xml:space="preserve">, se ha realizado  4 jornadas significativas con niñas, adolescentes y jóvenes del Colegio Juan Rey (69 participantes). Se ha desarrollado 9 semilleros de empoderamiento con Afro (2 semilleros), Palenqueras, Raizales, mujeres que realizan ASP y grados 301, 404, 701 y 702 del Colegio Juan Rey (220 personas).Se realizó la primera sesión con grado 501 (35 personas). Por otra parte, se ha logrado ampliar el margen de divulgación de la estrategia en diferentes sectores del Distrito: Sec. Distrital de Seguridad, Sec. Distrital de Gobierno, Bilblored, profesionales asistentes de la Mesa RIAI y de la Comisión Accidental por los derechos de los niños, niñas y adolescentes. Se han realizado las propuestas metodologicas de los diferentes semilleros y jornadas significativas. 
Hasta el mes de mayo, desde la </t>
    </r>
    <r>
      <rPr>
        <b/>
        <sz val="11"/>
        <rFont val="Times New Roman"/>
        <family val="1"/>
      </rPr>
      <t>Estrategia de capacidades psicoemocionales</t>
    </r>
    <r>
      <rPr>
        <sz val="11"/>
        <rFont val="Times New Roman"/>
        <family val="1"/>
      </rPr>
      <t xml:space="preserve">,  se han realizado 24 espacios respiro con un total de 422 participantes  y el inicio de la implementación de 2 escuelas de educación emocional presencial con un total de 40 participantes y una escuela virtual con 1115 participantes inscritas, de las cuales se han certificado 87. Se han realizado 2 espacios de transferencia de conocimiento con los psicosociales de RECA y SIDICU, con un total de 17 personas.  
A mayo la </t>
    </r>
    <r>
      <rPr>
        <b/>
        <sz val="11"/>
        <rFont val="Times New Roman"/>
        <family val="1"/>
      </rPr>
      <t>Estrategia de Cuidado Menstrual</t>
    </r>
    <r>
      <rPr>
        <sz val="11"/>
        <rFont val="Times New Roman"/>
        <family val="1"/>
      </rPr>
      <t xml:space="preserve">, continúa con las articulaciones a través de la Mesa Distrital de Cuidado Menstrual en donde se acuerdan las acciones conjuntas, para los meses que siguen. Se han realizado 2 Jornadas por la Dignidad Menstrual en las localidades de Mártires y Santa Fe en donde se han atendido 74 mujeres. Se han realizado 3 recorridos en las localidades de Bosa (1), San Cristóbal (1) y  Usaquén (1) donde se han abordado y sensibilizado a 20 mujeres habitantes de calle. Se han realizado cualificaciones a equipos territoriales de Integración Social (22 personas). Se realizaron EMAA con mujeres que realizan ASP (14 mujeres), se articuló para atender colegios en la ruralidad en donde se trabajó en el colegio Verjón Alto de la localidad de Santa Fé con estudiantes hombres y mujeres de 5 cursos (80 estudiantes en total, de las cuales 47 fueron niñas y adolescentes mujeres). Se logró visibilizar el tema en diferentes escenarios, al igual que llegar a diferentes poblaciones y contextos en donde persiste el tabú menstrual. </t>
    </r>
  </si>
  <si>
    <r>
      <t>La actividad no estaba programada para el mes de enero. Durante el mes de febrero se realizaron 3 reuniones con las orientadoras del Colegio Juan Rey en las que se definieron fechas para 2 jornadas significativas y 2 semilleros. Se realizó reunión con las integrantes del equipo Étnico en la que se concertaron las fechas para llevar a cabo los semilleros Raizal, Afro y Palenqueras. Se definió fecha para semillero de mujeres en ASP. En el mes de</t>
    </r>
    <r>
      <rPr>
        <b/>
        <sz val="11"/>
        <rFont val="Times New Roman"/>
        <family val="1"/>
      </rPr>
      <t xml:space="preserve"> marzo </t>
    </r>
    <r>
      <rPr>
        <sz val="11"/>
        <rFont val="Times New Roman"/>
        <family val="1"/>
      </rPr>
      <t>se</t>
    </r>
    <r>
      <rPr>
        <b/>
        <sz val="11"/>
        <rFont val="Times New Roman"/>
        <family val="1"/>
      </rPr>
      <t xml:space="preserve"> </t>
    </r>
    <r>
      <rPr>
        <sz val="11"/>
        <rFont val="Times New Roman"/>
        <family val="1"/>
      </rPr>
      <t>llevaron a cabo los siguientes semilleros: Niñas Afrocolombianas Usme (33 personas), Niñas Afrocolombianas Engativá (27 personas), Adolescentes y jóvenes Palenqueras ( 14 personas), Jóvenes Raizales (9 personas), adolescentes Colegio Juan Rey Grado 701 (30 personas) Grado 702 (29 personas) Asimismo, se realizaron 4 jornadas significativas en el Colegio Juan Rey en los grados transición, tercero, sexto y once logrando impactar a 69 personas. En el mes de</t>
    </r>
    <r>
      <rPr>
        <b/>
        <sz val="11"/>
        <rFont val="Times New Roman"/>
        <family val="1"/>
      </rPr>
      <t xml:space="preserve"> </t>
    </r>
    <r>
      <rPr>
        <sz val="11"/>
        <rFont val="Times New Roman"/>
        <family val="1"/>
      </rPr>
      <t>abril</t>
    </r>
    <r>
      <rPr>
        <b/>
        <sz val="11"/>
        <rFont val="Times New Roman"/>
        <family val="1"/>
      </rPr>
      <t xml:space="preserve"> </t>
    </r>
    <r>
      <rPr>
        <sz val="11"/>
        <rFont val="Times New Roman"/>
        <family val="1"/>
      </rPr>
      <t xml:space="preserve">se realizó semillero de empoderamiento con mujeres que realizan ASP (14 personas) y se llevó a cabo segunda sesión de semillero de empoderamiento con adolescentes de los grados séptimo del Colegio Juan Rey (59 personas). En el mes de </t>
    </r>
    <r>
      <rPr>
        <b/>
        <sz val="11"/>
        <rFont val="Times New Roman"/>
        <family val="1"/>
      </rPr>
      <t>mayo</t>
    </r>
    <r>
      <rPr>
        <sz val="11"/>
        <rFont val="Times New Roman"/>
        <family val="1"/>
      </rPr>
      <t xml:space="preserve"> se realizó la tercera sesión de semillero de empoderamiento con los grados séptimos del Colegio Juan Rey (61 personas). Se llevó a cabo la primera sesión de semillero de empoderamiento con el grado 501 del Colegio Juan Rey (35) participantes. Y se realizaron dos semilleros de empoderamiento con los  grados 301  y 404 del Colegio Juan Rey de tres sesiones cada uno (62 personas). </t>
    </r>
  </si>
  <si>
    <r>
      <t xml:space="preserve">La actividad no estaba programada para los meses de enero y febrero. La actividad no está programada para el mes de marzo, se avanzó en la gestión con articulación en la Mesa Distrital de Cuidado Menstrual con la Secretaría de Salud para trabajar las jornadas en abril y con Integración Social en mayo. Las fechas están por definir. Para el mes de abril se realizó articulación con Casa de Todas para realizar Módulos EMAA con Mujeres que realizan ASP; no obstante, y a pesar de la socialización del evento, con volantes, y la invitación  realizada persona a persona y no llegó ninguna mujer al espacio. En </t>
    </r>
    <r>
      <rPr>
        <b/>
        <sz val="11"/>
        <rFont val="Times New Roman"/>
        <family val="1"/>
      </rPr>
      <t>mayo</t>
    </r>
    <r>
      <rPr>
        <sz val="11"/>
        <rFont val="Times New Roman"/>
        <family val="1"/>
      </rPr>
      <t>, el día 10 se realizaron dos jornadas EMAA con estudiantes del colegio Verjón Alto, de la localidad de Santa Fé, así: se trabajó con los cursos 4to (se realizó taller con el total del curso que son 20 estudiantes de las cuales 12 son niñas) y 5to  (se realizó taller con el total del curso que son 21 estudiantes, de las cuales 8 son niñas); y el día 19 se realizaron dos jornadas EMAA con los cursos 601 (se realizó taller con el total del curso que son 12 estudiantes, de las cuales 8 son niñas), curso 602 (se realizó taller con el total del curso que son 14 estudiantes, de las cuales 6 son niñas)  y curso 7mo (se realizó taller con 13 adolescentes mujeres).</t>
    </r>
    <r>
      <rPr>
        <b/>
        <sz val="11"/>
        <rFont val="Times New Roman"/>
        <family val="1"/>
      </rPr>
      <t xml:space="preserve"> </t>
    </r>
    <r>
      <rPr>
        <sz val="11"/>
        <rFont val="Times New Roman"/>
        <family val="1"/>
      </rPr>
      <t xml:space="preserve">De igual forma, el día 29 de mayo se realizó fortalecimiento institucional a 22 profesionales territoriales de la Secretaría Distrital de Integración Social . </t>
    </r>
  </si>
  <si>
    <r>
      <t xml:space="preserve">La actividad no estaba programada para el mes de enero. En el mes de febrero la actividad no presentó avance, dado trámites contractuales. En el mes de marzo se reestablece quien es el contacto en el área de Comunicaciones de la SDMujer  y en el diálogo con ella no es posible realizar reunión antes de finalizar el mes por temas de acuerdos y productos pendientes. En el mes de abril se realizó reunión con Comunicaciones y se estableció estrategia de trabajo con el fin de avanzar en la implementación de la estrategia comunicativa con las herramientas con las que se cuenta. Se seleccionó una pieza comunicativa que apunta a la prevención del taponamiento y se dispuso actualizar la información allí relacionada con las profesionales de Casa de Todas y en la Mesa Distrital de Cuidado Menstrual. En el mes de </t>
    </r>
    <r>
      <rPr>
        <b/>
        <sz val="11"/>
        <rFont val="Times New Roman"/>
        <family val="1"/>
      </rPr>
      <t>mayo s</t>
    </r>
    <r>
      <rPr>
        <sz val="11"/>
        <rFont val="Times New Roman"/>
        <family val="1"/>
      </rPr>
      <t>e realizó gestión y consolidación de información que hará parte de las piezas comunicativas de la estrategia de comunicaciones, se realizaron ajustes al Folleto de Prevención del taponamiento, el cual se aprueba a traves de la Mesa Distrital de Cuidado Menstrual y se aprueban piezas para redes sociales. Se tiene aún un pequeño atraso en la implemetación de esta acción que se solventará con la publicación de las piezas y la creación de una que sea para la sensibilización para personas que realizan ASP con experiencias menstruales.</t>
    </r>
  </si>
  <si>
    <r>
      <t xml:space="preserve">En </t>
    </r>
    <r>
      <rPr>
        <b/>
        <sz val="11"/>
        <rFont val="Times New Roman"/>
        <family val="1"/>
      </rPr>
      <t>mayo</t>
    </r>
    <r>
      <rPr>
        <sz val="11"/>
        <rFont val="Times New Roman"/>
        <family val="1"/>
      </rPr>
      <t xml:space="preserve">, se realizó firma del contrato inter administrativo con el ICFES, e inscripción a Pruebas Saber 11 de 200 mujeres en sus diferencias y diversidad. Igualmente, se realizó jornada de bienvenida a mujeres inscritas a Pruebas Saber 11, con la participación de 105 mujeres y registradas en el SiMisional. En la jornada participó ICFES, delegado de Parceros en jornada presencial con un total de 130 personas, entre acompañantes e institucionalidad. Se continua articulación con la Dirección de Diseño de Políticas de la SDMujer para Feria de Educación Flexible y se realizó una reunión, donde se identificaron lecciones aprendidas y se cuenta con planeación preliminar y se listado de convocatoria inicial para Instituciones de Educación Superior. Se evaluó pilotaje de apoyos de asistencia económica a mujeres ASP de la EEF en Casa de Todas, de las cuales 4 se gradúan de bachiller. Se continuó, la articulación con Agencia de Educación Superior, Ciencia y Tecnología (ATENEA). Asimismo, se inició articulación con Universidad Javeriana con dos ofertas, apoyo formativo a mujeres Pruebas Saber 11 y un curso de eléctrica para la vida. Se espera realizar convenio con apoyo de la Dirección de Gestión de Conocimiento de la SDMujer. </t>
    </r>
  </si>
  <si>
    <t>No presentan retrasos.</t>
  </si>
  <si>
    <r>
      <t xml:space="preserve">Durante febrero, se realizó reunión de articulación con el ICFES para contrato interadministrativo Pruebas Saber 11. se realizó estudios previos y la actualización de los mismos en el 2023. Durante marzo se solicitó documento de cotización para ICFES y encuentros con la entidad para concretar contrato interadministrativo. Igualmente debido a los cambios de profesionales vinculados a la EEF, se realizó una reunión de empalme y socialización de los pasos a seguir en el marco de las líneas de ICFES y encuentro con directora de Enfoque Diferencial. Asimismo, se realizó encuentro con Secretaría de Integración Social, Juventud: en el marco de la línea de ICFES, para definir criterios para articulación y asignación de cupos mujeres jóvenes Programa Parceros por Bogotá. Durante abril se realizó la convocatoria de pre-inscripción de Pruebas Saber 11, se cuenta con 220 mujeres pre-inscritas y revisaron que cumplan con los requisitos, se seleccionarán 200 y se continuo la articulación con Parceros. Se realizó convocatoria y selección de docentes para fortalecimiento de capacidades de mujeres para la presentación Pruebas Saber 11. Durante </t>
    </r>
    <r>
      <rPr>
        <b/>
        <sz val="11"/>
        <rFont val="Times New Roman"/>
        <family val="1"/>
      </rPr>
      <t>mayo</t>
    </r>
    <r>
      <rPr>
        <sz val="11"/>
        <rFont val="Times New Roman"/>
        <family val="1"/>
      </rPr>
      <t xml:space="preserve">, se realizó firma del contrato inter administrativo con el ICFES, e inscripción a Pruebas Saber 11 de 200 mujeres en sus diferencias y diversidad. Igualmente, se realizó jornada de la bienvenida a mujeres inscritas a Pruebas Saber 11, con la participación de 105 mujeres y registradas en el Sistema de Información Misional. En la jornada participó ICFES, delegado de Parceros en jornada presencial para un total de 130 personas, entre acompañantes e institucionalidad. </t>
    </r>
  </si>
  <si>
    <r>
      <t xml:space="preserve">En </t>
    </r>
    <r>
      <rPr>
        <b/>
        <sz val="11"/>
        <rFont val="Times New Roman"/>
        <family val="1"/>
      </rPr>
      <t xml:space="preserve">mayo </t>
    </r>
    <r>
      <rPr>
        <sz val="11"/>
        <rFont val="Times New Roman"/>
        <family val="1"/>
      </rPr>
      <t>se realizó socialización de la metodología de encuentros diferenciales y se desarrollaron 8</t>
    </r>
    <r>
      <rPr>
        <sz val="11"/>
        <color rgb="FFFF0000"/>
        <rFont val="Times New Roman"/>
        <family val="1"/>
      </rPr>
      <t xml:space="preserve"> </t>
    </r>
    <r>
      <rPr>
        <sz val="11"/>
        <rFont val="Times New Roman"/>
        <family val="1"/>
      </rPr>
      <t xml:space="preserve">encuentros, así: con mujeres jóvenes (3), negras/afrocolombianas (14), habitantes de calle (17), mayores (10), Adultas (12), Palenqueras (12), Migrantes y refugiadas (16) y campesina y rurales (13), para un total de 97 participantes. Se efectuaron </t>
    </r>
    <r>
      <rPr>
        <sz val="11"/>
        <color theme="1"/>
        <rFont val="Times New Roman"/>
        <family val="1"/>
      </rPr>
      <t>dos reuniones de seguimiento con el equipo de la ETC, y se construyó la metodología para el desarrollo de los procesos de sensibilización con los equipos de Planeación de los 15 sectores de la administración.</t>
    </r>
  </si>
  <si>
    <r>
      <t>A mayo se avanzó en la construcción del paso a paso de las conmemoraciones y se definieron las actividades a realizar durante la vigencia 2023, se realizó socialización del paso a paso de las conmemoraciones al equipo de la DED de la SDMujer, se construyó  la metodología de encuentros diferenciales y se han desarrollado (13) encuentros diferenciales con mujeres que realizan ASP, raizales, indígenas, con discapacidad, gitanas, afro, palenqueras, habitantes de calle, adultas, mayores, migrantes, campesina y rurales, jóvenes</t>
    </r>
    <r>
      <rPr>
        <sz val="11"/>
        <color theme="1"/>
        <rFont val="Times New Roman"/>
        <family val="1"/>
      </rPr>
      <t xml:space="preserve"> con 190 participantes, y se desarrolló la conmemoración de mujeres en ASP en la cual participaron 28 mujeres. Se</t>
    </r>
    <r>
      <rPr>
        <sz val="11"/>
        <rFont val="Times New Roman"/>
        <family val="1"/>
      </rPr>
      <t xml:space="preserve"> efectuaron reuniones de seguimiento con el equipo de la ETC, y se definió el desarrollo de 2 jornadas de sensibilización con los equipos de </t>
    </r>
    <r>
      <rPr>
        <sz val="11"/>
        <color theme="1"/>
        <rFont val="Times New Roman"/>
        <family val="1"/>
      </rPr>
      <t>Planeación de los sectores de las administración distrital, así como se construyó la metodología para el desarrollo de estas jornadas y se creó oficio de invitación a los sect</t>
    </r>
    <r>
      <rPr>
        <sz val="11"/>
        <rFont val="Times New Roman"/>
        <family val="1"/>
      </rPr>
      <t>ores.</t>
    </r>
  </si>
  <si>
    <r>
      <t xml:space="preserve">La actividad no estaba programada para el mes de enero. Para el mes de febrero se realizó la construcción del plan de trabajo y se definió el paso a paso para el desarrollo de las conmemoraciones teniendo en cuenta las acciones de mejora. Para el </t>
    </r>
    <r>
      <rPr>
        <b/>
        <sz val="11"/>
        <color theme="1"/>
        <rFont val="Times New Roman"/>
        <family val="1"/>
      </rPr>
      <t xml:space="preserve">mes de marzo </t>
    </r>
    <r>
      <rPr>
        <sz val="11"/>
        <color theme="1"/>
        <rFont val="Times New Roman"/>
        <family val="1"/>
      </rPr>
      <t>se realizó la socialización del paso a paso para el desarrollo de las fechas conmemorativas a la Dirección de Enfoque Diferencial (DED) de la SDMujer. Se realizó reunión con la oficina de comunicaciones con el objetivo de establecer los tiempos de envió frente a las solicitudes así como la definición de la estructura de los documentos que deben enviar dependiendo de la conmemoración, se envío paso a paso, modelo documento sentido, bullets y guion de los eventos y minuto a minuto</t>
    </r>
    <r>
      <rPr>
        <b/>
        <sz val="11"/>
        <color theme="1"/>
        <rFont val="Times New Roman"/>
        <family val="1"/>
      </rPr>
      <t xml:space="preserve"> </t>
    </r>
    <r>
      <rPr>
        <sz val="11"/>
        <color theme="1"/>
        <rFont val="Times New Roman"/>
        <family val="1"/>
      </rPr>
      <t xml:space="preserve">al equipo de la Dirección de Enfoque Diferencial previo envió por la oficina de comunicaciones. Se realizó el encuentro diferencial con mujeres que realizan actividades sexuales pagadas (ASP) con la participación de 10 mujeres. Para el mes de abril se realizó la socialización de metodología para los encuentros diferenciales, y se desarrollaron 4  encuentros con mujeres gitanas (20), raizales (25), indígenas (20) y con discapacidad (18), con la participación de 83 mujeres de los grupos ya descritos, lo anterior con el objetivo de  brindar la base para la construcción de las propuesta de conmemoración. Para el </t>
    </r>
    <r>
      <rPr>
        <b/>
        <sz val="11"/>
        <color theme="1"/>
        <rFont val="Times New Roman"/>
        <family val="1"/>
      </rPr>
      <t xml:space="preserve">mes de mayo </t>
    </r>
    <r>
      <rPr>
        <sz val="11"/>
        <color theme="1"/>
        <rFont val="Times New Roman"/>
        <family val="1"/>
      </rPr>
      <t>se han realizado 8 encuentros, así: con mujeres jóvenes (3), negras/afrocolombianas (14), habitantes de calle (17), mayores (10), Adultas (12), Palenqueras (12) , Migrantes y refugiadas (16)  y campesina y rurales (13). Se desarrolló la conmemoración de mujeres que realizan actividades sexuales pagadas-ASP con la participación de 28 mujeres.</t>
    </r>
  </si>
  <si>
    <t>Retraso: Se presentó retraso en la elaboración de la propuesta preliminar del Plan de Fortalecimiento por temas de coordinación interna. Sin embargo, se realizó un ajuste del cronograma de las actividades para elaborar y validar la propuesta del Plan de Fortalecimiento en el mes de junio y poder iniciar la implementación y seguimiento en el mes de julio.</t>
  </si>
  <si>
    <r>
      <rPr>
        <sz val="11"/>
        <color rgb="FF000000"/>
        <rFont val="Times New Roman"/>
        <family val="1"/>
      </rPr>
      <t xml:space="preserve">Durante el mes </t>
    </r>
    <r>
      <rPr>
        <b/>
        <sz val="11"/>
        <color rgb="FF000000"/>
        <rFont val="Times New Roman"/>
        <family val="1"/>
      </rPr>
      <t xml:space="preserve">mayo </t>
    </r>
    <r>
      <rPr>
        <sz val="11"/>
        <color rgb="FF000000"/>
        <rFont val="Times New Roman"/>
        <family val="1"/>
      </rPr>
      <t>2023, se dio continuidad a la operación de la Estrategia Casa de Todas con atención presencial y telefónica, brindando atención integral y acompañamiento a 391 mujeres que realizan actividades sexuales pagadas, se realizaron 885 atenciones en el periodo desagregadas por área así: 323 intervenciones por trabajo social, 286 actuaciones jurídicas, 276 atenciones psicosociales, con el fin de contribuir a la garantía de los derechos, combatir la estigmatización y mejorar la calidad de vida de la población a través de una oferta institucional diferencial y especializada, producto de estas asesorías,  se ha logrado la caracterización detallada de la población atendida, la sistematización de las acciones realizadas, informes mensuales del trabajo realizado, y la prestación de los servicios requeridos por la población en el marco de las competencias de la entidad. Se han realizado jornadas de servicios que incluyen cuidado de salud sexual y reproductiva y socialización de la PPASP  y ferias servicios en Casa de Todas y en territorio en Fontibón y Chapinero, Feria de empleabilidad con la Secretaria de Desarrollo Económico, pago por resultados. Se ha articulado con otras estrategias, llevando a las mujeres espacios de cuidado psicoemocional virtual (1),  espacio de cuidado menstrual (1) y la fecha conmemorativa de las mujeres ASP.</t>
    </r>
  </si>
  <si>
    <r>
      <rPr>
        <sz val="11"/>
        <color rgb="FF000000"/>
        <rFont val="Times New Roman"/>
        <family val="1"/>
      </rPr>
      <t xml:space="preserve">Durante los meses de enero a </t>
    </r>
    <r>
      <rPr>
        <b/>
        <sz val="11"/>
        <color rgb="FF000000"/>
        <rFont val="Times New Roman"/>
        <family val="1"/>
      </rPr>
      <t xml:space="preserve">mayo </t>
    </r>
    <r>
      <rPr>
        <sz val="11"/>
        <color rgb="FF000000"/>
        <rFont val="Times New Roman"/>
        <family val="1"/>
      </rPr>
      <t xml:space="preserve"> de 2023 se atendieron 912 mujeres en trabajo social y se realizaron 1.779 atenciones desagregadas así: 511 intervenciones, 1.179 seguimientos y 89 valoraciones iniciales. Durante el periodo se realizó atención presencial y telefónica. A través de la atención, en el periodo se logró dar respuesta a las siguientes necesidades específicas:
A través de la atención  se logró dar respuesta a los procesos de: 
*71 Activación servicios de SDIS
*32 Afiliaciones al sistema de salud
*21 Anticoncepción
*11 Duplicados de cédula
*6 Educacion superior*67 Empleabilidad
*62 Fondo Nacional del Ahorro
*71 Formación para el trabajo (Miquelina y Conviventia)
*10 Formación cursos técnicos SENA*28 Portabilidad
*69 Proceso educación flexible
*123 Pruebas rápidas con secretaria de salud
*7 Remisiones para IVE
*4 Salud Movilidad
*120 Salud sexual y reproductiva liga contra el cancer
*35 Solicitud cupo DLE
*77 Solicitud de encuesta socioeconomica SISBEN
*25 Subsidios con Habitat
*4 Traslado municipio salud
*5 Ruta de victimas conflicto armado          </t>
    </r>
  </si>
  <si>
    <r>
      <rPr>
        <sz val="11"/>
        <color rgb="FF000000"/>
        <rFont val="Times New Roman"/>
        <family val="1"/>
      </rPr>
      <t xml:space="preserve">Durante los meses de enero a </t>
    </r>
    <r>
      <rPr>
        <b/>
        <sz val="11"/>
        <color rgb="FF000000"/>
        <rFont val="Times New Roman"/>
        <family val="1"/>
      </rPr>
      <t xml:space="preserve">mayo </t>
    </r>
    <r>
      <rPr>
        <sz val="11"/>
        <color rgb="FF000000"/>
        <rFont val="Times New Roman"/>
        <family val="1"/>
      </rPr>
      <t xml:space="preserve">de 2023 se atendieron 275 mujeres en el área psicosocial y se realizaron 875 atenciones desagregadas así: 204 asesorías, 555 seguimientos y 116 valoración inicial. La atención se prestó de manera presencial y telefónica acorde a la agenda programada.  Se han realizado primeras atenciones y orientación psicosocial con énfasis en  gestión del malestar emocional manifiesto por las mujeres, se brindaron herramientas psicológicas dirigidas a gestionarlo, facilitar la expresión de sentimientos y avanzar en su reconocimiento como sujetas de derechos. Así mismo, se motivó la corresponsabilidad para el cuidado de su salud mental, focalizándoles en su proyecto de vida y preparación para la toma de decisiones y mejorar su situación actual. </t>
    </r>
  </si>
  <si>
    <r>
      <rPr>
        <sz val="11"/>
        <color rgb="FF000000"/>
        <rFont val="Times New Roman"/>
        <family val="1"/>
      </rPr>
      <t xml:space="preserve">Durante los meses de enero a </t>
    </r>
    <r>
      <rPr>
        <b/>
        <sz val="11"/>
        <color rgb="FF000000"/>
        <rFont val="Times New Roman"/>
        <family val="1"/>
      </rPr>
      <t xml:space="preserve">mayo </t>
    </r>
    <r>
      <rPr>
        <sz val="11"/>
        <color rgb="FF000000"/>
        <rFont val="Times New Roman"/>
        <family val="1"/>
      </rPr>
      <t>de 2023 se consolidaron y elaboraron los siguiente boletines:
1-Boletín caracterización de personas ASP atendidas en Casa de Todas en Trim I 2023
2-Informe_Encuesta_Satisfacción_II Sem 2022
3-Boletín caracterizadas I-Trim 2023 Comparativo Ven - Col.pdf</t>
    </r>
  </si>
  <si>
    <t xml:space="preserve">Durante los meses de enero a mayo de 2023 se atendieron 275 mujeres en el área psicosocial y se realizaron 875 atenciones desagregadas así: 204 asesorías, 555 seguimientos y 116 valoración inicial. La atención se prestó de manera presencial y telefónica acorde a la agenda programada.  Se han realizado primeras atenciones y orientación psicosocial con énfasis en  gestión del malestar emocional manifiesto por las mujeres, se brindaron herramientas psicológicas dirigidas a gestionarlo, facilitar la expresión de sentimientos y avanzar en su reconocimiento como sujetas de derechos. Así mismo, se motivó la corresponsabilidad para el cuidado de su salud mental, focalizándoles en su proyecto de vida y preparación para la toma de decisiones y mejorar su situación actual. </t>
  </si>
  <si>
    <t>Durante los meses de enero a mayo  de 2023 se atendieron 912 mujeres en trabajo social y se realizaron 1.779 atenciones desagregadas así: 511 intervenciones, 1.179 seguimientos y 89 valoraciones iniciales. Durante el periodo se realizó atención presencial y telefónica. A través de la atención, en el periodo se logró dar respuesta a las siguientes necesidades específicas:
A través de la atención  se logró dar respuesta a los procesos de: 
*71 Activación servicios de SDIS
*32 Afiliaciones al sistema de salud
*21 Anticoncepción
*11 Duplicados de cédula
*6 Educacion superior*67 Empleabilidad
*62 Fondo Nacional del Ahorro
*71 Formación para el trabajo (Miquelina y Conviventia)
*10 Formación cursos técnicos SENA*28 Portabilidad
*69 Proceso educación flexible
*123 Pruebas rápidas con secretaria de salud
*7 Remisiones para IVE
*4 Salud Movilidad
*120 Salud sexual y reproductiva liga contra el cancer
*35 Solicitud cupo DLE
*77 Solicitud de encuesta socioeconomica SISBEN
*25 Subsidios con Habitat
*4 Traslado municipio salud
*5 Ruta de victimas conflicto armado</t>
  </si>
  <si>
    <r>
      <t>Durante</t>
    </r>
    <r>
      <rPr>
        <b/>
        <sz val="11"/>
        <color rgb="FF000000"/>
        <rFont val="Times New Roman"/>
        <family val="1"/>
      </rPr>
      <t xml:space="preserve"> </t>
    </r>
    <r>
      <rPr>
        <sz val="11"/>
        <color rgb="FF000000"/>
        <rFont val="Times New Roman"/>
        <family val="1"/>
      </rPr>
      <t>los meses de</t>
    </r>
    <r>
      <rPr>
        <b/>
        <sz val="11"/>
        <color rgb="FF000000"/>
        <rFont val="Times New Roman"/>
        <family val="1"/>
      </rPr>
      <t xml:space="preserve"> enero a mayo</t>
    </r>
    <r>
      <rPr>
        <sz val="11"/>
        <color rgb="FF000000"/>
        <rFont val="Times New Roman"/>
        <family val="1"/>
      </rPr>
      <t xml:space="preserve"> de 2023, se dio continuidad a la operación de la Estrategia Casa de Todas con atención presencial y telefónica, brindando atención integral y acompañamiento a  1.206 mujeres que realizan actividades sexuales pagadas, se realizaron 3.890 atenciones en el periodo desagregadas por área así: 1.779 intervenciones por trabajo social, 1236 actuaciones jurídicas, 875 atenciones psicosociales, con el fin de contribuir a la garantía de los derechos, combatir la estigmatización y mejorar la calidad de vida de la población a través de una oferta institucional diferencial y especializada, producto de estas asesorías,  se ha logrado la caracterización detallada de la población atendida, la sistematización de las acciones realizadas, informes mensuales del trabajo realizado, y la prestación de los servicios requeridos por la población en el marco de las competencias de la entidad. Se han realizado jornadas de servicios que incluyen cuidado de salud sexual y reproductiva y socialización de la PPASP (3) y ferias servicios de otras entidades en Casa de Todas y en territorio como Plaza de la Mariposa, Alameda, Engativá, Fontibón. Chapinero. Se ha articulado con otras estrategias, llevando a las mujeres espacios de cuidado psicoemocional (3), encuentros poblacionales (1), semilleros (1), proceso educativo con mujeres emprendedoras (1), un espacio de cuidado menstrual (1), una feria de empleabilidad y la fecha conmemorativa ASP</t>
    </r>
  </si>
  <si>
    <r>
      <t>La actividad no estaba programada para el mes de enero. Durante el mes de febrero se realizó el ajuste en las metodologías para población Raizal y mujeres que realizan ASP, de acuerdo a las sugerencias de las referentas de cada grupo, destacando la incorporación de la cartografía corporal e inteligencia financiera. En el mes de marzo se realizaron ajustes en las metodologías de Afro, Palenqueras y Raizal. Se construyeron las  metodologías para las jornadas significativas del Colegio Juan Rey y  para la primera sesión de semillero con adolescentes del grado séptimo de este Colegio. En el mes de abril</t>
    </r>
    <r>
      <rPr>
        <b/>
        <sz val="11"/>
        <rFont val="Times New Roman"/>
        <family val="1"/>
      </rPr>
      <t xml:space="preserve"> </t>
    </r>
    <r>
      <rPr>
        <sz val="11"/>
        <rFont val="Times New Roman"/>
        <family val="1"/>
      </rPr>
      <t xml:space="preserve">se realizó el ajuste a la metodología para mujeres que realizan ASP y se construyeron las metodologías para adolescentes campesinas y segunda sesión de semillero con adolescentes de los grados séptimos del Colegio Juan Rey. En el mes de </t>
    </r>
    <r>
      <rPr>
        <b/>
        <sz val="11"/>
        <rFont val="Times New Roman"/>
        <family val="1"/>
      </rPr>
      <t xml:space="preserve">mayo </t>
    </r>
    <r>
      <rPr>
        <sz val="11"/>
        <rFont val="Times New Roman"/>
        <family val="1"/>
      </rPr>
      <t xml:space="preserve">se construyeron las metodologías correspondientes para las tres sesiones de semilleros de empoderamiento con estudiantes de los grados tercero, cuarto y quinto del Colegio Juan Rey. 
</t>
    </r>
  </si>
  <si>
    <t>Promoción de la igualdad, el desarrollo de capacidades y el reconocimiento de las mujeres.</t>
  </si>
  <si>
    <t xml:space="preserve">			Promoción de la igualdad, el desarrollo de capacidades y el reconocimiento de las mujeres.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</si>
</sst>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 #,##0;\-&quot;$&quot;\ #,##0"/>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 numFmtId="179" formatCode="0.000"/>
    <numFmt numFmtId="180" formatCode="0.0000"/>
    <numFmt numFmtId="181" formatCode="0.00000"/>
  </numFmts>
  <fonts count="61"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b/>
      <sz val="9"/>
      <color indexed="81"/>
      <name val="Tahoma"/>
      <family val="2"/>
    </font>
    <font>
      <sz val="9"/>
      <color indexed="81"/>
      <name val="Tahoma"/>
      <family val="2"/>
    </font>
    <font>
      <sz val="8"/>
      <name val="Times New Roman"/>
      <family val="1"/>
    </font>
    <font>
      <b/>
      <sz val="8"/>
      <name val="Times New Roman"/>
      <family val="1"/>
    </font>
    <font>
      <sz val="7"/>
      <name val="Times New Roman"/>
      <family val="1"/>
    </font>
    <font>
      <b/>
      <sz val="11"/>
      <color indexed="81"/>
      <name val="Tahoma"/>
      <family val="2"/>
    </font>
    <font>
      <sz val="11"/>
      <color indexed="81"/>
      <name val="Tahoma"/>
      <family val="2"/>
    </font>
    <font>
      <sz val="11"/>
      <color indexed="60"/>
      <name val="Times New Roman"/>
      <family val="1"/>
    </font>
    <font>
      <b/>
      <sz val="14"/>
      <name val="Times New Roman"/>
      <family val="1"/>
    </font>
    <font>
      <b/>
      <sz val="14"/>
      <color indexed="8"/>
      <name val="Times New Roman"/>
      <family val="1"/>
    </font>
    <font>
      <sz val="14"/>
      <color indexed="8"/>
      <name val="Times New Roman"/>
      <family val="1"/>
    </font>
    <font>
      <b/>
      <sz val="15"/>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rgb="FF000000"/>
      <name val="Times New Roman"/>
      <family val="1"/>
    </font>
    <font>
      <sz val="11"/>
      <color rgb="FF000000"/>
      <name val="Times New Roman"/>
      <family val="1"/>
    </font>
    <font>
      <b/>
      <sz val="11"/>
      <color theme="1"/>
      <name val="Times New Roman"/>
      <family val="1"/>
    </font>
    <font>
      <b/>
      <sz val="11"/>
      <color theme="0" tint="-0.34998626667073579"/>
      <name val="Calibri"/>
      <family val="2"/>
      <scheme val="minor"/>
    </font>
    <font>
      <sz val="10"/>
      <color theme="1"/>
      <name val="Times New Roman"/>
      <family val="1"/>
    </font>
    <font>
      <b/>
      <sz val="10"/>
      <color theme="1"/>
      <name val="Times New Roman"/>
      <family val="1"/>
    </font>
    <font>
      <sz val="14"/>
      <color theme="1"/>
      <name val="Times New Roman"/>
      <family val="1"/>
    </font>
    <font>
      <b/>
      <sz val="12"/>
      <color theme="1"/>
      <name val="Times New Roman"/>
      <family val="1"/>
    </font>
    <font>
      <b/>
      <sz val="18"/>
      <color theme="0" tint="-0.34998626667073579"/>
      <name val="Calibri"/>
      <family val="2"/>
      <scheme val="minor"/>
    </font>
    <font>
      <b/>
      <sz val="11"/>
      <color indexed="8"/>
      <name val="Calibri"/>
      <family val="2"/>
      <scheme val="minor"/>
    </font>
    <font>
      <b/>
      <sz val="11"/>
      <color theme="0" tint="-0.34998626667073579"/>
      <name val="Times New Roman"/>
      <family val="1"/>
    </font>
    <font>
      <b/>
      <sz val="15"/>
      <color theme="1"/>
      <name val="Times New Roman"/>
      <family val="1"/>
    </font>
    <font>
      <b/>
      <sz val="14"/>
      <color theme="1"/>
      <name val="Times New Roman"/>
      <family val="1"/>
    </font>
    <font>
      <b/>
      <sz val="11"/>
      <color rgb="FFFF0000"/>
      <name val="Times New Roman"/>
      <family val="1"/>
    </font>
    <font>
      <sz val="11"/>
      <color rgb="FF000000"/>
      <name val="Times New Roman"/>
      <family val="1"/>
    </font>
  </fonts>
  <fills count="32">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79646"/>
        <bgColor rgb="FFF79646"/>
      </patternFill>
    </fill>
    <fill>
      <patternFill patternType="solid">
        <fgColor rgb="FFFDE9D9"/>
        <bgColor rgb="FFFDE9D9"/>
      </patternFill>
    </fill>
    <fill>
      <patternFill patternType="solid">
        <fgColor rgb="FFC6D9F0"/>
        <bgColor rgb="FFC6D9F0"/>
      </patternFill>
    </fill>
    <fill>
      <patternFill patternType="solid">
        <fgColor rgb="FFFF6699"/>
        <bgColor indexed="64"/>
      </patternFill>
    </fill>
    <fill>
      <patternFill patternType="solid">
        <fgColor rgb="FFFFFFCC"/>
        <bgColor rgb="FFFFFFCC"/>
      </patternFill>
    </fill>
    <fill>
      <patternFill patternType="solid">
        <fgColor theme="0" tint="-0.14999847407452621"/>
        <bgColor indexed="64"/>
      </patternFill>
    </fill>
    <fill>
      <patternFill patternType="solid">
        <fgColor rgb="FFDDDDDD"/>
        <bgColor indexed="64"/>
      </patternFill>
    </fill>
    <fill>
      <patternFill patternType="solid">
        <fgColor rgb="FFFFFF00"/>
        <bgColor indexed="64"/>
      </patternFill>
    </fill>
    <fill>
      <patternFill patternType="solid">
        <fgColor theme="3" tint="0.39997558519241921"/>
        <bgColor indexed="64"/>
      </patternFill>
    </fill>
    <fill>
      <patternFill patternType="solid">
        <fgColor rgb="FFFFFFFF"/>
        <bgColor rgb="FF000000"/>
      </patternFill>
    </fill>
  </fills>
  <borders count="10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top/>
      <bottom style="thin">
        <color auto="1"/>
      </bottom>
      <diagonal/>
    </border>
    <border>
      <left style="thin">
        <color auto="1"/>
      </left>
      <right/>
      <top style="thin">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style="thin">
        <color auto="1"/>
      </left>
      <right/>
      <top style="medium">
        <color auto="1"/>
      </top>
      <bottom style="thin">
        <color auto="1"/>
      </bottom>
      <diagonal/>
    </border>
    <border>
      <left style="medium">
        <color auto="1"/>
      </left>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top style="medium">
        <color auto="1"/>
      </top>
      <bottom style="thin">
        <color auto="1"/>
      </bottom>
      <diagonal/>
    </border>
    <border>
      <left/>
      <right/>
      <top style="thin">
        <color auto="1"/>
      </top>
      <bottom style="medium">
        <color auto="1"/>
      </bottom>
      <diagonal/>
    </border>
    <border>
      <left style="thin">
        <color auto="1"/>
      </left>
      <right/>
      <top/>
      <bottom/>
      <diagonal/>
    </border>
    <border>
      <left style="thin">
        <color auto="1"/>
      </left>
      <right/>
      <top style="medium">
        <color auto="1"/>
      </top>
      <bottom/>
      <diagonal/>
    </border>
    <border>
      <left style="thin">
        <color auto="1"/>
      </left>
      <right style="medium">
        <color auto="1"/>
      </right>
      <top style="medium">
        <color auto="1"/>
      </top>
      <bottom/>
      <diagonal/>
    </border>
    <border>
      <left/>
      <right style="thin">
        <color auto="1"/>
      </right>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auto="1"/>
      </left>
      <right style="medium">
        <color theme="0"/>
      </right>
      <top style="medium">
        <color auto="1"/>
      </top>
      <bottom style="medium">
        <color theme="0"/>
      </bottom>
      <diagonal/>
    </border>
    <border>
      <left style="medium">
        <color theme="0"/>
      </left>
      <right/>
      <top style="medium">
        <color auto="1"/>
      </top>
      <bottom style="medium">
        <color theme="0"/>
      </bottom>
      <diagonal/>
    </border>
    <border>
      <left style="medium">
        <color theme="0"/>
      </left>
      <right/>
      <top style="medium">
        <color auto="1"/>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auto="1"/>
      </top>
      <bottom style="medium">
        <color auto="1"/>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auto="1"/>
      </right>
      <top style="thin">
        <color rgb="FF000000"/>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auto="1"/>
      </left>
      <right style="thin">
        <color rgb="FF000000"/>
      </right>
      <top style="thin">
        <color rgb="FF000000"/>
      </top>
      <bottom/>
      <diagonal/>
    </border>
    <border>
      <left style="medium">
        <color auto="1"/>
      </left>
      <right style="thin">
        <color rgb="FF000000"/>
      </right>
      <top/>
      <bottom style="thin">
        <color rgb="FF000000"/>
      </bottom>
      <diagonal/>
    </border>
    <border>
      <left style="medium">
        <color auto="1"/>
      </left>
      <right style="thin">
        <color rgb="FF000000"/>
      </right>
      <top/>
      <bottom style="medium">
        <color auto="1"/>
      </bottom>
      <diagonal/>
    </border>
    <border>
      <left style="thin">
        <color rgb="FF000000"/>
      </left>
      <right style="thin">
        <color rgb="FF000000"/>
      </right>
      <top/>
      <bottom style="medium">
        <color auto="1"/>
      </bottom>
      <diagonal/>
    </border>
    <border>
      <left style="medium">
        <color auto="1"/>
      </left>
      <right style="thin">
        <color rgb="FF000000"/>
      </right>
      <top style="medium">
        <color auto="1"/>
      </top>
      <bottom/>
      <diagonal/>
    </border>
    <border>
      <left style="thin">
        <color rgb="FF000000"/>
      </left>
      <right style="thin">
        <color rgb="FF000000"/>
      </right>
      <top style="medium">
        <color auto="1"/>
      </top>
      <bottom/>
      <diagonal/>
    </border>
    <border>
      <left style="thin">
        <color rgb="FF000000"/>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style="thin">
        <color auto="1"/>
      </left>
      <right/>
      <top/>
      <bottom style="medium">
        <color rgb="FF000000"/>
      </bottom>
      <diagonal/>
    </border>
    <border>
      <left/>
      <right/>
      <top/>
      <bottom style="medium">
        <color rgb="FF000000"/>
      </bottom>
      <diagonal/>
    </border>
    <border>
      <left/>
      <right style="thin">
        <color auto="1"/>
      </right>
      <top/>
      <bottom style="medium">
        <color rgb="FF000000"/>
      </bottom>
      <diagonal/>
    </border>
    <border>
      <left/>
      <right/>
      <top style="thin">
        <color rgb="FF000000"/>
      </top>
      <bottom/>
      <diagonal/>
    </border>
  </borders>
  <cellStyleXfs count="37">
    <xf numFmtId="0" fontId="0" fillId="0" borderId="0"/>
    <xf numFmtId="0" fontId="32" fillId="3" borderId="72" applyNumberFormat="0" applyAlignment="0" applyProtection="0"/>
    <xf numFmtId="49" fontId="34" fillId="0" borderId="0" applyFill="0" applyBorder="0" applyProtection="0">
      <alignment horizontal="left" vertical="center"/>
    </xf>
    <xf numFmtId="0" fontId="35" fillId="4" borderId="73" applyNumberFormat="0" applyFont="0" applyFill="0" applyAlignment="0"/>
    <xf numFmtId="0" fontId="35" fillId="4" borderId="74" applyNumberFormat="0" applyFont="0" applyFill="0" applyAlignment="0"/>
    <xf numFmtId="0" fontId="37" fillId="5" borderId="0" applyNumberFormat="0" applyProtection="0">
      <alignment horizontal="left" wrapText="1" indent="4"/>
    </xf>
    <xf numFmtId="0" fontId="38" fillId="5" borderId="0" applyNumberFormat="0" applyProtection="0">
      <alignment horizontal="left" wrapText="1" indent="4"/>
    </xf>
    <xf numFmtId="0" fontId="36" fillId="6" borderId="0" applyNumberFormat="0" applyBorder="0" applyAlignment="0" applyProtection="0"/>
    <xf numFmtId="16" fontId="39" fillId="0" borderId="0" applyFont="0" applyFill="0" applyBorder="0" applyAlignment="0">
      <alignment horizontal="left"/>
    </xf>
    <xf numFmtId="0" fontId="40" fillId="7" borderId="0" applyNumberFormat="0" applyBorder="0" applyProtection="0">
      <alignment horizontal="center" vertical="center"/>
    </xf>
    <xf numFmtId="169" fontId="32" fillId="0" borderId="0" applyFont="0" applyFill="0" applyBorder="0" applyAlignment="0" applyProtection="0"/>
    <xf numFmtId="168" fontId="32" fillId="0" borderId="0" applyFont="0" applyFill="0" applyBorder="0" applyAlignment="0" applyProtection="0"/>
    <xf numFmtId="41" fontId="32" fillId="0" borderId="0" applyFont="0" applyFill="0" applyBorder="0" applyAlignment="0" applyProtection="0"/>
    <xf numFmtId="41" fontId="32" fillId="0" borderId="0" applyFont="0" applyFill="0" applyBorder="0" applyAlignment="0" applyProtection="0"/>
    <xf numFmtId="41" fontId="32" fillId="0" borderId="0" applyFont="0" applyFill="0" applyBorder="0" applyAlignment="0" applyProtection="0"/>
    <xf numFmtId="41" fontId="32" fillId="0" borderId="0" applyFont="0" applyFill="0" applyBorder="0" applyAlignment="0" applyProtection="0"/>
    <xf numFmtId="169" fontId="5" fillId="0" borderId="0" applyFont="0" applyFill="0" applyBorder="0" applyAlignment="0" applyProtection="0"/>
    <xf numFmtId="167" fontId="32" fillId="0" borderId="0" applyFont="0" applyFill="0" applyBorder="0" applyAlignment="0" applyProtection="0"/>
    <xf numFmtId="166" fontId="32" fillId="0" borderId="0" applyFont="0" applyFill="0" applyBorder="0" applyAlignment="0" applyProtection="0"/>
    <xf numFmtId="164" fontId="32" fillId="0" borderId="0" applyFont="0" applyFill="0" applyBorder="0" applyAlignment="0" applyProtection="0"/>
    <xf numFmtId="171" fontId="2" fillId="0" borderId="0" applyFont="0" applyFill="0" applyBorder="0" applyAlignment="0" applyProtection="0"/>
    <xf numFmtId="170" fontId="32" fillId="0" borderId="0" applyFont="0" applyFill="0" applyBorder="0" applyAlignment="0" applyProtection="0"/>
    <xf numFmtId="164" fontId="1" fillId="0" borderId="0" applyFont="0" applyFill="0" applyBorder="0" applyAlignment="0" applyProtection="0"/>
    <xf numFmtId="165" fontId="35" fillId="0" borderId="0" applyFont="0" applyFill="0" applyBorder="0" applyAlignment="0" applyProtection="0"/>
    <xf numFmtId="0" fontId="41" fillId="8" borderId="0" applyNumberFormat="0" applyBorder="0" applyAlignment="0" applyProtection="0"/>
    <xf numFmtId="0" fontId="2" fillId="0" borderId="0"/>
    <xf numFmtId="0" fontId="2" fillId="0" borderId="0"/>
    <xf numFmtId="0" fontId="35" fillId="0" borderId="0"/>
    <xf numFmtId="0" fontId="6" fillId="0" borderId="0"/>
    <xf numFmtId="0" fontId="5" fillId="0" borderId="0"/>
    <xf numFmtId="0" fontId="2" fillId="0" borderId="0"/>
    <xf numFmtId="9" fontId="3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8" fillId="0" borderId="0" applyFill="0" applyBorder="0">
      <alignment wrapText="1"/>
    </xf>
    <xf numFmtId="0" fontId="33" fillId="0" borderId="0"/>
    <xf numFmtId="0" fontId="42" fillId="5" borderId="0" applyNumberFormat="0" applyBorder="0" applyProtection="0">
      <alignment horizontal="left" indent="1"/>
    </xf>
  </cellStyleXfs>
  <cellXfs count="893">
    <xf numFmtId="0" fontId="0" fillId="0" borderId="0" xfId="0"/>
    <xf numFmtId="9" fontId="4" fillId="9" borderId="1" xfId="31" applyFont="1" applyFill="1" applyBorder="1" applyAlignment="1" applyProtection="1">
      <alignment horizontal="center" vertical="center" wrapText="1"/>
      <protection locked="0"/>
    </xf>
    <xf numFmtId="9" fontId="3" fillId="0" borderId="2" xfId="25" applyNumberFormat="1" applyFont="1" applyBorder="1" applyAlignment="1">
      <alignment horizontal="center" vertical="center" wrapText="1"/>
    </xf>
    <xf numFmtId="176" fontId="32" fillId="0" borderId="0" xfId="17"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31" applyFont="1" applyFill="1" applyBorder="1" applyAlignment="1" applyProtection="1">
      <alignment horizontal="center" vertical="center" wrapText="1"/>
      <protection locked="0"/>
    </xf>
    <xf numFmtId="9" fontId="3" fillId="10" borderId="2" xfId="25"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31" applyFont="1" applyFill="1" applyBorder="1" applyAlignment="1" applyProtection="1">
      <alignment horizontal="center" vertical="center" wrapText="1"/>
      <protection locked="0"/>
    </xf>
    <xf numFmtId="9" fontId="3" fillId="12" borderId="2" xfId="25"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31" applyFont="1" applyFill="1" applyBorder="1" applyAlignment="1" applyProtection="1">
      <alignment horizontal="center" vertical="center" wrapText="1"/>
      <protection locked="0"/>
    </xf>
    <xf numFmtId="9" fontId="3" fillId="10" borderId="9" xfId="25" applyNumberFormat="1" applyFont="1" applyFill="1" applyBorder="1" applyAlignment="1">
      <alignment horizontal="center" vertical="center" wrapText="1"/>
    </xf>
    <xf numFmtId="9" fontId="3" fillId="12" borderId="8" xfId="25"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43" fillId="0" borderId="0" xfId="31" applyFont="1" applyBorder="1" applyAlignment="1">
      <alignment horizontal="center" vertical="center"/>
    </xf>
    <xf numFmtId="0" fontId="0" fillId="0" borderId="0" xfId="0" applyAlignment="1">
      <alignment vertical="center"/>
    </xf>
    <xf numFmtId="0" fontId="12" fillId="19" borderId="75" xfId="25" applyFont="1" applyFill="1" applyBorder="1" applyAlignment="1">
      <alignment vertical="center" wrapText="1"/>
    </xf>
    <xf numFmtId="0" fontId="12" fillId="19" borderId="76" xfId="25" applyFont="1" applyFill="1" applyBorder="1" applyAlignment="1">
      <alignment vertical="center" wrapText="1"/>
    </xf>
    <xf numFmtId="0" fontId="12" fillId="19" borderId="77" xfId="25" applyFont="1" applyFill="1" applyBorder="1" applyAlignment="1">
      <alignment vertical="center" wrapText="1"/>
    </xf>
    <xf numFmtId="0" fontId="12" fillId="19" borderId="0" xfId="25" applyFont="1" applyFill="1" applyAlignment="1">
      <alignment vertical="center" wrapText="1"/>
    </xf>
    <xf numFmtId="0" fontId="14" fillId="19" borderId="0" xfId="25" applyFont="1" applyFill="1" applyAlignment="1">
      <alignment vertical="center" wrapText="1"/>
    </xf>
    <xf numFmtId="0" fontId="12" fillId="19" borderId="11" xfId="25" applyFont="1" applyFill="1" applyBorder="1" applyAlignment="1">
      <alignment vertical="center" wrapText="1"/>
    </xf>
    <xf numFmtId="0" fontId="11" fillId="19" borderId="11" xfId="25" applyFont="1" applyFill="1" applyBorder="1" applyAlignment="1">
      <alignment vertical="center" wrapText="1"/>
    </xf>
    <xf numFmtId="0" fontId="11" fillId="19" borderId="12" xfId="25" applyFont="1" applyFill="1" applyBorder="1" applyAlignment="1">
      <alignment vertical="center" wrapText="1"/>
    </xf>
    <xf numFmtId="0" fontId="12" fillId="19" borderId="13" xfId="25" applyFont="1" applyFill="1" applyBorder="1" applyAlignment="1">
      <alignment vertical="center" wrapText="1"/>
    </xf>
    <xf numFmtId="0" fontId="11" fillId="19" borderId="0" xfId="25" applyFont="1" applyFill="1" applyAlignment="1">
      <alignment vertical="center" wrapText="1"/>
    </xf>
    <xf numFmtId="0" fontId="11" fillId="19" borderId="14" xfId="25" applyFont="1" applyFill="1" applyBorder="1" applyAlignment="1">
      <alignment vertical="center" wrapText="1"/>
    </xf>
    <xf numFmtId="0" fontId="0" fillId="0" borderId="78" xfId="0" applyBorder="1" applyAlignment="1">
      <alignment vertical="center"/>
    </xf>
    <xf numFmtId="0" fontId="0" fillId="0" borderId="79" xfId="0" applyBorder="1" applyAlignment="1">
      <alignment vertical="center"/>
    </xf>
    <xf numFmtId="0" fontId="0" fillId="0" borderId="80" xfId="0" applyBorder="1" applyAlignment="1">
      <alignment vertical="center"/>
    </xf>
    <xf numFmtId="0" fontId="12" fillId="0" borderId="0" xfId="25" applyFont="1" applyAlignment="1">
      <alignment horizontal="center" vertical="center" wrapText="1"/>
    </xf>
    <xf numFmtId="0" fontId="12" fillId="0" borderId="14" xfId="25" applyFont="1" applyBorder="1" applyAlignment="1">
      <alignment horizontal="center" vertical="center" wrapText="1"/>
    </xf>
    <xf numFmtId="0" fontId="12" fillId="19" borderId="13" xfId="25" applyFont="1" applyFill="1" applyBorder="1" applyAlignment="1">
      <alignment horizontal="center" vertical="center" wrapText="1"/>
    </xf>
    <xf numFmtId="0" fontId="12" fillId="19" borderId="81" xfId="25" applyFont="1" applyFill="1" applyBorder="1" applyAlignment="1">
      <alignment horizontal="center" vertical="center" wrapText="1"/>
    </xf>
    <xf numFmtId="0" fontId="15" fillId="19" borderId="0" xfId="25" applyFont="1" applyFill="1" applyAlignment="1">
      <alignment horizontal="center" vertical="center" wrapText="1"/>
    </xf>
    <xf numFmtId="0" fontId="12" fillId="19" borderId="0" xfId="25" applyFont="1" applyFill="1" applyAlignment="1">
      <alignment horizontal="center" vertical="center" wrapText="1"/>
    </xf>
    <xf numFmtId="0" fontId="15" fillId="0" borderId="0" xfId="25" applyFont="1" applyAlignment="1">
      <alignment horizontal="center" vertical="center" wrapText="1"/>
    </xf>
    <xf numFmtId="0" fontId="0" fillId="0" borderId="0" xfId="0" applyAlignment="1">
      <alignment horizontal="center" vertical="center" wrapText="1"/>
    </xf>
    <xf numFmtId="0" fontId="11" fillId="19" borderId="15" xfId="25" applyFont="1" applyFill="1" applyBorder="1" applyAlignment="1">
      <alignment vertical="center" wrapText="1"/>
    </xf>
    <xf numFmtId="0" fontId="11" fillId="19" borderId="16" xfId="25" applyFont="1" applyFill="1" applyBorder="1" applyAlignment="1">
      <alignment vertical="center" wrapText="1"/>
    </xf>
    <xf numFmtId="9" fontId="12" fillId="0" borderId="17" xfId="31" applyFont="1" applyFill="1" applyBorder="1" applyAlignment="1" applyProtection="1">
      <alignment horizontal="center" vertical="center" wrapText="1"/>
    </xf>
    <xf numFmtId="0" fontId="16" fillId="2" borderId="0" xfId="25" applyFont="1" applyFill="1" applyAlignment="1">
      <alignment vertical="center" wrapText="1"/>
    </xf>
    <xf numFmtId="0" fontId="44" fillId="19" borderId="13" xfId="0" applyFont="1" applyFill="1" applyBorder="1" applyAlignment="1">
      <alignment vertical="center"/>
    </xf>
    <xf numFmtId="0" fontId="44" fillId="19" borderId="0" xfId="0" applyFont="1" applyFill="1" applyAlignment="1">
      <alignment vertical="center"/>
    </xf>
    <xf numFmtId="0" fontId="44" fillId="19" borderId="14" xfId="0" applyFont="1" applyFill="1" applyBorder="1" applyAlignment="1">
      <alignment vertical="center"/>
    </xf>
    <xf numFmtId="0" fontId="12" fillId="19" borderId="0" xfId="25" applyFont="1" applyFill="1" applyAlignment="1">
      <alignment horizontal="left" vertical="center" wrapText="1"/>
    </xf>
    <xf numFmtId="0" fontId="0" fillId="19" borderId="0" xfId="0" applyFill="1" applyAlignment="1">
      <alignment vertical="center"/>
    </xf>
    <xf numFmtId="0" fontId="11" fillId="19" borderId="13" xfId="25"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5" applyFont="1" applyBorder="1" applyAlignment="1">
      <alignment horizontal="left" vertical="center" wrapText="1"/>
    </xf>
    <xf numFmtId="168" fontId="12" fillId="0" borderId="10" xfId="11" applyFont="1" applyFill="1" applyBorder="1" applyAlignment="1" applyProtection="1">
      <alignment horizontal="center" vertical="center" wrapText="1"/>
    </xf>
    <xf numFmtId="166" fontId="32" fillId="0" borderId="0" xfId="18" applyFont="1" applyAlignment="1">
      <alignment vertical="center"/>
    </xf>
    <xf numFmtId="0" fontId="12" fillId="20" borderId="1" xfId="25" applyFont="1" applyFill="1" applyBorder="1" applyAlignment="1">
      <alignment horizontal="center" vertical="center" wrapText="1"/>
    </xf>
    <xf numFmtId="0" fontId="12" fillId="0" borderId="10" xfId="25" applyFont="1" applyBorder="1" applyAlignment="1">
      <alignment horizontal="center" vertical="center" wrapText="1"/>
    </xf>
    <xf numFmtId="0" fontId="12" fillId="0" borderId="4" xfId="25" applyFont="1" applyBorder="1" applyAlignment="1">
      <alignment horizontal="left" vertical="center" wrapText="1"/>
    </xf>
    <xf numFmtId="0" fontId="12" fillId="9" borderId="19" xfId="25" applyFont="1" applyFill="1" applyBorder="1" applyAlignment="1">
      <alignment horizontal="left" vertical="center" wrapText="1"/>
    </xf>
    <xf numFmtId="9" fontId="45" fillId="9" borderId="19" xfId="33" applyFont="1" applyFill="1" applyBorder="1" applyAlignment="1" applyProtection="1">
      <alignment vertical="center" wrapText="1"/>
    </xf>
    <xf numFmtId="174" fontId="12" fillId="9" borderId="19" xfId="31" applyNumberFormat="1" applyFont="1" applyFill="1" applyBorder="1" applyAlignment="1" applyProtection="1">
      <alignment vertical="center" wrapText="1"/>
    </xf>
    <xf numFmtId="166" fontId="43" fillId="0" borderId="0" xfId="18" applyFont="1" applyAlignment="1">
      <alignment vertical="center"/>
    </xf>
    <xf numFmtId="9" fontId="11" fillId="0" borderId="4" xfId="32" applyFont="1" applyFill="1" applyBorder="1" applyAlignment="1" applyProtection="1">
      <alignment horizontal="center" vertical="center" wrapText="1"/>
      <protection locked="0"/>
    </xf>
    <xf numFmtId="9" fontId="12" fillId="0" borderId="20" xfId="25" applyNumberFormat="1" applyFont="1" applyBorder="1" applyAlignment="1">
      <alignment horizontal="center" vertical="center" wrapText="1"/>
    </xf>
    <xf numFmtId="9" fontId="12" fillId="0" borderId="0" xfId="25" applyNumberFormat="1" applyFont="1" applyAlignment="1">
      <alignment vertical="center" wrapText="1"/>
    </xf>
    <xf numFmtId="0" fontId="43" fillId="0" borderId="0" xfId="0" applyFont="1" applyAlignment="1">
      <alignment vertical="center"/>
    </xf>
    <xf numFmtId="0" fontId="12" fillId="9" borderId="1" xfId="25" applyFont="1" applyFill="1" applyBorder="1" applyAlignment="1">
      <alignment horizontal="left" vertical="center" wrapText="1"/>
    </xf>
    <xf numFmtId="9" fontId="11" fillId="9" borderId="1" xfId="31" applyFont="1" applyFill="1" applyBorder="1" applyAlignment="1" applyProtection="1">
      <alignment horizontal="center" vertical="center" wrapText="1"/>
      <protection locked="0"/>
    </xf>
    <xf numFmtId="9" fontId="12" fillId="0" borderId="2" xfId="25" applyNumberFormat="1" applyFont="1" applyBorder="1" applyAlignment="1">
      <alignment horizontal="center" vertical="center" wrapText="1"/>
    </xf>
    <xf numFmtId="0" fontId="12" fillId="0" borderId="1" xfId="25" applyFont="1" applyBorder="1" applyAlignment="1">
      <alignment horizontal="left" vertical="center" wrapText="1"/>
    </xf>
    <xf numFmtId="9" fontId="11" fillId="0" borderId="1" xfId="32" applyFont="1" applyFill="1" applyBorder="1" applyAlignment="1" applyProtection="1">
      <alignment horizontal="center" vertical="center" wrapText="1"/>
      <protection locked="0"/>
    </xf>
    <xf numFmtId="9" fontId="11" fillId="9" borderId="2" xfId="31" applyFont="1" applyFill="1" applyBorder="1" applyAlignment="1" applyProtection="1">
      <alignment horizontal="center" vertical="center" wrapText="1"/>
      <protection locked="0"/>
    </xf>
    <xf numFmtId="9" fontId="11" fillId="9" borderId="19" xfId="31" applyFont="1" applyFill="1" applyBorder="1" applyAlignment="1" applyProtection="1">
      <alignment horizontal="center" vertical="center" wrapText="1"/>
      <protection locked="0"/>
    </xf>
    <xf numFmtId="9" fontId="11" fillId="9" borderId="21" xfId="31" applyFont="1" applyFill="1" applyBorder="1" applyAlignment="1" applyProtection="1">
      <alignment horizontal="center" vertical="center" wrapText="1"/>
      <protection locked="0"/>
    </xf>
    <xf numFmtId="9" fontId="12" fillId="0" borderId="21" xfId="25" applyNumberFormat="1" applyFont="1" applyBorder="1" applyAlignment="1">
      <alignment horizontal="center" vertical="center" wrapText="1"/>
    </xf>
    <xf numFmtId="0" fontId="44" fillId="0" borderId="0" xfId="0" applyFont="1" applyAlignment="1">
      <alignment vertical="center"/>
    </xf>
    <xf numFmtId="0" fontId="44" fillId="0" borderId="1" xfId="0" applyFont="1" applyBorder="1" applyAlignment="1">
      <alignment horizontal="center" vertical="center" wrapText="1"/>
    </xf>
    <xf numFmtId="0" fontId="44" fillId="0" borderId="1" xfId="0" applyFont="1" applyBorder="1" applyAlignment="1">
      <alignment vertical="center"/>
    </xf>
    <xf numFmtId="0" fontId="44" fillId="0" borderId="1" xfId="0" applyFont="1" applyBorder="1" applyAlignment="1">
      <alignment horizontal="center" vertical="center"/>
    </xf>
    <xf numFmtId="0" fontId="46" fillId="9" borderId="1" xfId="0" applyFont="1" applyFill="1" applyBorder="1" applyAlignment="1">
      <alignment horizontal="center" vertical="center"/>
    </xf>
    <xf numFmtId="0" fontId="44" fillId="0" borderId="0" xfId="0" applyFont="1" applyAlignment="1">
      <alignment horizontal="center" vertical="center"/>
    </xf>
    <xf numFmtId="0" fontId="47" fillId="0" borderId="1" xfId="0" applyFont="1" applyBorder="1" applyAlignment="1">
      <alignment vertical="center"/>
    </xf>
    <xf numFmtId="0" fontId="46" fillId="9" borderId="1" xfId="0" applyFont="1" applyFill="1" applyBorder="1" applyAlignment="1">
      <alignment horizontal="left" vertical="center"/>
    </xf>
    <xf numFmtId="0" fontId="44" fillId="0" borderId="1" xfId="0" applyFont="1" applyBorder="1" applyAlignment="1">
      <alignment horizontal="left" vertical="center"/>
    </xf>
    <xf numFmtId="0" fontId="44" fillId="0" borderId="2" xfId="0" applyFont="1" applyBorder="1" applyAlignment="1">
      <alignment horizontal="left" vertical="center"/>
    </xf>
    <xf numFmtId="41" fontId="44" fillId="0" borderId="1" xfId="12" applyFont="1" applyFill="1" applyBorder="1" applyAlignment="1">
      <alignment vertical="center"/>
    </xf>
    <xf numFmtId="0" fontId="47" fillId="0" borderId="0" xfId="0" applyFont="1" applyAlignment="1">
      <alignment vertical="center"/>
    </xf>
    <xf numFmtId="0" fontId="48" fillId="0" borderId="0" xfId="0" applyFont="1" applyAlignment="1">
      <alignment horizontal="left" vertical="center"/>
    </xf>
    <xf numFmtId="0" fontId="48" fillId="9" borderId="1" xfId="0" applyFont="1" applyFill="1" applyBorder="1" applyAlignment="1">
      <alignment vertical="center"/>
    </xf>
    <xf numFmtId="41" fontId="44" fillId="0" borderId="2" xfId="12" applyFont="1" applyFill="1" applyBorder="1" applyAlignment="1">
      <alignment vertical="center"/>
    </xf>
    <xf numFmtId="49" fontId="44" fillId="0" borderId="2" xfId="12" applyNumberFormat="1" applyFont="1" applyFill="1" applyBorder="1" applyAlignment="1">
      <alignment vertical="center"/>
    </xf>
    <xf numFmtId="49" fontId="44" fillId="0" borderId="1" xfId="12" applyNumberFormat="1" applyFont="1" applyFill="1" applyBorder="1" applyAlignment="1">
      <alignment vertical="center"/>
    </xf>
    <xf numFmtId="0" fontId="44" fillId="0" borderId="0" xfId="0" applyFont="1" applyAlignment="1">
      <alignment horizontal="left" vertical="center"/>
    </xf>
    <xf numFmtId="0" fontId="48" fillId="21" borderId="1" xfId="0" applyFont="1" applyFill="1" applyBorder="1" applyAlignment="1">
      <alignment horizontal="center" vertical="center"/>
    </xf>
    <xf numFmtId="0" fontId="44" fillId="0" borderId="4" xfId="0" applyFont="1" applyBorder="1" applyAlignment="1">
      <alignment horizontal="left" vertical="center" wrapText="1"/>
    </xf>
    <xf numFmtId="0" fontId="44" fillId="0" borderId="1" xfId="0" applyFont="1" applyBorder="1" applyAlignment="1">
      <alignment horizontal="left" vertical="center" wrapText="1"/>
    </xf>
    <xf numFmtId="0" fontId="44" fillId="0" borderId="1" xfId="0" applyFont="1" applyBorder="1" applyAlignment="1">
      <alignment vertical="center" wrapText="1"/>
    </xf>
    <xf numFmtId="0" fontId="48" fillId="0" borderId="1" xfId="0" applyFont="1" applyBorder="1" applyAlignment="1">
      <alignment vertical="center" wrapText="1"/>
    </xf>
    <xf numFmtId="0" fontId="11" fillId="19" borderId="1" xfId="0" applyFont="1" applyFill="1" applyBorder="1" applyAlignment="1">
      <alignment horizontal="left" vertical="center" wrapText="1"/>
    </xf>
    <xf numFmtId="0" fontId="48" fillId="0" borderId="10" xfId="0" applyFont="1" applyBorder="1" applyAlignment="1">
      <alignment horizontal="left" vertical="center" wrapText="1"/>
    </xf>
    <xf numFmtId="0" fontId="44" fillId="0" borderId="10" xfId="0" applyFont="1" applyBorder="1" applyAlignment="1">
      <alignment horizontal="left" vertical="center"/>
    </xf>
    <xf numFmtId="0" fontId="12" fillId="19" borderId="2" xfId="25" applyFont="1" applyFill="1" applyBorder="1" applyAlignment="1">
      <alignment horizontal="center" vertical="center" wrapText="1"/>
    </xf>
    <xf numFmtId="0" fontId="12" fillId="19" borderId="5" xfId="25" applyFont="1" applyFill="1" applyBorder="1" applyAlignment="1">
      <alignment horizontal="center" vertical="center" wrapText="1"/>
    </xf>
    <xf numFmtId="0" fontId="12" fillId="0" borderId="2" xfId="25" applyFont="1" applyBorder="1" applyAlignment="1">
      <alignment horizontal="center" vertical="center" wrapText="1"/>
    </xf>
    <xf numFmtId="0" fontId="12" fillId="0" borderId="22" xfId="25" applyFont="1" applyBorder="1" applyAlignment="1">
      <alignment horizontal="center" vertical="center" wrapText="1"/>
    </xf>
    <xf numFmtId="9" fontId="12" fillId="0" borderId="10" xfId="31" applyFont="1" applyFill="1" applyBorder="1" applyAlignment="1" applyProtection="1">
      <alignment horizontal="center" vertical="center" wrapText="1"/>
    </xf>
    <xf numFmtId="9" fontId="12" fillId="9" borderId="19" xfId="31" applyFont="1" applyFill="1" applyBorder="1" applyAlignment="1" applyProtection="1">
      <alignment horizontal="center" vertical="center" wrapText="1"/>
    </xf>
    <xf numFmtId="0" fontId="12" fillId="19" borderId="23" xfId="25" applyFont="1" applyFill="1" applyBorder="1" applyAlignment="1">
      <alignment horizontal="center" vertical="center" wrapText="1"/>
    </xf>
    <xf numFmtId="0" fontId="12" fillId="19" borderId="24" xfId="25" applyFont="1" applyFill="1" applyBorder="1" applyAlignment="1">
      <alignment horizontal="center" vertical="center" wrapText="1"/>
    </xf>
    <xf numFmtId="0" fontId="12" fillId="19" borderId="25" xfId="25" applyFont="1" applyFill="1" applyBorder="1" applyAlignment="1">
      <alignment horizontal="center" vertical="center" wrapText="1"/>
    </xf>
    <xf numFmtId="0" fontId="49" fillId="0" borderId="0" xfId="0" applyFont="1" applyAlignment="1">
      <alignment horizontal="center" vertical="center"/>
    </xf>
    <xf numFmtId="0" fontId="43" fillId="0" borderId="0" xfId="0" applyFont="1" applyAlignment="1">
      <alignment horizontal="center" vertical="center" wrapText="1"/>
    </xf>
    <xf numFmtId="0" fontId="0" fillId="0" borderId="0" xfId="0" applyAlignment="1">
      <alignment horizontal="center" vertical="center"/>
    </xf>
    <xf numFmtId="0" fontId="12" fillId="0" borderId="13" xfId="25" applyFont="1" applyBorder="1" applyAlignment="1">
      <alignment vertical="center" wrapText="1"/>
    </xf>
    <xf numFmtId="0" fontId="12" fillId="0" borderId="0" xfId="25" applyFont="1" applyAlignment="1">
      <alignment vertical="center" wrapText="1"/>
    </xf>
    <xf numFmtId="0" fontId="14" fillId="0" borderId="0" xfId="25" applyFont="1" applyAlignment="1">
      <alignment vertical="center" wrapText="1"/>
    </xf>
    <xf numFmtId="0" fontId="11" fillId="0" borderId="0" xfId="25" applyFont="1" applyAlignment="1">
      <alignment vertical="center" wrapText="1"/>
    </xf>
    <xf numFmtId="0" fontId="11" fillId="0" borderId="14" xfId="25" applyFont="1" applyBorder="1" applyAlignment="1">
      <alignment vertical="center" wrapText="1"/>
    </xf>
    <xf numFmtId="173" fontId="32" fillId="0" borderId="1" xfId="10" applyNumberFormat="1" applyFont="1" applyBorder="1" applyAlignment="1">
      <alignment vertical="center"/>
    </xf>
    <xf numFmtId="173" fontId="32" fillId="0" borderId="8" xfId="10" applyNumberFormat="1" applyFont="1" applyBorder="1" applyAlignment="1">
      <alignment vertical="center"/>
    </xf>
    <xf numFmtId="173" fontId="32" fillId="0" borderId="26" xfId="10" applyNumberFormat="1" applyFont="1" applyBorder="1" applyAlignment="1">
      <alignment vertical="center"/>
    </xf>
    <xf numFmtId="173" fontId="32" fillId="0" borderId="19" xfId="10" applyNumberFormat="1" applyFont="1" applyBorder="1" applyAlignment="1">
      <alignment vertical="center"/>
    </xf>
    <xf numFmtId="173" fontId="32" fillId="0" borderId="4" xfId="10" applyNumberFormat="1" applyFont="1" applyBorder="1" applyAlignment="1">
      <alignment vertical="center"/>
    </xf>
    <xf numFmtId="173" fontId="32" fillId="0" borderId="2" xfId="10" applyNumberFormat="1" applyFont="1" applyBorder="1" applyAlignment="1">
      <alignment vertical="center"/>
    </xf>
    <xf numFmtId="173" fontId="32" fillId="0" borderId="27" xfId="10" applyNumberFormat="1" applyFont="1" applyBorder="1" applyAlignment="1">
      <alignment vertical="center"/>
    </xf>
    <xf numFmtId="173" fontId="32" fillId="0" borderId="20" xfId="10" applyNumberFormat="1" applyFont="1" applyBorder="1" applyAlignment="1">
      <alignment vertical="center"/>
    </xf>
    <xf numFmtId="9" fontId="32" fillId="0" borderId="21" xfId="31" applyFont="1" applyBorder="1" applyAlignment="1">
      <alignment vertical="center"/>
    </xf>
    <xf numFmtId="9" fontId="32" fillId="0" borderId="9" xfId="31" applyFont="1" applyBorder="1" applyAlignment="1">
      <alignment vertical="center"/>
    </xf>
    <xf numFmtId="9" fontId="32" fillId="0" borderId="28" xfId="31" applyFont="1" applyBorder="1" applyAlignment="1">
      <alignment vertical="center"/>
    </xf>
    <xf numFmtId="9" fontId="32" fillId="0" borderId="2" xfId="31" applyFont="1" applyBorder="1" applyAlignment="1">
      <alignment vertical="center"/>
    </xf>
    <xf numFmtId="0" fontId="48" fillId="21" borderId="1" xfId="0" applyFont="1" applyFill="1" applyBorder="1" applyAlignment="1">
      <alignment horizontal="left" vertical="center"/>
    </xf>
    <xf numFmtId="0" fontId="48" fillId="0" borderId="1" xfId="0" applyFont="1" applyBorder="1" applyAlignment="1">
      <alignment horizontal="left" vertical="center"/>
    </xf>
    <xf numFmtId="0" fontId="48" fillId="0" borderId="1" xfId="0" applyFont="1" applyBorder="1" applyAlignment="1">
      <alignment horizontal="left" vertical="center" wrapText="1"/>
    </xf>
    <xf numFmtId="0" fontId="13" fillId="0" borderId="10" xfId="0" applyFont="1" applyBorder="1" applyAlignment="1">
      <alignment horizontal="left" vertical="center" wrapText="1"/>
    </xf>
    <xf numFmtId="0" fontId="12" fillId="20" borderId="29" xfId="25" applyFont="1" applyFill="1" applyBorder="1" applyAlignment="1">
      <alignment horizontal="center" vertical="center" wrapText="1"/>
    </xf>
    <xf numFmtId="0" fontId="12" fillId="20" borderId="30" xfId="25" applyFont="1" applyFill="1" applyBorder="1" applyAlignment="1">
      <alignment horizontal="center" vertical="center" wrapText="1"/>
    </xf>
    <xf numFmtId="0" fontId="12" fillId="20" borderId="31" xfId="25" applyFont="1" applyFill="1" applyBorder="1" applyAlignment="1">
      <alignment horizontal="center" vertical="center" wrapText="1"/>
    </xf>
    <xf numFmtId="0" fontId="12" fillId="19" borderId="82" xfId="25" applyFont="1" applyFill="1" applyBorder="1" applyAlignment="1">
      <alignment vertical="center" wrapText="1"/>
    </xf>
    <xf numFmtId="0" fontId="12" fillId="19" borderId="83" xfId="25" applyFont="1" applyFill="1" applyBorder="1" applyAlignment="1">
      <alignment vertical="center" wrapText="1"/>
    </xf>
    <xf numFmtId="173" fontId="32" fillId="0" borderId="32" xfId="10" applyNumberFormat="1" applyFont="1" applyBorder="1" applyAlignment="1">
      <alignment vertical="center"/>
    </xf>
    <xf numFmtId="173" fontId="32" fillId="0" borderId="33" xfId="10" applyNumberFormat="1" applyFont="1" applyBorder="1" applyAlignment="1">
      <alignment vertical="center"/>
    </xf>
    <xf numFmtId="173" fontId="32" fillId="19" borderId="34" xfId="10" applyNumberFormat="1" applyFont="1" applyFill="1" applyBorder="1" applyAlignment="1">
      <alignment vertical="center"/>
    </xf>
    <xf numFmtId="173" fontId="32" fillId="19" borderId="35" xfId="10" applyNumberFormat="1" applyFont="1" applyFill="1" applyBorder="1" applyAlignment="1">
      <alignment vertical="center"/>
    </xf>
    <xf numFmtId="173" fontId="32" fillId="19" borderId="8" xfId="10" applyNumberFormat="1" applyFont="1" applyFill="1" applyBorder="1" applyAlignment="1">
      <alignment vertical="center"/>
    </xf>
    <xf numFmtId="173" fontId="32" fillId="19" borderId="1" xfId="10" applyNumberFormat="1" applyFont="1" applyFill="1" applyBorder="1" applyAlignment="1">
      <alignment vertical="center"/>
    </xf>
    <xf numFmtId="173" fontId="32" fillId="19" borderId="27" xfId="10" applyNumberFormat="1" applyFont="1" applyFill="1" applyBorder="1" applyAlignment="1">
      <alignment vertical="center"/>
    </xf>
    <xf numFmtId="173" fontId="32" fillId="19" borderId="4" xfId="10" applyNumberFormat="1" applyFont="1" applyFill="1" applyBorder="1" applyAlignment="1">
      <alignment vertical="center"/>
    </xf>
    <xf numFmtId="5" fontId="44" fillId="19" borderId="4" xfId="10" applyNumberFormat="1" applyFont="1" applyFill="1" applyBorder="1" applyAlignment="1">
      <alignment horizontal="right" vertical="center"/>
    </xf>
    <xf numFmtId="5" fontId="44" fillId="19" borderId="1" xfId="10" applyNumberFormat="1" applyFont="1" applyFill="1" applyBorder="1" applyAlignment="1">
      <alignment horizontal="right" vertical="center"/>
    </xf>
    <xf numFmtId="173" fontId="32" fillId="19" borderId="26" xfId="10" applyNumberFormat="1" applyFont="1" applyFill="1" applyBorder="1" applyAlignment="1">
      <alignment vertical="center"/>
    </xf>
    <xf numFmtId="173" fontId="32" fillId="19" borderId="19" xfId="10" applyNumberFormat="1" applyFont="1" applyFill="1" applyBorder="1" applyAlignment="1">
      <alignment vertical="center"/>
    </xf>
    <xf numFmtId="9" fontId="12" fillId="0" borderId="10" xfId="25" applyNumberFormat="1" applyFont="1" applyBorder="1" applyAlignment="1">
      <alignment horizontal="center" vertical="center" wrapText="1"/>
    </xf>
    <xf numFmtId="0" fontId="48" fillId="0" borderId="1" xfId="0" applyFont="1" applyBorder="1" applyAlignment="1">
      <alignment horizontal="center" vertical="center" wrapText="1"/>
    </xf>
    <xf numFmtId="41" fontId="50" fillId="0" borderId="1" xfId="12" applyFont="1" applyFill="1" applyBorder="1" applyAlignment="1">
      <alignment horizontal="justify" vertical="center" wrapText="1"/>
    </xf>
    <xf numFmtId="0" fontId="12" fillId="0" borderId="10" xfId="0" applyFont="1" applyBorder="1" applyAlignment="1">
      <alignment horizontal="center" vertical="center" wrapText="1"/>
    </xf>
    <xf numFmtId="9" fontId="48" fillId="0" borderId="1" xfId="31" applyFont="1" applyFill="1" applyBorder="1" applyAlignment="1">
      <alignment horizontal="center" vertical="center" wrapText="1"/>
    </xf>
    <xf numFmtId="0" fontId="51" fillId="0" borderId="8" xfId="0" applyFont="1" applyBorder="1" applyAlignment="1">
      <alignment horizontal="center" vertical="center" wrapText="1"/>
    </xf>
    <xf numFmtId="0" fontId="50" fillId="0" borderId="1" xfId="0" applyFont="1" applyBorder="1" applyAlignment="1">
      <alignment horizontal="justify" vertical="center" wrapText="1"/>
    </xf>
    <xf numFmtId="0" fontId="50" fillId="0" borderId="1" xfId="0" applyFont="1" applyBorder="1" applyAlignment="1">
      <alignment horizontal="center" vertical="center" wrapText="1"/>
    </xf>
    <xf numFmtId="4" fontId="50" fillId="0" borderId="1" xfId="0" applyNumberFormat="1" applyFont="1" applyBorder="1" applyAlignment="1">
      <alignment horizontal="center" vertical="center" wrapText="1"/>
    </xf>
    <xf numFmtId="0" fontId="50" fillId="0" borderId="8" xfId="0" applyFont="1" applyBorder="1" applyAlignment="1">
      <alignment horizontal="center" vertical="center"/>
    </xf>
    <xf numFmtId="0" fontId="50" fillId="0" borderId="1" xfId="0" applyFont="1" applyBorder="1" applyAlignment="1">
      <alignment horizontal="center" vertical="center"/>
    </xf>
    <xf numFmtId="0" fontId="51" fillId="0" borderId="1" xfId="0" applyFont="1" applyBorder="1" applyAlignment="1">
      <alignment horizontal="center" vertical="center"/>
    </xf>
    <xf numFmtId="0" fontId="50" fillId="0" borderId="1" xfId="0" applyFont="1" applyBorder="1" applyAlignment="1">
      <alignment vertical="center"/>
    </xf>
    <xf numFmtId="4" fontId="50" fillId="0" borderId="1" xfId="0" applyNumberFormat="1" applyFont="1" applyBorder="1" applyAlignment="1">
      <alignment horizontal="center" vertical="center"/>
    </xf>
    <xf numFmtId="9" fontId="44" fillId="0" borderId="0" xfId="31" applyFont="1" applyFill="1" applyAlignment="1">
      <alignment vertical="center"/>
    </xf>
    <xf numFmtId="0" fontId="50" fillId="0" borderId="1" xfId="0" applyFont="1" applyBorder="1" applyAlignment="1">
      <alignment horizontal="left" vertical="center" wrapText="1"/>
    </xf>
    <xf numFmtId="9" fontId="12" fillId="0" borderId="1" xfId="25" applyNumberFormat="1" applyFont="1" applyBorder="1" applyAlignment="1">
      <alignment horizontal="center" vertical="center" wrapText="1"/>
    </xf>
    <xf numFmtId="179" fontId="22" fillId="22" borderId="0" xfId="0" applyNumberFormat="1" applyFont="1" applyFill="1" applyAlignment="1">
      <alignment horizontal="center" vertical="center"/>
    </xf>
    <xf numFmtId="180" fontId="22" fillId="22" borderId="0" xfId="0" applyNumberFormat="1" applyFont="1" applyFill="1" applyAlignment="1">
      <alignment horizontal="center" vertical="center"/>
    </xf>
    <xf numFmtId="0" fontId="23" fillId="22" borderId="0" xfId="0" applyFont="1" applyFill="1" applyAlignment="1">
      <alignment vertical="center"/>
    </xf>
    <xf numFmtId="181" fontId="23" fillId="23" borderId="0" xfId="0" applyNumberFormat="1" applyFont="1" applyFill="1" applyAlignment="1">
      <alignment horizontal="center" vertical="center"/>
    </xf>
    <xf numFmtId="0" fontId="4" fillId="0" borderId="0" xfId="0" applyFont="1" applyAlignment="1">
      <alignment vertical="center"/>
    </xf>
    <xf numFmtId="0" fontId="22" fillId="0" borderId="0" xfId="0" applyFont="1" applyAlignment="1">
      <alignment vertical="center"/>
    </xf>
    <xf numFmtId="179" fontId="22" fillId="0" borderId="0" xfId="0" applyNumberFormat="1" applyFont="1" applyAlignment="1">
      <alignment horizontal="center" vertical="center"/>
    </xf>
    <xf numFmtId="0" fontId="22" fillId="0" borderId="0" xfId="0" applyFont="1" applyAlignment="1">
      <alignment horizontal="center" vertical="center"/>
    </xf>
    <xf numFmtId="0" fontId="22" fillId="23" borderId="0" xfId="0" applyFont="1" applyFill="1" applyAlignment="1">
      <alignment horizontal="center" vertical="center"/>
    </xf>
    <xf numFmtId="179" fontId="23" fillId="24" borderId="0" xfId="0" applyNumberFormat="1" applyFont="1" applyFill="1" applyAlignment="1">
      <alignment horizontal="center" vertical="center"/>
    </xf>
    <xf numFmtId="179" fontId="22" fillId="24" borderId="0" xfId="0" applyNumberFormat="1" applyFont="1" applyFill="1" applyAlignment="1">
      <alignment horizontal="center" vertical="center"/>
    </xf>
    <xf numFmtId="0" fontId="23" fillId="24" borderId="84" xfId="0" applyFont="1" applyFill="1" applyBorder="1" applyAlignment="1">
      <alignment horizontal="center" vertical="center" wrapText="1"/>
    </xf>
    <xf numFmtId="179" fontId="23" fillId="25" borderId="0" xfId="0" applyNumberFormat="1" applyFont="1" applyFill="1" applyAlignment="1">
      <alignment horizontal="center" vertical="center"/>
    </xf>
    <xf numFmtId="9" fontId="22" fillId="0" borderId="0" xfId="0" applyNumberFormat="1" applyFont="1" applyAlignment="1">
      <alignment horizontal="center" vertical="center"/>
    </xf>
    <xf numFmtId="0" fontId="23" fillId="0" borderId="84" xfId="0" applyFont="1" applyBorder="1" applyAlignment="1">
      <alignment horizontal="center" vertical="center" wrapText="1"/>
    </xf>
    <xf numFmtId="0" fontId="23" fillId="26" borderId="84" xfId="0" applyFont="1" applyFill="1" applyBorder="1" applyAlignment="1">
      <alignment horizontal="center" vertical="center" wrapText="1"/>
    </xf>
    <xf numFmtId="0" fontId="11" fillId="0" borderId="18" xfId="25" applyFont="1" applyBorder="1" applyAlignment="1">
      <alignment horizontal="justify" vertical="center" wrapText="1"/>
    </xf>
    <xf numFmtId="173" fontId="32" fillId="0" borderId="1" xfId="10" applyNumberFormat="1" applyFont="1" applyFill="1" applyBorder="1" applyAlignment="1">
      <alignment vertical="center"/>
    </xf>
    <xf numFmtId="0" fontId="50" fillId="0" borderId="0" xfId="0" applyFont="1" applyAlignment="1">
      <alignment vertical="center"/>
    </xf>
    <xf numFmtId="4" fontId="50" fillId="0" borderId="1" xfId="12" applyNumberFormat="1" applyFont="1" applyFill="1" applyBorder="1" applyAlignment="1">
      <alignment horizontal="center" vertical="center" wrapText="1"/>
    </xf>
    <xf numFmtId="41" fontId="50" fillId="0" borderId="1" xfId="12" applyFont="1" applyFill="1" applyBorder="1" applyAlignment="1">
      <alignment vertical="center" wrapText="1"/>
    </xf>
    <xf numFmtId="173" fontId="12" fillId="19" borderId="0" xfId="25" applyNumberFormat="1" applyFont="1" applyFill="1" applyAlignment="1">
      <alignment horizontal="left" vertical="center" wrapText="1"/>
    </xf>
    <xf numFmtId="0" fontId="12" fillId="20" borderId="26" xfId="25" applyFont="1" applyFill="1" applyBorder="1" applyAlignment="1">
      <alignment horizontal="center" vertical="center" wrapText="1"/>
    </xf>
    <xf numFmtId="4" fontId="12" fillId="9" borderId="19" xfId="31" applyNumberFormat="1" applyFont="1" applyFill="1" applyBorder="1" applyAlignment="1" applyProtection="1">
      <alignment horizontal="center" vertical="center" wrapText="1"/>
    </xf>
    <xf numFmtId="0" fontId="23" fillId="24" borderId="85" xfId="0" applyFont="1" applyFill="1" applyBorder="1" applyAlignment="1">
      <alignment horizontal="center" vertical="center" wrapText="1"/>
    </xf>
    <xf numFmtId="9" fontId="24" fillId="0" borderId="0" xfId="0" applyNumberFormat="1" applyFont="1" applyAlignment="1">
      <alignment horizontal="justify" vertical="center" wrapText="1"/>
    </xf>
    <xf numFmtId="174" fontId="22" fillId="0" borderId="0" xfId="0" applyNumberFormat="1" applyFont="1" applyAlignment="1">
      <alignment horizontal="center" vertical="center" wrapText="1"/>
    </xf>
    <xf numFmtId="0" fontId="23" fillId="0" borderId="0" xfId="0" applyFont="1" applyAlignment="1">
      <alignment horizontal="center" vertical="center" wrapText="1"/>
    </xf>
    <xf numFmtId="179" fontId="23" fillId="0" borderId="0" xfId="0" applyNumberFormat="1" applyFont="1" applyAlignment="1">
      <alignment horizontal="center" vertical="center"/>
    </xf>
    <xf numFmtId="4" fontId="12" fillId="0" borderId="10" xfId="31" applyNumberFormat="1" applyFont="1" applyFill="1" applyBorder="1" applyAlignment="1" applyProtection="1">
      <alignment horizontal="center" vertical="center" wrapText="1"/>
    </xf>
    <xf numFmtId="0" fontId="12" fillId="0" borderId="18" xfId="25" applyFont="1" applyBorder="1" applyAlignment="1">
      <alignment horizontal="justify" vertical="center" wrapText="1"/>
    </xf>
    <xf numFmtId="0" fontId="24" fillId="0" borderId="0" xfId="0" applyFont="1" applyAlignment="1">
      <alignment horizontal="justify" vertical="center" wrapText="1"/>
    </xf>
    <xf numFmtId="174" fontId="11" fillId="0" borderId="0" xfId="0" applyNumberFormat="1" applyFont="1" applyAlignment="1">
      <alignment vertical="center"/>
    </xf>
    <xf numFmtId="4" fontId="12" fillId="0" borderId="36" xfId="31" applyNumberFormat="1" applyFont="1" applyFill="1" applyBorder="1" applyAlignment="1" applyProtection="1">
      <alignment horizontal="center" vertical="center" wrapText="1"/>
    </xf>
    <xf numFmtId="4" fontId="12" fillId="9" borderId="37" xfId="31" applyNumberFormat="1" applyFont="1" applyFill="1" applyBorder="1" applyAlignment="1" applyProtection="1">
      <alignment horizontal="center" vertical="center" wrapText="1"/>
    </xf>
    <xf numFmtId="9" fontId="12" fillId="0" borderId="28" xfId="25" applyNumberFormat="1" applyFont="1" applyBorder="1" applyAlignment="1">
      <alignment horizontal="center" vertical="center" wrapText="1"/>
    </xf>
    <xf numFmtId="9" fontId="12" fillId="0" borderId="9" xfId="25" applyNumberFormat="1" applyFont="1" applyBorder="1" applyAlignment="1">
      <alignment horizontal="center" vertical="center" wrapText="1"/>
    </xf>
    <xf numFmtId="9" fontId="12" fillId="0" borderId="37" xfId="25" applyNumberFormat="1" applyFont="1" applyBorder="1" applyAlignment="1">
      <alignment horizontal="center" vertical="center" wrapText="1"/>
    </xf>
    <xf numFmtId="0" fontId="12" fillId="20" borderId="19" xfId="25" applyFont="1" applyFill="1" applyBorder="1" applyAlignment="1">
      <alignment horizontal="center" vertical="center" wrapText="1"/>
    </xf>
    <xf numFmtId="0" fontId="12" fillId="20" borderId="37" xfId="25" applyFont="1" applyFill="1" applyBorder="1" applyAlignment="1">
      <alignment horizontal="center" vertical="center" wrapText="1"/>
    </xf>
    <xf numFmtId="0" fontId="12" fillId="0" borderId="27" xfId="25" applyFont="1" applyBorder="1" applyAlignment="1">
      <alignment horizontal="left" vertical="center" wrapText="1"/>
    </xf>
    <xf numFmtId="0" fontId="12" fillId="9" borderId="8" xfId="25" applyFont="1" applyFill="1" applyBorder="1" applyAlignment="1">
      <alignment horizontal="left" vertical="center" wrapText="1"/>
    </xf>
    <xf numFmtId="9" fontId="11" fillId="9" borderId="9" xfId="31" applyFont="1" applyFill="1" applyBorder="1" applyAlignment="1" applyProtection="1">
      <alignment horizontal="center" vertical="center" wrapText="1"/>
      <protection locked="0"/>
    </xf>
    <xf numFmtId="0" fontId="12" fillId="0" borderId="8" xfId="25" applyFont="1" applyBorder="1" applyAlignment="1">
      <alignment horizontal="left" vertical="center" wrapText="1"/>
    </xf>
    <xf numFmtId="0" fontId="12" fillId="9" borderId="26" xfId="25" applyFont="1" applyFill="1" applyBorder="1" applyAlignment="1">
      <alignment horizontal="left" vertical="center" wrapText="1"/>
    </xf>
    <xf numFmtId="9" fontId="11" fillId="9" borderId="37" xfId="31" applyFont="1" applyFill="1" applyBorder="1" applyAlignment="1" applyProtection="1">
      <alignment horizontal="center" vertical="center" wrapText="1"/>
      <protection locked="0"/>
    </xf>
    <xf numFmtId="0" fontId="23" fillId="26" borderId="86" xfId="0" applyFont="1" applyFill="1" applyBorder="1" applyAlignment="1">
      <alignment horizontal="center" vertical="center" wrapText="1"/>
    </xf>
    <xf numFmtId="179" fontId="23" fillId="25" borderId="14" xfId="0" applyNumberFormat="1" applyFont="1" applyFill="1" applyBorder="1" applyAlignment="1">
      <alignment horizontal="center" vertical="center"/>
    </xf>
    <xf numFmtId="179" fontId="23" fillId="24" borderId="14" xfId="0" applyNumberFormat="1" applyFont="1" applyFill="1" applyBorder="1" applyAlignment="1">
      <alignment horizontal="center" vertical="center"/>
    </xf>
    <xf numFmtId="0" fontId="23" fillId="24" borderId="87" xfId="0" applyFont="1" applyFill="1" applyBorder="1" applyAlignment="1">
      <alignment horizontal="center" vertical="center" wrapText="1"/>
    </xf>
    <xf numFmtId="179" fontId="22" fillId="24" borderId="15" xfId="0" applyNumberFormat="1" applyFont="1" applyFill="1" applyBorder="1" applyAlignment="1">
      <alignment horizontal="center" vertical="center"/>
    </xf>
    <xf numFmtId="179" fontId="23" fillId="24" borderId="16" xfId="0" applyNumberFormat="1" applyFont="1" applyFill="1" applyBorder="1" applyAlignment="1">
      <alignment horizontal="center" vertical="center"/>
    </xf>
    <xf numFmtId="9" fontId="12" fillId="0" borderId="38" xfId="25" applyNumberFormat="1" applyFont="1" applyBorder="1" applyAlignment="1">
      <alignment horizontal="center" vertical="center" wrapText="1"/>
    </xf>
    <xf numFmtId="4" fontId="12" fillId="0" borderId="38" xfId="31" applyNumberFormat="1" applyFont="1" applyFill="1" applyBorder="1" applyAlignment="1" applyProtection="1">
      <alignment horizontal="center" vertical="center" wrapText="1"/>
    </xf>
    <xf numFmtId="0" fontId="12" fillId="19" borderId="0" xfId="25" applyFont="1" applyFill="1" applyAlignment="1">
      <alignment horizontal="justify" vertical="center" wrapText="1"/>
    </xf>
    <xf numFmtId="0" fontId="14" fillId="19" borderId="0" xfId="25" applyFont="1" applyFill="1" applyAlignment="1">
      <alignment horizontal="justify" vertical="center" wrapText="1"/>
    </xf>
    <xf numFmtId="0" fontId="11" fillId="19" borderId="0" xfId="25" applyFont="1" applyFill="1" applyAlignment="1">
      <alignment horizontal="justify" vertical="center" wrapText="1"/>
    </xf>
    <xf numFmtId="0" fontId="11" fillId="19" borderId="14" xfId="25" applyFont="1" applyFill="1" applyBorder="1" applyAlignment="1">
      <alignment horizontal="justify" vertical="center" wrapText="1"/>
    </xf>
    <xf numFmtId="0" fontId="0" fillId="0" borderId="0" xfId="0" applyAlignment="1">
      <alignment horizontal="justify" vertical="center" wrapText="1"/>
    </xf>
    <xf numFmtId="0" fontId="22" fillId="0" borderId="0" xfId="0" applyFont="1" applyAlignment="1">
      <alignment horizontal="justify" vertical="center" wrapText="1"/>
    </xf>
    <xf numFmtId="0" fontId="4" fillId="0" borderId="0" xfId="0" applyFont="1" applyAlignment="1">
      <alignment horizontal="justify" vertical="center" wrapText="1"/>
    </xf>
    <xf numFmtId="0" fontId="44" fillId="0" borderId="0" xfId="0" applyFont="1" applyAlignment="1">
      <alignment horizontal="justify" vertical="center" wrapText="1"/>
    </xf>
    <xf numFmtId="179" fontId="22" fillId="0" borderId="0" xfId="0" applyNumberFormat="1" applyFont="1" applyAlignment="1">
      <alignment horizontal="justify" vertical="center" wrapText="1"/>
    </xf>
    <xf numFmtId="179" fontId="44" fillId="0" borderId="0" xfId="0" applyNumberFormat="1" applyFont="1" applyAlignment="1">
      <alignment horizontal="justify" vertical="center" wrapText="1"/>
    </xf>
    <xf numFmtId="0" fontId="12" fillId="0" borderId="20" xfId="25" applyFont="1" applyBorder="1" applyAlignment="1">
      <alignment horizontal="left" vertical="center" wrapText="1"/>
    </xf>
    <xf numFmtId="0" fontId="12" fillId="9" borderId="21" xfId="25" applyFont="1" applyFill="1" applyBorder="1" applyAlignment="1">
      <alignment horizontal="left" vertical="center" wrapText="1"/>
    </xf>
    <xf numFmtId="4" fontId="12" fillId="9" borderId="26" xfId="31" applyNumberFormat="1" applyFont="1" applyFill="1" applyBorder="1" applyAlignment="1" applyProtection="1">
      <alignment horizontal="center" vertical="center" wrapText="1"/>
    </xf>
    <xf numFmtId="4" fontId="12" fillId="0" borderId="39" xfId="31" applyNumberFormat="1" applyFont="1" applyFill="1" applyBorder="1" applyAlignment="1" applyProtection="1">
      <alignment horizontal="center" vertical="center" wrapText="1"/>
    </xf>
    <xf numFmtId="4" fontId="12" fillId="0" borderId="40" xfId="31" applyNumberFormat="1" applyFont="1" applyFill="1" applyBorder="1" applyAlignment="1" applyProtection="1">
      <alignment horizontal="center" vertical="center" wrapText="1"/>
    </xf>
    <xf numFmtId="173" fontId="32" fillId="0" borderId="8" xfId="10" applyNumberFormat="1" applyFont="1" applyFill="1" applyBorder="1" applyAlignment="1">
      <alignment vertical="center"/>
    </xf>
    <xf numFmtId="0" fontId="12" fillId="20" borderId="9" xfId="25" applyFont="1" applyFill="1" applyBorder="1" applyAlignment="1">
      <alignment horizontal="center" vertical="center" wrapText="1"/>
    </xf>
    <xf numFmtId="0" fontId="12" fillId="20" borderId="8" xfId="25" applyFont="1" applyFill="1" applyBorder="1" applyAlignment="1">
      <alignment horizontal="center" vertical="center" wrapText="1"/>
    </xf>
    <xf numFmtId="4" fontId="12" fillId="0" borderId="18" xfId="31" applyNumberFormat="1" applyFont="1" applyFill="1" applyBorder="1" applyAlignment="1" applyProtection="1">
      <alignment horizontal="center" vertical="center" wrapText="1"/>
    </xf>
    <xf numFmtId="0" fontId="12" fillId="19" borderId="8" xfId="25" applyFont="1" applyFill="1" applyBorder="1" applyAlignment="1">
      <alignment horizontal="left" vertical="center" wrapText="1"/>
    </xf>
    <xf numFmtId="9" fontId="11" fillId="19" borderId="1" xfId="32" applyFont="1" applyFill="1" applyBorder="1" applyAlignment="1" applyProtection="1">
      <alignment horizontal="center" vertical="center" wrapText="1"/>
      <protection locked="0"/>
    </xf>
    <xf numFmtId="174" fontId="32" fillId="0" borderId="37" xfId="31" applyNumberFormat="1" applyFont="1" applyBorder="1" applyAlignment="1">
      <alignment vertical="center"/>
    </xf>
    <xf numFmtId="0" fontId="52" fillId="0" borderId="0" xfId="0" applyFont="1" applyAlignment="1">
      <alignment vertical="center"/>
    </xf>
    <xf numFmtId="0" fontId="28" fillId="9" borderId="1" xfId="0" applyFont="1" applyFill="1" applyBorder="1" applyAlignment="1">
      <alignment horizontal="left" vertical="center" wrapText="1"/>
    </xf>
    <xf numFmtId="0" fontId="28" fillId="9" borderId="1" xfId="0" applyFont="1" applyFill="1" applyBorder="1" applyAlignment="1">
      <alignment vertical="center" wrapText="1"/>
    </xf>
    <xf numFmtId="0" fontId="30" fillId="19" borderId="0" xfId="0" applyFont="1" applyFill="1" applyAlignment="1">
      <alignment vertical="center"/>
    </xf>
    <xf numFmtId="0" fontId="30" fillId="19" borderId="0" xfId="0" applyFont="1" applyFill="1" applyAlignment="1">
      <alignment horizontal="center" vertical="center"/>
    </xf>
    <xf numFmtId="0" fontId="28" fillId="9" borderId="2" xfId="0" applyFont="1" applyFill="1" applyBorder="1" applyAlignment="1">
      <alignment horizontal="center" vertical="center" wrapText="1"/>
    </xf>
    <xf numFmtId="0" fontId="28" fillId="9" borderId="10" xfId="0" applyFont="1" applyFill="1" applyBorder="1" applyAlignment="1">
      <alignment horizontal="center" vertical="center" wrapText="1"/>
    </xf>
    <xf numFmtId="0" fontId="28" fillId="9" borderId="38" xfId="0" applyFont="1" applyFill="1" applyBorder="1" applyAlignment="1">
      <alignment horizontal="center" vertical="center" wrapText="1"/>
    </xf>
    <xf numFmtId="0" fontId="28" fillId="9" borderId="4" xfId="0" applyFont="1" applyFill="1" applyBorder="1" applyAlignment="1">
      <alignment horizontal="center" vertical="center" wrapText="1"/>
    </xf>
    <xf numFmtId="49" fontId="28" fillId="9" borderId="10" xfId="0" applyNumberFormat="1" applyFont="1" applyFill="1" applyBorder="1" applyAlignment="1">
      <alignment horizontal="center" vertical="center" wrapText="1"/>
    </xf>
    <xf numFmtId="0" fontId="30" fillId="0" borderId="1" xfId="0" applyFont="1" applyBorder="1" applyAlignment="1">
      <alignment vertical="center"/>
    </xf>
    <xf numFmtId="178" fontId="30" fillId="0" borderId="1" xfId="17" applyNumberFormat="1" applyFont="1" applyBorder="1" applyAlignment="1">
      <alignment vertical="center"/>
    </xf>
    <xf numFmtId="0" fontId="30" fillId="27" borderId="1" xfId="0" applyFont="1" applyFill="1" applyBorder="1" applyAlignment="1">
      <alignment horizontal="center" vertical="center"/>
    </xf>
    <xf numFmtId="177" fontId="29" fillId="28" borderId="1" xfId="18" applyNumberFormat="1" applyFont="1" applyFill="1" applyBorder="1" applyAlignment="1">
      <alignment horizontal="center" vertical="center"/>
    </xf>
    <xf numFmtId="177" fontId="29" fillId="0" borderId="1" xfId="18" applyNumberFormat="1" applyFont="1" applyFill="1" applyBorder="1" applyAlignment="1">
      <alignment horizontal="center" vertical="center"/>
    </xf>
    <xf numFmtId="0" fontId="29" fillId="0" borderId="1" xfId="0" applyFont="1" applyBorder="1" applyAlignment="1">
      <alignment vertical="center"/>
    </xf>
    <xf numFmtId="0" fontId="29" fillId="0" borderId="1" xfId="0" applyFont="1" applyBorder="1" applyAlignment="1">
      <alignment vertical="center" wrapText="1"/>
    </xf>
    <xf numFmtId="0" fontId="29" fillId="28" borderId="1" xfId="0" applyFont="1" applyFill="1" applyBorder="1" applyAlignment="1">
      <alignment horizontal="left" vertical="center"/>
    </xf>
    <xf numFmtId="0" fontId="29" fillId="28" borderId="1" xfId="0" applyFont="1" applyFill="1" applyBorder="1" applyAlignment="1">
      <alignment horizontal="center" vertical="center"/>
    </xf>
    <xf numFmtId="178" fontId="29" fillId="28" borderId="1" xfId="17" applyNumberFormat="1" applyFont="1" applyFill="1" applyBorder="1" applyAlignment="1">
      <alignment horizontal="center" vertical="center"/>
    </xf>
    <xf numFmtId="0" fontId="29" fillId="27" borderId="1" xfId="0" applyFont="1" applyFill="1" applyBorder="1" applyAlignment="1">
      <alignment horizontal="center" vertical="center"/>
    </xf>
    <xf numFmtId="177" fontId="29" fillId="28" borderId="1" xfId="0" applyNumberFormat="1" applyFont="1" applyFill="1" applyBorder="1" applyAlignment="1">
      <alignment horizontal="center" vertical="center"/>
    </xf>
    <xf numFmtId="0" fontId="17" fillId="0" borderId="1" xfId="0" applyFont="1" applyBorder="1" applyAlignment="1">
      <alignment horizontal="center" vertical="center" wrapText="1"/>
    </xf>
    <xf numFmtId="0" fontId="32" fillId="0" borderId="0" xfId="0" applyFont="1" applyAlignment="1">
      <alignment horizontal="justify" vertical="center" wrapText="1"/>
    </xf>
    <xf numFmtId="0" fontId="44" fillId="19" borderId="1" xfId="31" applyNumberFormat="1" applyFont="1" applyFill="1" applyBorder="1" applyAlignment="1">
      <alignment horizontal="left" vertical="top" wrapText="1"/>
    </xf>
    <xf numFmtId="0" fontId="44" fillId="19" borderId="1" xfId="31" applyNumberFormat="1" applyFont="1" applyFill="1" applyBorder="1" applyAlignment="1">
      <alignment vertical="top" wrapText="1"/>
    </xf>
    <xf numFmtId="0" fontId="11" fillId="19" borderId="1" xfId="0" applyFont="1" applyFill="1" applyBorder="1" applyAlignment="1">
      <alignment vertical="top" wrapText="1"/>
    </xf>
    <xf numFmtId="9" fontId="44" fillId="19" borderId="1" xfId="31" applyFont="1" applyFill="1" applyBorder="1" applyAlignment="1">
      <alignment vertical="top" wrapText="1"/>
    </xf>
    <xf numFmtId="9" fontId="11" fillId="19" borderId="1" xfId="31" applyFont="1" applyFill="1" applyBorder="1" applyAlignment="1">
      <alignment vertical="top" wrapText="1"/>
    </xf>
    <xf numFmtId="0" fontId="11" fillId="19" borderId="1" xfId="31" applyNumberFormat="1" applyFont="1" applyFill="1" applyBorder="1" applyAlignment="1">
      <alignment vertical="top" wrapText="1"/>
    </xf>
    <xf numFmtId="0" fontId="44" fillId="19" borderId="1" xfId="0" applyFont="1" applyFill="1" applyBorder="1" applyAlignment="1">
      <alignment horizontal="justify" vertical="top" wrapText="1"/>
    </xf>
    <xf numFmtId="0" fontId="44" fillId="19" borderId="1" xfId="0" applyFont="1" applyFill="1" applyBorder="1" applyAlignment="1">
      <alignment horizontal="justify" vertical="top"/>
    </xf>
    <xf numFmtId="0" fontId="44" fillId="19" borderId="1" xfId="0" applyFont="1" applyFill="1" applyBorder="1" applyAlignment="1">
      <alignment vertical="top"/>
    </xf>
    <xf numFmtId="9" fontId="44" fillId="0" borderId="1" xfId="31" applyFont="1" applyFill="1" applyBorder="1" applyAlignment="1">
      <alignment horizontal="justify" vertical="top" wrapText="1"/>
    </xf>
    <xf numFmtId="0" fontId="44" fillId="19" borderId="0" xfId="0" applyFont="1" applyFill="1" applyAlignment="1">
      <alignment horizontal="justify" vertical="top" wrapText="1"/>
    </xf>
    <xf numFmtId="3" fontId="44" fillId="0" borderId="1" xfId="11" applyNumberFormat="1" applyFont="1" applyFill="1" applyBorder="1" applyAlignment="1">
      <alignment horizontal="center" vertical="center" wrapText="1"/>
    </xf>
    <xf numFmtId="168" fontId="44" fillId="0" borderId="1" xfId="11" applyFont="1" applyFill="1" applyBorder="1" applyAlignment="1">
      <alignment horizontal="center" vertical="center" wrapText="1"/>
    </xf>
    <xf numFmtId="0" fontId="44" fillId="0" borderId="1" xfId="0" applyFont="1" applyBorder="1" applyAlignment="1">
      <alignment horizontal="justify" vertical="center" wrapText="1"/>
    </xf>
    <xf numFmtId="3" fontId="44" fillId="0" borderId="1" xfId="0" applyNumberFormat="1" applyFont="1" applyBorder="1" applyAlignment="1">
      <alignment horizontal="center" vertical="center"/>
    </xf>
    <xf numFmtId="9" fontId="44" fillId="0" borderId="1" xfId="31" applyFont="1" applyFill="1" applyBorder="1" applyAlignment="1">
      <alignment vertical="center"/>
    </xf>
    <xf numFmtId="3" fontId="11" fillId="0" borderId="1" xfId="0" applyNumberFormat="1" applyFont="1" applyBorder="1" applyAlignment="1">
      <alignment horizontal="center" vertical="center"/>
    </xf>
    <xf numFmtId="0" fontId="44" fillId="19" borderId="1" xfId="0" applyFont="1" applyFill="1" applyBorder="1" applyAlignment="1">
      <alignment horizontal="center" vertical="center"/>
    </xf>
    <xf numFmtId="0" fontId="44" fillId="19" borderId="1" xfId="0" applyFont="1" applyFill="1" applyBorder="1" applyAlignment="1">
      <alignment vertical="center"/>
    </xf>
    <xf numFmtId="9" fontId="44" fillId="19" borderId="1" xfId="31" applyFont="1" applyFill="1" applyBorder="1" applyAlignment="1">
      <alignment vertical="center"/>
    </xf>
    <xf numFmtId="3" fontId="44" fillId="0" borderId="1" xfId="0" applyNumberFormat="1" applyFont="1" applyBorder="1" applyAlignment="1">
      <alignment horizontal="center" vertical="center" wrapText="1"/>
    </xf>
    <xf numFmtId="0" fontId="11" fillId="19" borderId="1" xfId="0" applyFont="1" applyFill="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vertical="center"/>
    </xf>
    <xf numFmtId="9" fontId="11" fillId="0" borderId="1" xfId="31" applyFont="1" applyFill="1" applyBorder="1" applyAlignment="1">
      <alignment vertical="center"/>
    </xf>
    <xf numFmtId="9" fontId="24" fillId="0" borderId="85" xfId="0" applyNumberFormat="1" applyFont="1" applyBorder="1" applyAlignment="1">
      <alignment horizontal="justify" vertical="center" wrapText="1"/>
    </xf>
    <xf numFmtId="9" fontId="24" fillId="0" borderId="88" xfId="0" applyNumberFormat="1" applyFont="1" applyBorder="1" applyAlignment="1">
      <alignment horizontal="justify" vertical="center" wrapText="1"/>
    </xf>
    <xf numFmtId="174" fontId="22" fillId="0" borderId="85" xfId="0" applyNumberFormat="1" applyFont="1" applyBorder="1" applyAlignment="1">
      <alignment horizontal="center" vertical="center" wrapText="1"/>
    </xf>
    <xf numFmtId="174" fontId="22" fillId="0" borderId="88" xfId="0" applyNumberFormat="1" applyFont="1" applyBorder="1" applyAlignment="1">
      <alignment horizontal="center" vertical="center" wrapText="1"/>
    </xf>
    <xf numFmtId="9" fontId="24" fillId="0" borderId="0" xfId="0" applyNumberFormat="1" applyFont="1" applyAlignment="1">
      <alignment horizontal="justify" vertical="center" wrapText="1"/>
    </xf>
    <xf numFmtId="174" fontId="22" fillId="0" borderId="0" xfId="0" applyNumberFormat="1" applyFont="1" applyAlignment="1">
      <alignment horizontal="center" vertical="center" wrapText="1"/>
    </xf>
    <xf numFmtId="9" fontId="11" fillId="0" borderId="5" xfId="25" applyNumberFormat="1" applyFont="1" applyBorder="1" applyAlignment="1">
      <alignment horizontal="justify" vertical="top" wrapText="1"/>
    </xf>
    <xf numFmtId="9" fontId="11" fillId="0" borderId="1" xfId="25" applyNumberFormat="1" applyFont="1" applyBorder="1" applyAlignment="1">
      <alignment horizontal="justify" vertical="top" wrapText="1"/>
    </xf>
    <xf numFmtId="9" fontId="11" fillId="0" borderId="9" xfId="25" applyNumberFormat="1" applyFont="1" applyBorder="1" applyAlignment="1">
      <alignment horizontal="justify" vertical="top" wrapText="1"/>
    </xf>
    <xf numFmtId="9" fontId="11" fillId="0" borderId="41" xfId="25" applyNumberFormat="1" applyFont="1" applyBorder="1" applyAlignment="1">
      <alignment horizontal="justify" vertical="top" wrapText="1"/>
    </xf>
    <xf numFmtId="9" fontId="11" fillId="0" borderId="19" xfId="25" applyNumberFormat="1" applyFont="1" applyBorder="1" applyAlignment="1">
      <alignment horizontal="justify" vertical="top" wrapText="1"/>
    </xf>
    <xf numFmtId="9" fontId="11" fillId="0" borderId="37" xfId="25" applyNumberFormat="1" applyFont="1" applyBorder="1" applyAlignment="1">
      <alignment horizontal="justify" vertical="top" wrapText="1"/>
    </xf>
    <xf numFmtId="0" fontId="23" fillId="26" borderId="85" xfId="0" applyFont="1" applyFill="1" applyBorder="1" applyAlignment="1">
      <alignment horizontal="justify" vertical="center" wrapText="1"/>
    </xf>
    <xf numFmtId="0" fontId="23" fillId="26" borderId="88" xfId="0" applyFont="1" applyFill="1" applyBorder="1" applyAlignment="1">
      <alignment horizontal="justify" vertical="center" wrapText="1"/>
    </xf>
    <xf numFmtId="0" fontId="23" fillId="26" borderId="85" xfId="0" applyFont="1" applyFill="1" applyBorder="1" applyAlignment="1">
      <alignment horizontal="center" vertical="center" wrapText="1"/>
    </xf>
    <xf numFmtId="0" fontId="23" fillId="26" borderId="88" xfId="0" applyFont="1" applyFill="1" applyBorder="1" applyAlignment="1">
      <alignment horizontal="center" vertical="center" wrapText="1"/>
    </xf>
    <xf numFmtId="0" fontId="23" fillId="26" borderId="89" xfId="0" applyFont="1" applyFill="1" applyBorder="1" applyAlignment="1">
      <alignment horizontal="center" vertical="center" wrapText="1"/>
    </xf>
    <xf numFmtId="0" fontId="23" fillId="26" borderId="90" xfId="0" applyFont="1" applyFill="1" applyBorder="1" applyAlignment="1">
      <alignment horizontal="center" vertical="center" wrapText="1"/>
    </xf>
    <xf numFmtId="0" fontId="23" fillId="26" borderId="91" xfId="0" applyFont="1" applyFill="1" applyBorder="1" applyAlignment="1">
      <alignment horizontal="center" vertical="center" wrapText="1"/>
    </xf>
    <xf numFmtId="9" fontId="22" fillId="0" borderId="85" xfId="0" applyNumberFormat="1" applyFont="1" applyBorder="1" applyAlignment="1">
      <alignment horizontal="center" vertical="center" wrapText="1"/>
    </xf>
    <xf numFmtId="9" fontId="22" fillId="0" borderId="88" xfId="0" applyNumberFormat="1" applyFont="1" applyBorder="1" applyAlignment="1">
      <alignment horizontal="center" vertical="center" wrapText="1"/>
    </xf>
    <xf numFmtId="9" fontId="11" fillId="0" borderId="1" xfId="25" applyNumberFormat="1" applyFont="1" applyBorder="1" applyAlignment="1">
      <alignment horizontal="center" vertical="center" wrapText="1"/>
    </xf>
    <xf numFmtId="2" fontId="11" fillId="0" borderId="8" xfId="25" applyNumberFormat="1" applyFont="1" applyBorder="1" applyAlignment="1">
      <alignment horizontal="justify" vertical="center" wrapText="1"/>
    </xf>
    <xf numFmtId="2" fontId="11" fillId="0" borderId="8" xfId="25" applyNumberFormat="1" applyFont="1" applyBorder="1" applyAlignment="1">
      <alignment horizontal="justify" vertical="top" wrapText="1"/>
    </xf>
    <xf numFmtId="2" fontId="11" fillId="0" borderId="26" xfId="25" applyNumberFormat="1" applyFont="1" applyBorder="1" applyAlignment="1">
      <alignment horizontal="justify" vertical="top" wrapText="1"/>
    </xf>
    <xf numFmtId="0" fontId="11" fillId="0" borderId="47" xfId="25" applyFont="1" applyBorder="1" applyAlignment="1">
      <alignment horizontal="center" vertical="center" wrapText="1"/>
    </xf>
    <xf numFmtId="0" fontId="11" fillId="0" borderId="13" xfId="25" applyFont="1" applyBorder="1" applyAlignment="1">
      <alignment horizontal="center" vertical="center" wrapText="1"/>
    </xf>
    <xf numFmtId="0" fontId="11" fillId="0" borderId="45" xfId="25" applyFont="1" applyBorder="1" applyAlignment="1">
      <alignment horizontal="center" vertical="center" wrapText="1"/>
    </xf>
    <xf numFmtId="0" fontId="12" fillId="0" borderId="29" xfId="25" applyFont="1" applyBorder="1" applyAlignment="1">
      <alignment horizontal="center" vertical="center"/>
    </xf>
    <xf numFmtId="0" fontId="12" fillId="0" borderId="30" xfId="25" applyFont="1" applyBorder="1" applyAlignment="1">
      <alignment horizontal="center" vertical="center"/>
    </xf>
    <xf numFmtId="0" fontId="12" fillId="0" borderId="31" xfId="25" applyFont="1" applyBorder="1" applyAlignment="1">
      <alignment horizontal="center" vertical="center"/>
    </xf>
    <xf numFmtId="0" fontId="19" fillId="0" borderId="48" xfId="0" applyFont="1" applyBorder="1" applyAlignment="1">
      <alignment horizontal="left" vertical="center" wrapText="1"/>
    </xf>
    <xf numFmtId="0" fontId="19" fillId="0" borderId="35" xfId="0" applyFont="1" applyBorder="1" applyAlignment="1">
      <alignment horizontal="left" vertical="center" wrapText="1"/>
    </xf>
    <xf numFmtId="0" fontId="19" fillId="0" borderId="49"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5" fillId="0" borderId="42" xfId="25" applyFont="1" applyBorder="1" applyAlignment="1">
      <alignment horizontal="left" vertical="center" wrapText="1"/>
    </xf>
    <xf numFmtId="0" fontId="15" fillId="0" borderId="43" xfId="25" applyFont="1" applyBorder="1" applyAlignment="1">
      <alignment horizontal="left" vertical="center" wrapText="1"/>
    </xf>
    <xf numFmtId="0" fontId="15" fillId="0" borderId="44" xfId="25" applyFont="1" applyBorder="1" applyAlignment="1">
      <alignment horizontal="left" vertical="center" wrapText="1"/>
    </xf>
    <xf numFmtId="0" fontId="12" fillId="30" borderId="34" xfId="25" applyFont="1" applyFill="1" applyBorder="1" applyAlignment="1">
      <alignment horizontal="center" vertical="center" wrapText="1"/>
    </xf>
    <xf numFmtId="0" fontId="12" fillId="30" borderId="35" xfId="25" applyFont="1" applyFill="1" applyBorder="1" applyAlignment="1">
      <alignment horizontal="center" vertical="center" wrapText="1"/>
    </xf>
    <xf numFmtId="0" fontId="12" fillId="30" borderId="49" xfId="25" applyFont="1" applyFill="1" applyBorder="1" applyAlignment="1">
      <alignment horizontal="center" vertical="center" wrapText="1"/>
    </xf>
    <xf numFmtId="0" fontId="12" fillId="30" borderId="26" xfId="25" applyFont="1" applyFill="1" applyBorder="1" applyAlignment="1">
      <alignment horizontal="center" vertical="center" wrapText="1"/>
    </xf>
    <xf numFmtId="0" fontId="12" fillId="30" borderId="19" xfId="25" applyFont="1" applyFill="1" applyBorder="1" applyAlignment="1">
      <alignment horizontal="center" vertical="center" wrapText="1"/>
    </xf>
    <xf numFmtId="0" fontId="12" fillId="30" borderId="37" xfId="25" applyFont="1" applyFill="1" applyBorder="1" applyAlignment="1">
      <alignment horizontal="center" vertical="center" wrapText="1"/>
    </xf>
    <xf numFmtId="0" fontId="53" fillId="0" borderId="41" xfId="0" applyFont="1" applyBorder="1" applyAlignment="1">
      <alignment horizontal="left" vertical="center" wrapText="1"/>
    </xf>
    <xf numFmtId="0" fontId="53" fillId="0" borderId="19" xfId="0" applyFont="1" applyBorder="1" applyAlignment="1">
      <alignment horizontal="left" vertical="center" wrapText="1"/>
    </xf>
    <xf numFmtId="0" fontId="53" fillId="0" borderId="37" xfId="0" applyFont="1" applyBorder="1" applyAlignment="1">
      <alignment horizontal="left" vertical="center" wrapText="1"/>
    </xf>
    <xf numFmtId="0" fontId="12" fillId="20" borderId="47" xfId="25" applyFont="1" applyFill="1" applyBorder="1" applyAlignment="1">
      <alignment horizontal="left" vertical="center" wrapText="1"/>
    </xf>
    <xf numFmtId="0" fontId="12" fillId="20" borderId="12" xfId="25" applyFont="1" applyFill="1" applyBorder="1" applyAlignment="1">
      <alignment horizontal="left" vertical="center" wrapText="1"/>
    </xf>
    <xf numFmtId="0" fontId="12" fillId="20" borderId="13" xfId="25" applyFont="1" applyFill="1" applyBorder="1" applyAlignment="1">
      <alignment horizontal="left" vertical="center" wrapText="1"/>
    </xf>
    <xf numFmtId="0" fontId="12" fillId="20" borderId="14" xfId="25" applyFont="1" applyFill="1" applyBorder="1" applyAlignment="1">
      <alignment horizontal="left" vertical="center" wrapText="1"/>
    </xf>
    <xf numFmtId="0" fontId="12" fillId="20" borderId="45" xfId="25" applyFont="1" applyFill="1" applyBorder="1" applyAlignment="1">
      <alignment horizontal="left" vertical="center" wrapText="1"/>
    </xf>
    <xf numFmtId="0" fontId="12" fillId="20" borderId="16" xfId="25" applyFont="1" applyFill="1" applyBorder="1" applyAlignment="1">
      <alignment horizontal="left" vertical="center" wrapText="1"/>
    </xf>
    <xf numFmtId="0" fontId="12" fillId="20" borderId="47" xfId="25" applyFont="1" applyFill="1" applyBorder="1" applyAlignment="1">
      <alignment horizontal="justify" vertical="center" wrapText="1"/>
    </xf>
    <xf numFmtId="0" fontId="12" fillId="20" borderId="11" xfId="25" applyFont="1" applyFill="1" applyBorder="1" applyAlignment="1">
      <alignment horizontal="justify" vertical="center" wrapText="1"/>
    </xf>
    <xf numFmtId="0" fontId="12" fillId="20" borderId="12" xfId="25" applyFont="1" applyFill="1" applyBorder="1" applyAlignment="1">
      <alignment horizontal="justify" vertical="center" wrapText="1"/>
    </xf>
    <xf numFmtId="0" fontId="12" fillId="20" borderId="13" xfId="25" applyFont="1" applyFill="1" applyBorder="1" applyAlignment="1">
      <alignment horizontal="justify" vertical="center" wrapText="1"/>
    </xf>
    <xf numFmtId="0" fontId="12" fillId="20" borderId="0" xfId="25" applyFont="1" applyFill="1" applyAlignment="1">
      <alignment horizontal="justify" vertical="center" wrapText="1"/>
    </xf>
    <xf numFmtId="0" fontId="12" fillId="20" borderId="14" xfId="25" applyFont="1" applyFill="1" applyBorder="1" applyAlignment="1">
      <alignment horizontal="justify" vertical="center" wrapText="1"/>
    </xf>
    <xf numFmtId="0" fontId="12" fillId="20" borderId="45" xfId="25" applyFont="1" applyFill="1" applyBorder="1" applyAlignment="1">
      <alignment horizontal="justify" vertical="center" wrapText="1"/>
    </xf>
    <xf numFmtId="0" fontId="12" fillId="20" borderId="15" xfId="25" applyFont="1" applyFill="1" applyBorder="1" applyAlignment="1">
      <alignment horizontal="justify" vertical="center" wrapText="1"/>
    </xf>
    <xf numFmtId="0" fontId="12" fillId="20" borderId="16" xfId="25" applyFont="1" applyFill="1" applyBorder="1" applyAlignment="1">
      <alignment horizontal="justify" vertical="center" wrapText="1"/>
    </xf>
    <xf numFmtId="14" fontId="49" fillId="0" borderId="47" xfId="0" applyNumberFormat="1"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49" fillId="0" borderId="45" xfId="0" applyFont="1" applyBorder="1" applyAlignment="1">
      <alignment horizontal="center" vertical="center" wrapText="1"/>
    </xf>
    <xf numFmtId="0" fontId="49" fillId="0" borderId="16" xfId="0" applyFont="1" applyBorder="1" applyAlignment="1">
      <alignment horizontal="center" vertical="center" wrapText="1"/>
    </xf>
    <xf numFmtId="0" fontId="43" fillId="0" borderId="50" xfId="0" applyFont="1" applyBorder="1" applyAlignment="1">
      <alignment horizontal="center" vertical="center" wrapText="1"/>
    </xf>
    <xf numFmtId="0" fontId="43" fillId="0" borderId="51" xfId="0" applyFont="1" applyBorder="1" applyAlignment="1">
      <alignment horizontal="center" vertical="center" wrapText="1"/>
    </xf>
    <xf numFmtId="0" fontId="43" fillId="0" borderId="52" xfId="0" applyFont="1" applyBorder="1" applyAlignment="1">
      <alignment horizontal="justify" vertical="center" wrapText="1"/>
    </xf>
    <xf numFmtId="0" fontId="43" fillId="0" borderId="22" xfId="0" applyFont="1" applyBorder="1" applyAlignment="1">
      <alignment horizontal="justify" vertical="center" wrapText="1"/>
    </xf>
    <xf numFmtId="4" fontId="12" fillId="0" borderId="59" xfId="25" applyNumberFormat="1" applyFont="1" applyBorder="1" applyAlignment="1">
      <alignment horizontal="center" vertical="center" wrapText="1"/>
    </xf>
    <xf numFmtId="4" fontId="12" fillId="0" borderId="25" xfId="25" applyNumberFormat="1" applyFont="1" applyBorder="1" applyAlignment="1">
      <alignment horizontal="center" vertical="center" wrapText="1"/>
    </xf>
    <xf numFmtId="0" fontId="45" fillId="0" borderId="1" xfId="25" applyFont="1" applyBorder="1" applyAlignment="1">
      <alignment horizontal="left" vertical="center" wrapText="1"/>
    </xf>
    <xf numFmtId="0" fontId="45" fillId="0" borderId="9" xfId="25" applyFont="1" applyBorder="1" applyAlignment="1">
      <alignment horizontal="left" vertical="center" wrapText="1"/>
    </xf>
    <xf numFmtId="0" fontId="12" fillId="0" borderId="61" xfId="25" applyFont="1" applyBorder="1" applyAlignment="1">
      <alignment horizontal="center" vertical="center" wrapText="1"/>
    </xf>
    <xf numFmtId="0" fontId="12" fillId="0" borderId="62" xfId="25" applyFont="1" applyBorder="1" applyAlignment="1">
      <alignment horizontal="center" vertical="center" wrapText="1"/>
    </xf>
    <xf numFmtId="0" fontId="12" fillId="0" borderId="35" xfId="25" applyFont="1" applyBorder="1" applyAlignment="1">
      <alignment horizontal="center" vertical="center" wrapText="1"/>
    </xf>
    <xf numFmtId="0" fontId="12" fillId="0" borderId="49" xfId="25" applyFont="1" applyBorder="1" applyAlignment="1">
      <alignment horizontal="center" vertical="center" wrapText="1"/>
    </xf>
    <xf numFmtId="0" fontId="12" fillId="20" borderId="34" xfId="25" applyFont="1" applyFill="1" applyBorder="1" applyAlignment="1">
      <alignment horizontal="center" vertical="center" wrapText="1"/>
    </xf>
    <xf numFmtId="0" fontId="12" fillId="20" borderId="8" xfId="25" applyFont="1" applyFill="1" applyBorder="1" applyAlignment="1">
      <alignment horizontal="center" vertical="center" wrapText="1"/>
    </xf>
    <xf numFmtId="0" fontId="12" fillId="20" borderId="35" xfId="25" applyFont="1" applyFill="1" applyBorder="1" applyAlignment="1">
      <alignment horizontal="center" vertical="center" wrapText="1"/>
    </xf>
    <xf numFmtId="0" fontId="12" fillId="20" borderId="1" xfId="25" applyFont="1" applyFill="1" applyBorder="1" applyAlignment="1">
      <alignment horizontal="center" vertical="center" wrapText="1"/>
    </xf>
    <xf numFmtId="0" fontId="11" fillId="20" borderId="1" xfId="25" applyFont="1" applyFill="1" applyBorder="1" applyAlignment="1">
      <alignment horizontal="center" vertical="center" wrapText="1"/>
    </xf>
    <xf numFmtId="0" fontId="0" fillId="0" borderId="52" xfId="0" applyBorder="1" applyAlignment="1">
      <alignment horizontal="justify" vertical="center" wrapText="1"/>
    </xf>
    <xf numFmtId="0" fontId="0" fillId="0" borderId="22" xfId="0" applyBorder="1" applyAlignment="1">
      <alignment horizontal="justify" vertical="center" wrapText="1"/>
    </xf>
    <xf numFmtId="0" fontId="43" fillId="0" borderId="50" xfId="0" applyFont="1" applyBorder="1" applyAlignment="1">
      <alignment horizontal="justify" vertical="center" wrapText="1"/>
    </xf>
    <xf numFmtId="0" fontId="43" fillId="0" borderId="51" xfId="0" applyFont="1" applyBorder="1" applyAlignment="1">
      <alignment horizontal="justify" vertical="center" wrapText="1"/>
    </xf>
    <xf numFmtId="0" fontId="54" fillId="0" borderId="53" xfId="0" applyFont="1" applyBorder="1" applyAlignment="1">
      <alignment horizontal="center" vertical="center"/>
    </xf>
    <xf numFmtId="0" fontId="54" fillId="0" borderId="54" xfId="0" applyFont="1" applyBorder="1" applyAlignment="1">
      <alignment horizontal="center" vertical="center"/>
    </xf>
    <xf numFmtId="0" fontId="54" fillId="0" borderId="55" xfId="0" applyFont="1" applyBorder="1" applyAlignment="1">
      <alignment horizontal="center" vertical="center"/>
    </xf>
    <xf numFmtId="0" fontId="12" fillId="0" borderId="29" xfId="25" applyFont="1" applyBorder="1" applyAlignment="1">
      <alignment horizontal="center" vertical="center" wrapText="1"/>
    </xf>
    <xf numFmtId="0" fontId="12" fillId="0" borderId="30" xfId="25" applyFont="1" applyBorder="1" applyAlignment="1">
      <alignment horizontal="center" vertical="center" wrapText="1"/>
    </xf>
    <xf numFmtId="0" fontId="12" fillId="0" borderId="31" xfId="25" applyFont="1" applyBorder="1" applyAlignment="1">
      <alignment horizontal="center" vertical="center" wrapText="1"/>
    </xf>
    <xf numFmtId="0" fontId="12" fillId="20" borderId="42" xfId="25" applyFont="1" applyFill="1" applyBorder="1" applyAlignment="1">
      <alignment horizontal="center" vertical="center" wrapText="1"/>
    </xf>
    <xf numFmtId="0" fontId="12" fillId="20" borderId="44" xfId="25" applyFont="1" applyFill="1" applyBorder="1" applyAlignment="1">
      <alignment horizontal="center" vertical="center" wrapText="1"/>
    </xf>
    <xf numFmtId="2" fontId="12" fillId="0" borderId="42" xfId="31" applyNumberFormat="1" applyFont="1" applyFill="1" applyBorder="1" applyAlignment="1" applyProtection="1">
      <alignment horizontal="center" vertical="center" wrapText="1"/>
    </xf>
    <xf numFmtId="2" fontId="12" fillId="0" borderId="44" xfId="31" applyNumberFormat="1" applyFont="1" applyFill="1" applyBorder="1" applyAlignment="1" applyProtection="1">
      <alignment horizontal="center" vertical="center" wrapText="1"/>
    </xf>
    <xf numFmtId="0" fontId="12" fillId="20" borderId="43" xfId="25" applyFont="1" applyFill="1" applyBorder="1" applyAlignment="1">
      <alignment horizontal="center" vertical="center" wrapText="1"/>
    </xf>
    <xf numFmtId="0" fontId="12" fillId="20" borderId="42" xfId="25" applyFont="1" applyFill="1" applyBorder="1" applyAlignment="1">
      <alignment horizontal="left" vertical="center" wrapText="1"/>
    </xf>
    <xf numFmtId="0" fontId="12" fillId="20" borderId="44" xfId="25" applyFont="1" applyFill="1" applyBorder="1" applyAlignment="1">
      <alignment horizontal="left" vertical="center" wrapText="1"/>
    </xf>
    <xf numFmtId="0" fontId="43" fillId="0" borderId="56" xfId="0" applyFont="1" applyBorder="1" applyAlignment="1">
      <alignment horizontal="justify" vertical="center" wrapText="1"/>
    </xf>
    <xf numFmtId="0" fontId="43" fillId="0" borderId="57" xfId="0" applyFont="1" applyBorder="1" applyAlignment="1">
      <alignment horizontal="justify" vertical="center" wrapText="1"/>
    </xf>
    <xf numFmtId="0" fontId="43" fillId="0" borderId="56" xfId="0" applyFont="1" applyBorder="1" applyAlignment="1">
      <alignment horizontal="center" vertical="center" wrapText="1"/>
    </xf>
    <xf numFmtId="0" fontId="43" fillId="0" borderId="57" xfId="0" applyFont="1" applyBorder="1" applyAlignment="1">
      <alignment horizontal="center" vertical="center" wrapText="1"/>
    </xf>
    <xf numFmtId="0" fontId="12" fillId="0" borderId="47" xfId="25" applyFont="1" applyBorder="1" applyAlignment="1">
      <alignment horizontal="left" vertical="center" wrapText="1"/>
    </xf>
    <xf numFmtId="0" fontId="12" fillId="0" borderId="11" xfId="25" applyFont="1" applyBorder="1" applyAlignment="1">
      <alignment horizontal="left" vertical="center" wrapText="1"/>
    </xf>
    <xf numFmtId="0" fontId="12" fillId="0" borderId="12" xfId="25" applyFont="1" applyBorder="1" applyAlignment="1">
      <alignment horizontal="left" vertical="center" wrapText="1"/>
    </xf>
    <xf numFmtId="0" fontId="12" fillId="0" borderId="13" xfId="25" applyFont="1" applyBorder="1" applyAlignment="1">
      <alignment horizontal="left" vertical="center" wrapText="1"/>
    </xf>
    <xf numFmtId="0" fontId="12" fillId="0" borderId="0" xfId="25" applyFont="1" applyAlignment="1">
      <alignment horizontal="left" vertical="center" wrapText="1"/>
    </xf>
    <xf numFmtId="0" fontId="12" fillId="0" borderId="14" xfId="25" applyFont="1" applyBorder="1" applyAlignment="1">
      <alignment horizontal="left" vertical="center" wrapText="1"/>
    </xf>
    <xf numFmtId="0" fontId="12" fillId="0" borderId="45" xfId="25" applyFont="1" applyBorder="1" applyAlignment="1">
      <alignment horizontal="left" vertical="center" wrapText="1"/>
    </xf>
    <xf numFmtId="0" fontId="12" fillId="0" borderId="15" xfId="25" applyFont="1" applyBorder="1" applyAlignment="1">
      <alignment horizontal="left" vertical="center" wrapText="1"/>
    </xf>
    <xf numFmtId="0" fontId="12" fillId="0" borderId="16" xfId="25" applyFont="1" applyBorder="1" applyAlignment="1">
      <alignment horizontal="left" vertical="center" wrapText="1"/>
    </xf>
    <xf numFmtId="0" fontId="12" fillId="20" borderId="2" xfId="25" applyFont="1" applyFill="1" applyBorder="1" applyAlignment="1">
      <alignment horizontal="center" vertical="center" wrapText="1"/>
    </xf>
    <xf numFmtId="0" fontId="12" fillId="20" borderId="13" xfId="25" applyFont="1" applyFill="1" applyBorder="1" applyAlignment="1">
      <alignment horizontal="center" vertical="center" wrapText="1"/>
    </xf>
    <xf numFmtId="0" fontId="12" fillId="20" borderId="0" xfId="25" applyFont="1" applyFill="1" applyAlignment="1">
      <alignment horizontal="center" vertical="center" wrapText="1"/>
    </xf>
    <xf numFmtId="0" fontId="12" fillId="20" borderId="14" xfId="25" applyFont="1" applyFill="1" applyBorder="1" applyAlignment="1">
      <alignment horizontal="center" vertical="center" wrapText="1"/>
    </xf>
    <xf numFmtId="0" fontId="12" fillId="20" borderId="45" xfId="25" applyFont="1" applyFill="1" applyBorder="1" applyAlignment="1">
      <alignment horizontal="center" vertical="center" wrapText="1"/>
    </xf>
    <xf numFmtId="0" fontId="12" fillId="20" borderId="15" xfId="25" applyFont="1" applyFill="1" applyBorder="1" applyAlignment="1">
      <alignment horizontal="center" vertical="center" wrapText="1"/>
    </xf>
    <xf numFmtId="0" fontId="12" fillId="20" borderId="16" xfId="25" applyFont="1" applyFill="1" applyBorder="1" applyAlignment="1">
      <alignment horizontal="center" vertical="center" wrapText="1"/>
    </xf>
    <xf numFmtId="0" fontId="12" fillId="19" borderId="34" xfId="25" applyFont="1" applyFill="1" applyBorder="1" applyAlignment="1">
      <alignment horizontal="center" vertical="center" wrapText="1"/>
    </xf>
    <xf numFmtId="0" fontId="12" fillId="19" borderId="48" xfId="25" applyFont="1" applyFill="1" applyBorder="1" applyAlignment="1">
      <alignment horizontal="center" vertical="center" wrapText="1"/>
    </xf>
    <xf numFmtId="0" fontId="12" fillId="19" borderId="35" xfId="25" applyFont="1" applyFill="1" applyBorder="1" applyAlignment="1">
      <alignment horizontal="center" vertical="center" wrapText="1"/>
    </xf>
    <xf numFmtId="0" fontId="12" fillId="19" borderId="49" xfId="25" applyFont="1" applyFill="1" applyBorder="1" applyAlignment="1">
      <alignment horizontal="center" vertical="center" wrapText="1"/>
    </xf>
    <xf numFmtId="0" fontId="12" fillId="20" borderId="26" xfId="25" applyFont="1" applyFill="1" applyBorder="1" applyAlignment="1">
      <alignment horizontal="center" vertical="center" wrapText="1"/>
    </xf>
    <xf numFmtId="0" fontId="12" fillId="20" borderId="21" xfId="25" applyFont="1" applyFill="1" applyBorder="1" applyAlignment="1">
      <alignment horizontal="center" vertical="center" wrapText="1"/>
    </xf>
    <xf numFmtId="0" fontId="12" fillId="19" borderId="42" xfId="25" applyFont="1" applyFill="1" applyBorder="1" applyAlignment="1">
      <alignment horizontal="center" vertical="center" wrapText="1"/>
    </xf>
    <xf numFmtId="0" fontId="12" fillId="19" borderId="43" xfId="25" applyFont="1" applyFill="1" applyBorder="1" applyAlignment="1">
      <alignment horizontal="center" vertical="center" wrapText="1"/>
    </xf>
    <xf numFmtId="0" fontId="12" fillId="19" borderId="44" xfId="25" applyFont="1" applyFill="1" applyBorder="1" applyAlignment="1">
      <alignment horizontal="center" vertical="center" wrapText="1"/>
    </xf>
    <xf numFmtId="0" fontId="12" fillId="20" borderId="23" xfId="25" applyFont="1" applyFill="1" applyBorder="1" applyAlignment="1">
      <alignment horizontal="center" vertical="center" wrapText="1"/>
    </xf>
    <xf numFmtId="0" fontId="12" fillId="20" borderId="6" xfId="25" applyFont="1" applyFill="1" applyBorder="1" applyAlignment="1">
      <alignment horizontal="center" vertical="center" wrapText="1"/>
    </xf>
    <xf numFmtId="0" fontId="12" fillId="20" borderId="59" xfId="25" applyFont="1" applyFill="1" applyBorder="1" applyAlignment="1">
      <alignment horizontal="center" vertical="center" wrapText="1"/>
    </xf>
    <xf numFmtId="0" fontId="12" fillId="20" borderId="25" xfId="25" applyFont="1" applyFill="1" applyBorder="1" applyAlignment="1">
      <alignment horizontal="center" vertical="center" wrapText="1"/>
    </xf>
    <xf numFmtId="0" fontId="12" fillId="20" borderId="20" xfId="25" applyFont="1" applyFill="1" applyBorder="1" applyAlignment="1">
      <alignment horizontal="center" vertical="center" wrapText="1"/>
    </xf>
    <xf numFmtId="0" fontId="12" fillId="20" borderId="58" xfId="25" applyFont="1" applyFill="1" applyBorder="1" applyAlignment="1">
      <alignment horizontal="center" vertical="center" wrapText="1"/>
    </xf>
    <xf numFmtId="0" fontId="12" fillId="20" borderId="60" xfId="25" applyFont="1" applyFill="1" applyBorder="1" applyAlignment="1">
      <alignment horizontal="center" vertical="center" wrapText="1"/>
    </xf>
    <xf numFmtId="0" fontId="12" fillId="20" borderId="5" xfId="25" applyFont="1" applyFill="1" applyBorder="1" applyAlignment="1">
      <alignment horizontal="center" vertical="center" wrapText="1"/>
    </xf>
    <xf numFmtId="0" fontId="12" fillId="20" borderId="9" xfId="25" applyFont="1" applyFill="1" applyBorder="1" applyAlignment="1">
      <alignment horizontal="center" vertical="center" wrapText="1"/>
    </xf>
    <xf numFmtId="0" fontId="12" fillId="20" borderId="46" xfId="25" applyFont="1" applyFill="1" applyBorder="1" applyAlignment="1">
      <alignment horizontal="center" vertical="center" wrapText="1"/>
    </xf>
    <xf numFmtId="9" fontId="12" fillId="0" borderId="42" xfId="25" applyNumberFormat="1" applyFont="1" applyBorder="1" applyAlignment="1">
      <alignment horizontal="center" vertical="center" wrapText="1"/>
    </xf>
    <xf numFmtId="9" fontId="12" fillId="0" borderId="44" xfId="25" applyNumberFormat="1" applyFont="1" applyBorder="1" applyAlignment="1">
      <alignment horizontal="center" vertical="center" wrapText="1"/>
    </xf>
    <xf numFmtId="0" fontId="12" fillId="19" borderId="15" xfId="25" applyFont="1" applyFill="1" applyBorder="1" applyAlignment="1">
      <alignment horizontal="left" vertical="center" wrapText="1"/>
    </xf>
    <xf numFmtId="0" fontId="12" fillId="0" borderId="42" xfId="25" applyFont="1" applyBorder="1" applyAlignment="1">
      <alignment horizontal="center" vertical="center" wrapText="1"/>
    </xf>
    <xf numFmtId="0" fontId="12" fillId="0" borderId="43" xfId="25" applyFont="1" applyBorder="1" applyAlignment="1">
      <alignment horizontal="center" vertical="center" wrapText="1"/>
    </xf>
    <xf numFmtId="0" fontId="12" fillId="0" borderId="44" xfId="25" applyFont="1" applyBorder="1" applyAlignment="1">
      <alignment horizontal="center" vertical="center" wrapText="1"/>
    </xf>
    <xf numFmtId="0" fontId="12" fillId="0" borderId="18" xfId="25" applyFont="1" applyBorder="1" applyAlignment="1">
      <alignment horizontal="justify" vertical="center" wrapText="1"/>
    </xf>
    <xf numFmtId="0" fontId="12" fillId="0" borderId="32" xfId="25" applyFont="1" applyBorder="1" applyAlignment="1">
      <alignment horizontal="justify" vertical="center" wrapText="1"/>
    </xf>
    <xf numFmtId="9" fontId="12" fillId="0" borderId="10" xfId="25" applyNumberFormat="1" applyFont="1" applyBorder="1" applyAlignment="1">
      <alignment horizontal="center" vertical="center" wrapText="1"/>
    </xf>
    <xf numFmtId="0" fontId="12" fillId="0" borderId="33" xfId="25" applyFont="1" applyBorder="1" applyAlignment="1">
      <alignment horizontal="center" vertical="center" wrapText="1"/>
    </xf>
    <xf numFmtId="9" fontId="11" fillId="19" borderId="59" xfId="33" applyFont="1" applyFill="1" applyBorder="1" applyAlignment="1" applyProtection="1">
      <alignment horizontal="justify" vertical="top" wrapText="1"/>
    </xf>
    <xf numFmtId="9" fontId="11" fillId="19" borderId="24" xfId="33" applyFont="1" applyFill="1" applyBorder="1" applyAlignment="1" applyProtection="1">
      <alignment horizontal="justify" vertical="top" wrapText="1"/>
    </xf>
    <xf numFmtId="9" fontId="11" fillId="19" borderId="25" xfId="33" applyFont="1" applyFill="1" applyBorder="1" applyAlignment="1" applyProtection="1">
      <alignment horizontal="justify" vertical="top" wrapText="1"/>
    </xf>
    <xf numFmtId="9" fontId="11" fillId="19" borderId="63" xfId="33" applyFont="1" applyFill="1" applyBorder="1" applyAlignment="1" applyProtection="1">
      <alignment horizontal="justify" vertical="top" wrapText="1"/>
    </xf>
    <xf numFmtId="9" fontId="11" fillId="19" borderId="15" xfId="33" applyFont="1" applyFill="1" applyBorder="1" applyAlignment="1" applyProtection="1">
      <alignment horizontal="justify" vertical="top" wrapText="1"/>
    </xf>
    <xf numFmtId="9" fontId="11" fillId="19" borderId="64" xfId="33" applyFont="1" applyFill="1" applyBorder="1" applyAlignment="1" applyProtection="1">
      <alignment horizontal="justify" vertical="top" wrapText="1"/>
    </xf>
    <xf numFmtId="9" fontId="11" fillId="19" borderId="65" xfId="33" applyFont="1" applyFill="1" applyBorder="1" applyAlignment="1" applyProtection="1">
      <alignment horizontal="justify" vertical="top" wrapText="1"/>
    </xf>
    <xf numFmtId="9" fontId="11" fillId="19" borderId="16" xfId="33" applyFont="1" applyFill="1" applyBorder="1" applyAlignment="1" applyProtection="1">
      <alignment horizontal="justify" vertical="top" wrapText="1"/>
    </xf>
    <xf numFmtId="9" fontId="11" fillId="0" borderId="24" xfId="33" applyFont="1" applyFill="1" applyBorder="1" applyAlignment="1" applyProtection="1">
      <alignment horizontal="justify" vertical="top" wrapText="1"/>
    </xf>
    <xf numFmtId="9" fontId="11" fillId="0" borderId="25" xfId="33" applyFont="1" applyFill="1" applyBorder="1" applyAlignment="1" applyProtection="1">
      <alignment horizontal="justify" vertical="top" wrapText="1"/>
    </xf>
    <xf numFmtId="9" fontId="11" fillId="0" borderId="15" xfId="33" applyFont="1" applyFill="1" applyBorder="1" applyAlignment="1" applyProtection="1">
      <alignment horizontal="justify" vertical="top" wrapText="1"/>
    </xf>
    <xf numFmtId="9" fontId="11" fillId="0" borderId="64" xfId="33" applyFont="1" applyFill="1" applyBorder="1" applyAlignment="1" applyProtection="1">
      <alignment horizontal="justify" vertical="top" wrapText="1"/>
    </xf>
    <xf numFmtId="0" fontId="12" fillId="20" borderId="49" xfId="25" applyFont="1" applyFill="1" applyBorder="1" applyAlignment="1">
      <alignment horizontal="center" vertical="center" wrapText="1"/>
    </xf>
    <xf numFmtId="0" fontId="12" fillId="20" borderId="3" xfId="25" applyFont="1" applyFill="1" applyBorder="1" applyAlignment="1">
      <alignment horizontal="center" vertical="center" wrapText="1"/>
    </xf>
    <xf numFmtId="0" fontId="12" fillId="20" borderId="7" xfId="25" applyFont="1" applyFill="1" applyBorder="1" applyAlignment="1">
      <alignment horizontal="center" vertical="center" wrapText="1"/>
    </xf>
    <xf numFmtId="9" fontId="11" fillId="0" borderId="19" xfId="25" applyNumberFormat="1" applyFont="1" applyBorder="1" applyAlignment="1">
      <alignment horizontal="center" vertical="center" wrapText="1"/>
    </xf>
    <xf numFmtId="174" fontId="11" fillId="0" borderId="1" xfId="25" applyNumberFormat="1" applyFont="1" applyBorder="1" applyAlignment="1">
      <alignment horizontal="center" vertical="center" wrapText="1"/>
    </xf>
    <xf numFmtId="9" fontId="44" fillId="19" borderId="23" xfId="25" applyNumberFormat="1" applyFont="1" applyFill="1" applyBorder="1" applyAlignment="1">
      <alignment horizontal="justify" vertical="center" wrapText="1"/>
    </xf>
    <xf numFmtId="9" fontId="44" fillId="19" borderId="24" xfId="25" applyNumberFormat="1" applyFont="1" applyFill="1" applyBorder="1" applyAlignment="1">
      <alignment horizontal="justify" vertical="center" wrapText="1"/>
    </xf>
    <xf numFmtId="9" fontId="44" fillId="19" borderId="65" xfId="25" applyNumberFormat="1" applyFont="1" applyFill="1" applyBorder="1" applyAlignment="1">
      <alignment horizontal="justify" vertical="center" wrapText="1"/>
    </xf>
    <xf numFmtId="9" fontId="44" fillId="19" borderId="6" xfId="25" applyNumberFormat="1" applyFont="1" applyFill="1" applyBorder="1" applyAlignment="1">
      <alignment horizontal="justify" vertical="center" wrapText="1"/>
    </xf>
    <xf numFmtId="9" fontId="44" fillId="19" borderId="3" xfId="25" applyNumberFormat="1" applyFont="1" applyFill="1" applyBorder="1" applyAlignment="1">
      <alignment horizontal="justify" vertical="center" wrapText="1"/>
    </xf>
    <xf numFmtId="9" fontId="44" fillId="19" borderId="7" xfId="25" applyNumberFormat="1" applyFont="1" applyFill="1" applyBorder="1" applyAlignment="1">
      <alignment horizontal="justify" vertical="center" wrapText="1"/>
    </xf>
    <xf numFmtId="2" fontId="44" fillId="0" borderId="8" xfId="25" applyNumberFormat="1" applyFont="1" applyBorder="1" applyAlignment="1">
      <alignment horizontal="justify" vertical="center" wrapText="1"/>
    </xf>
    <xf numFmtId="9" fontId="11" fillId="19" borderId="23" xfId="25" applyNumberFormat="1" applyFont="1" applyFill="1" applyBorder="1" applyAlignment="1">
      <alignment horizontal="justify" vertical="top" wrapText="1"/>
    </xf>
    <xf numFmtId="9" fontId="11" fillId="19" borderId="24" xfId="25" applyNumberFormat="1" applyFont="1" applyFill="1" applyBorder="1" applyAlignment="1">
      <alignment horizontal="justify" vertical="top" wrapText="1"/>
    </xf>
    <xf numFmtId="9" fontId="11" fillId="19" borderId="65" xfId="25" applyNumberFormat="1" applyFont="1" applyFill="1" applyBorder="1" applyAlignment="1">
      <alignment horizontal="justify" vertical="top" wrapText="1"/>
    </xf>
    <xf numFmtId="9" fontId="11" fillId="19" borderId="6" xfId="25" applyNumberFormat="1" applyFont="1" applyFill="1" applyBorder="1" applyAlignment="1">
      <alignment horizontal="justify" vertical="top" wrapText="1"/>
    </xf>
    <xf numFmtId="9" fontId="11" fillId="19" borderId="3" xfId="25" applyNumberFormat="1" applyFont="1" applyFill="1" applyBorder="1" applyAlignment="1">
      <alignment horizontal="justify" vertical="top" wrapText="1"/>
    </xf>
    <xf numFmtId="9" fontId="11" fillId="19" borderId="7" xfId="25" applyNumberFormat="1" applyFont="1" applyFill="1" applyBorder="1" applyAlignment="1">
      <alignment horizontal="justify" vertical="top" wrapText="1"/>
    </xf>
    <xf numFmtId="0" fontId="12" fillId="20" borderId="62" xfId="25" applyFont="1" applyFill="1" applyBorder="1" applyAlignment="1">
      <alignment horizontal="center" vertical="center" wrapText="1"/>
    </xf>
    <xf numFmtId="0" fontId="12" fillId="20" borderId="33" xfId="25" applyFont="1" applyFill="1" applyBorder="1" applyAlignment="1">
      <alignment horizontal="center" vertical="center" wrapText="1"/>
    </xf>
    <xf numFmtId="0" fontId="12" fillId="20" borderId="50" xfId="25" applyFont="1" applyFill="1" applyBorder="1" applyAlignment="1">
      <alignment horizontal="center" vertical="center" wrapText="1"/>
    </xf>
    <xf numFmtId="0" fontId="12" fillId="20" borderId="66" xfId="25" applyFont="1" applyFill="1" applyBorder="1" applyAlignment="1">
      <alignment horizontal="center" vertical="center" wrapText="1"/>
    </xf>
    <xf numFmtId="0" fontId="12" fillId="20" borderId="51" xfId="25" applyFont="1" applyFill="1" applyBorder="1" applyAlignment="1">
      <alignment horizontal="center" vertical="center" wrapText="1"/>
    </xf>
    <xf numFmtId="0" fontId="12" fillId="20" borderId="56" xfId="25" applyFont="1" applyFill="1" applyBorder="1" applyAlignment="1">
      <alignment horizontal="center" vertical="center" wrapText="1"/>
    </xf>
    <xf numFmtId="0" fontId="12" fillId="20" borderId="67" xfId="25" applyFont="1" applyFill="1" applyBorder="1" applyAlignment="1">
      <alignment horizontal="center" vertical="center" wrapText="1"/>
    </xf>
    <xf numFmtId="0" fontId="12" fillId="20" borderId="57" xfId="25" applyFont="1" applyFill="1" applyBorder="1" applyAlignment="1">
      <alignment horizontal="center" vertical="center" wrapText="1"/>
    </xf>
    <xf numFmtId="2" fontId="11" fillId="0" borderId="27" xfId="25" applyNumberFormat="1" applyFont="1" applyBorder="1" applyAlignment="1">
      <alignment horizontal="justify" vertical="center" wrapText="1"/>
    </xf>
    <xf numFmtId="9" fontId="11" fillId="0" borderId="4" xfId="25" applyNumberFormat="1" applyFont="1" applyBorder="1" applyAlignment="1">
      <alignment horizontal="center" vertical="center" wrapText="1"/>
    </xf>
    <xf numFmtId="9" fontId="44" fillId="19" borderId="47" xfId="25" applyNumberFormat="1" applyFont="1" applyFill="1" applyBorder="1" applyAlignment="1">
      <alignment horizontal="justify" vertical="top" wrapText="1"/>
    </xf>
    <xf numFmtId="9" fontId="44" fillId="19" borderId="11" xfId="25" applyNumberFormat="1" applyFont="1" applyFill="1" applyBorder="1" applyAlignment="1">
      <alignment horizontal="justify" vertical="top" wrapText="1"/>
    </xf>
    <xf numFmtId="9" fontId="44" fillId="19" borderId="12" xfId="25" applyNumberFormat="1" applyFont="1" applyFill="1" applyBorder="1" applyAlignment="1">
      <alignment horizontal="justify" vertical="top" wrapText="1"/>
    </xf>
    <xf numFmtId="9" fontId="44" fillId="19" borderId="6" xfId="25" applyNumberFormat="1" applyFont="1" applyFill="1" applyBorder="1" applyAlignment="1">
      <alignment horizontal="justify" vertical="top" wrapText="1"/>
    </xf>
    <xf numFmtId="9" fontId="44" fillId="19" borderId="3" xfId="25" applyNumberFormat="1" applyFont="1" applyFill="1" applyBorder="1" applyAlignment="1">
      <alignment horizontal="justify" vertical="top" wrapText="1"/>
    </xf>
    <xf numFmtId="9" fontId="44" fillId="19" borderId="7" xfId="25" applyNumberFormat="1" applyFont="1" applyFill="1" applyBorder="1" applyAlignment="1">
      <alignment horizontal="justify" vertical="top" wrapText="1"/>
    </xf>
    <xf numFmtId="2" fontId="11" fillId="0" borderId="18" xfId="25" applyNumberFormat="1" applyFont="1" applyBorder="1" applyAlignment="1">
      <alignment horizontal="center" vertical="center" wrapText="1"/>
    </xf>
    <xf numFmtId="2" fontId="11" fillId="0" borderId="27" xfId="25" applyNumberFormat="1" applyFont="1" applyBorder="1" applyAlignment="1">
      <alignment horizontal="center" vertical="center" wrapText="1"/>
    </xf>
    <xf numFmtId="2" fontId="11" fillId="0" borderId="38" xfId="25" applyNumberFormat="1" applyFont="1" applyBorder="1" applyAlignment="1">
      <alignment horizontal="center" vertical="center" wrapText="1"/>
    </xf>
    <xf numFmtId="2" fontId="11" fillId="0" borderId="4" xfId="25" applyNumberFormat="1" applyFont="1" applyBorder="1" applyAlignment="1">
      <alignment horizontal="center" vertical="center" wrapText="1"/>
    </xf>
    <xf numFmtId="0" fontId="12" fillId="20" borderId="4" xfId="25" applyFont="1" applyFill="1" applyBorder="1" applyAlignment="1">
      <alignment horizontal="center" vertical="center" wrapText="1"/>
    </xf>
    <xf numFmtId="2" fontId="11" fillId="0" borderId="10" xfId="25" applyNumberFormat="1" applyFont="1" applyBorder="1" applyAlignment="1">
      <alignment horizontal="center" vertical="center" wrapText="1"/>
    </xf>
    <xf numFmtId="2" fontId="11" fillId="0" borderId="27" xfId="25" applyNumberFormat="1" applyFont="1" applyBorder="1" applyAlignment="1">
      <alignment vertical="center" wrapText="1"/>
    </xf>
    <xf numFmtId="2" fontId="11" fillId="0" borderId="8" xfId="25" applyNumberFormat="1" applyFont="1" applyBorder="1" applyAlignment="1">
      <alignment vertical="center" wrapText="1"/>
    </xf>
    <xf numFmtId="0" fontId="12" fillId="0" borderId="18" xfId="25" applyFont="1" applyBorder="1" applyAlignment="1">
      <alignment horizontal="center" vertical="center" wrapText="1"/>
    </xf>
    <xf numFmtId="0" fontId="12" fillId="0" borderId="32" xfId="25" applyFont="1" applyBorder="1" applyAlignment="1">
      <alignment horizontal="center" vertical="center" wrapText="1"/>
    </xf>
    <xf numFmtId="0" fontId="12" fillId="0" borderId="34" xfId="25" applyFont="1" applyBorder="1" applyAlignment="1">
      <alignment horizontal="center" vertical="center" wrapText="1"/>
    </xf>
    <xf numFmtId="9" fontId="45" fillId="0" borderId="59" xfId="33" applyFont="1" applyFill="1" applyBorder="1" applyAlignment="1" applyProtection="1">
      <alignment horizontal="center" vertical="center" wrapText="1"/>
    </xf>
    <xf numFmtId="9" fontId="45" fillId="0" borderId="24" xfId="33" applyFont="1" applyFill="1" applyBorder="1" applyAlignment="1" applyProtection="1">
      <alignment horizontal="center" vertical="center" wrapText="1"/>
    </xf>
    <xf numFmtId="9" fontId="45" fillId="0" borderId="25" xfId="33" applyFont="1" applyFill="1" applyBorder="1" applyAlignment="1" applyProtection="1">
      <alignment horizontal="center" vertical="center" wrapText="1"/>
    </xf>
    <xf numFmtId="9" fontId="45" fillId="0" borderId="63" xfId="33" applyFont="1" applyFill="1" applyBorder="1" applyAlignment="1" applyProtection="1">
      <alignment horizontal="center" vertical="center" wrapText="1"/>
    </xf>
    <xf numFmtId="9" fontId="45" fillId="0" borderId="15" xfId="33" applyFont="1" applyFill="1" applyBorder="1" applyAlignment="1" applyProtection="1">
      <alignment horizontal="center" vertical="center" wrapText="1"/>
    </xf>
    <xf numFmtId="9" fontId="45" fillId="0" borderId="64" xfId="33" applyFont="1" applyFill="1" applyBorder="1" applyAlignment="1" applyProtection="1">
      <alignment horizontal="center" vertical="center" wrapText="1"/>
    </xf>
    <xf numFmtId="0" fontId="12" fillId="19" borderId="2" xfId="25" applyFont="1" applyFill="1" applyBorder="1" applyAlignment="1">
      <alignment horizontal="center" vertical="center" wrapText="1"/>
    </xf>
    <xf numFmtId="0" fontId="12" fillId="19" borderId="5" xfId="25" applyFont="1" applyFill="1" applyBorder="1" applyAlignment="1">
      <alignment horizontal="center" vertical="center" wrapText="1"/>
    </xf>
    <xf numFmtId="0" fontId="12" fillId="0" borderId="2" xfId="25" applyFont="1" applyBorder="1" applyAlignment="1">
      <alignment horizontal="center" vertical="center" wrapText="1"/>
    </xf>
    <xf numFmtId="0" fontId="12" fillId="0" borderId="22" xfId="25" applyFont="1" applyBorder="1" applyAlignment="1">
      <alignment horizontal="center" vertical="center" wrapText="1"/>
    </xf>
    <xf numFmtId="3" fontId="12" fillId="0" borderId="59" xfId="25" applyNumberFormat="1" applyFont="1" applyBorder="1" applyAlignment="1">
      <alignment horizontal="center" vertical="center" wrapText="1"/>
    </xf>
    <xf numFmtId="3" fontId="12" fillId="0" borderId="25" xfId="25" applyNumberFormat="1" applyFont="1" applyBorder="1" applyAlignment="1">
      <alignment horizontal="center" vertical="center" wrapText="1"/>
    </xf>
    <xf numFmtId="172" fontId="12" fillId="19" borderId="2" xfId="20" applyNumberFormat="1" applyFont="1" applyFill="1" applyBorder="1" applyAlignment="1" applyProtection="1">
      <alignment horizontal="center" vertical="center" wrapText="1"/>
    </xf>
    <xf numFmtId="172" fontId="12" fillId="19" borderId="5" xfId="20" applyNumberFormat="1" applyFont="1" applyFill="1" applyBorder="1" applyAlignment="1" applyProtection="1">
      <alignment horizontal="center" vertical="center" wrapText="1"/>
    </xf>
    <xf numFmtId="0" fontId="11" fillId="0" borderId="53" xfId="25" applyFont="1" applyBorder="1" applyAlignment="1">
      <alignment horizontal="center" vertical="center" wrapText="1"/>
    </xf>
    <xf numFmtId="0" fontId="11" fillId="0" borderId="54" xfId="25" applyFont="1" applyBorder="1" applyAlignment="1">
      <alignment horizontal="center" vertical="center" wrapText="1"/>
    </xf>
    <xf numFmtId="0" fontId="11" fillId="0" borderId="55" xfId="25" applyFont="1" applyBorder="1" applyAlignment="1">
      <alignment horizontal="center" vertical="center" wrapText="1"/>
    </xf>
    <xf numFmtId="0" fontId="12" fillId="29" borderId="5" xfId="0" applyFont="1" applyFill="1" applyBorder="1" applyAlignment="1">
      <alignment horizontal="left" vertical="center" wrapText="1"/>
    </xf>
    <xf numFmtId="0" fontId="12" fillId="29" borderId="1" xfId="0" applyFont="1" applyFill="1" applyBorder="1" applyAlignment="1">
      <alignment horizontal="left" vertical="center" wrapText="1"/>
    </xf>
    <xf numFmtId="0" fontId="12" fillId="29" borderId="9" xfId="0" applyFont="1" applyFill="1" applyBorder="1" applyAlignment="1">
      <alignment horizontal="left" vertical="center" wrapText="1"/>
    </xf>
    <xf numFmtId="0" fontId="48" fillId="0" borderId="41" xfId="0" applyFont="1" applyBorder="1" applyAlignment="1">
      <alignment horizontal="left" vertical="center" wrapText="1"/>
    </xf>
    <xf numFmtId="0" fontId="48" fillId="0" borderId="19" xfId="0" applyFont="1" applyBorder="1" applyAlignment="1">
      <alignment horizontal="left" vertical="center" wrapText="1"/>
    </xf>
    <xf numFmtId="0" fontId="48" fillId="0" borderId="37" xfId="0" applyFont="1" applyBorder="1" applyAlignment="1">
      <alignment horizontal="left" vertical="center" wrapText="1"/>
    </xf>
    <xf numFmtId="0" fontId="12" fillId="20" borderId="47" xfId="25" applyFont="1" applyFill="1" applyBorder="1" applyAlignment="1">
      <alignment horizontal="center" vertical="center" wrapText="1"/>
    </xf>
    <xf numFmtId="0" fontId="12" fillId="20" borderId="11" xfId="25" applyFont="1" applyFill="1" applyBorder="1" applyAlignment="1">
      <alignment horizontal="center" vertical="center" wrapText="1"/>
    </xf>
    <xf numFmtId="0" fontId="12" fillId="20" borderId="12" xfId="25" applyFont="1" applyFill="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12" fillId="0" borderId="13" xfId="25" applyFont="1" applyBorder="1" applyAlignment="1">
      <alignment horizontal="center" vertical="center" wrapText="1"/>
    </xf>
    <xf numFmtId="0" fontId="12" fillId="0" borderId="0" xfId="25" applyFont="1" applyAlignment="1">
      <alignment horizontal="center" vertical="center" wrapText="1"/>
    </xf>
    <xf numFmtId="0" fontId="12" fillId="0" borderId="14" xfId="25" applyFont="1" applyBorder="1" applyAlignment="1">
      <alignment horizontal="center" vertical="center" wrapText="1"/>
    </xf>
    <xf numFmtId="0" fontId="12" fillId="0" borderId="45" xfId="25" applyFont="1" applyBorder="1" applyAlignment="1">
      <alignment horizontal="center" vertical="center" wrapText="1"/>
    </xf>
    <xf numFmtId="0" fontId="12" fillId="0" borderId="15" xfId="25" applyFont="1" applyBorder="1" applyAlignment="1">
      <alignment horizontal="center" vertical="center" wrapText="1"/>
    </xf>
    <xf numFmtId="0" fontId="12" fillId="0" borderId="16" xfId="25" applyFont="1" applyBorder="1" applyAlignment="1">
      <alignment horizontal="center" vertical="center" wrapText="1"/>
    </xf>
    <xf numFmtId="0" fontId="12" fillId="0" borderId="47" xfId="25" applyFont="1" applyBorder="1" applyAlignment="1">
      <alignment horizontal="center" vertical="center" wrapText="1"/>
    </xf>
    <xf numFmtId="0" fontId="12" fillId="0" borderId="11" xfId="25" applyFont="1" applyBorder="1" applyAlignment="1">
      <alignment horizontal="center" vertical="center" wrapText="1"/>
    </xf>
    <xf numFmtId="0" fontId="12" fillId="0" borderId="12" xfId="25" applyFont="1" applyBorder="1" applyAlignment="1">
      <alignment horizontal="center" vertical="center" wrapText="1"/>
    </xf>
    <xf numFmtId="0" fontId="12" fillId="0" borderId="48" xfId="0" applyFont="1" applyBorder="1" applyAlignment="1">
      <alignment horizontal="left" vertical="center" wrapText="1"/>
    </xf>
    <xf numFmtId="0" fontId="12" fillId="0" borderId="35" xfId="0" applyFont="1" applyBorder="1" applyAlignment="1">
      <alignment horizontal="left" vertical="center" wrapText="1"/>
    </xf>
    <xf numFmtId="0" fontId="12" fillId="0" borderId="49" xfId="0" applyFont="1" applyBorder="1" applyAlignment="1">
      <alignment horizontal="left" vertical="center" wrapText="1"/>
    </xf>
    <xf numFmtId="0" fontId="0" fillId="0" borderId="52" xfId="0" applyBorder="1" applyAlignment="1">
      <alignment horizontal="center" vertical="center"/>
    </xf>
    <xf numFmtId="0" fontId="0" fillId="0" borderId="22"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2" fontId="11" fillId="0" borderId="18" xfId="25" applyNumberFormat="1" applyFont="1" applyBorder="1" applyAlignment="1">
      <alignment vertical="center" wrapText="1"/>
    </xf>
    <xf numFmtId="0" fontId="0" fillId="0" borderId="32" xfId="0" applyBorder="1" applyAlignment="1">
      <alignment vertical="center" wrapText="1"/>
    </xf>
    <xf numFmtId="0" fontId="12" fillId="19" borderId="0" xfId="25" applyFont="1" applyFill="1" applyAlignment="1">
      <alignment horizontal="center" vertical="center" wrapText="1"/>
    </xf>
    <xf numFmtId="0" fontId="12" fillId="20" borderId="29" xfId="25" applyFont="1" applyFill="1" applyBorder="1" applyAlignment="1">
      <alignment horizontal="center" vertical="center" wrapText="1"/>
    </xf>
    <xf numFmtId="0" fontId="12" fillId="20" borderId="30" xfId="25" applyFont="1" applyFill="1" applyBorder="1" applyAlignment="1">
      <alignment horizontal="center" vertical="center" wrapText="1"/>
    </xf>
    <xf numFmtId="0" fontId="12" fillId="20" borderId="31" xfId="25" applyFont="1" applyFill="1" applyBorder="1" applyAlignment="1">
      <alignment horizontal="center" vertical="center" wrapText="1"/>
    </xf>
    <xf numFmtId="172" fontId="12" fillId="19" borderId="2" xfId="20" applyNumberFormat="1" applyFont="1" applyFill="1" applyBorder="1" applyAlignment="1" applyProtection="1">
      <alignment horizontal="center" vertical="center"/>
    </xf>
    <xf numFmtId="172" fontId="12" fillId="19" borderId="5" xfId="20" applyNumberFormat="1" applyFont="1" applyFill="1" applyBorder="1" applyAlignment="1" applyProtection="1">
      <alignment horizontal="center" vertical="center"/>
    </xf>
    <xf numFmtId="0" fontId="12" fillId="20" borderId="22" xfId="25" applyFont="1" applyFill="1" applyBorder="1" applyAlignment="1">
      <alignment horizontal="center" vertical="center" wrapText="1"/>
    </xf>
    <xf numFmtId="9" fontId="45" fillId="0" borderId="59" xfId="25" applyNumberFormat="1" applyFont="1" applyBorder="1" applyAlignment="1">
      <alignment horizontal="left" vertical="center" wrapText="1"/>
    </xf>
    <xf numFmtId="9" fontId="45" fillId="0" borderId="24" xfId="25" applyNumberFormat="1" applyFont="1" applyBorder="1" applyAlignment="1">
      <alignment horizontal="left" vertical="center" wrapText="1"/>
    </xf>
    <xf numFmtId="9" fontId="45" fillId="0" borderId="65" xfId="25" applyNumberFormat="1" applyFont="1" applyBorder="1" applyAlignment="1">
      <alignment horizontal="left" vertical="center" wrapText="1"/>
    </xf>
    <xf numFmtId="9" fontId="45" fillId="0" borderId="68" xfId="25" applyNumberFormat="1" applyFont="1" applyBorder="1" applyAlignment="1">
      <alignment horizontal="left" vertical="center" wrapText="1"/>
    </xf>
    <xf numFmtId="9" fontId="45" fillId="0" borderId="0" xfId="25" applyNumberFormat="1" applyFont="1" applyAlignment="1">
      <alignment horizontal="left" vertical="center" wrapText="1"/>
    </xf>
    <xf numFmtId="9" fontId="45" fillId="0" borderId="14" xfId="25" applyNumberFormat="1" applyFont="1" applyBorder="1" applyAlignment="1">
      <alignment horizontal="left" vertical="center" wrapText="1"/>
    </xf>
    <xf numFmtId="0" fontId="49" fillId="0" borderId="53" xfId="0" applyFont="1" applyBorder="1" applyAlignment="1">
      <alignment horizontal="center" vertical="center"/>
    </xf>
    <xf numFmtId="0" fontId="49" fillId="0" borderId="55" xfId="0" applyFont="1" applyBorder="1" applyAlignment="1">
      <alignment horizontal="center" vertical="center"/>
    </xf>
    <xf numFmtId="2" fontId="11" fillId="0" borderId="33" xfId="25" applyNumberFormat="1" applyFont="1" applyBorder="1" applyAlignment="1">
      <alignment horizontal="center" vertical="center" wrapText="1"/>
    </xf>
    <xf numFmtId="0" fontId="11" fillId="0" borderId="42" xfId="25" applyFont="1" applyBorder="1" applyAlignment="1">
      <alignment horizontal="center" vertical="center" wrapText="1"/>
    </xf>
    <xf numFmtId="0" fontId="11" fillId="0" borderId="43" xfId="25" applyFont="1" applyBorder="1" applyAlignment="1">
      <alignment horizontal="center" vertical="center" wrapText="1"/>
    </xf>
    <xf numFmtId="0" fontId="11" fillId="0" borderId="44" xfId="25" applyFont="1" applyBorder="1" applyAlignment="1">
      <alignment horizontal="center" vertical="center" wrapText="1"/>
    </xf>
    <xf numFmtId="9" fontId="45" fillId="0" borderId="59" xfId="25" applyNumberFormat="1" applyFont="1" applyBorder="1" applyAlignment="1">
      <alignment horizontal="center" vertical="center" wrapText="1"/>
    </xf>
    <xf numFmtId="9" fontId="45" fillId="0" borderId="24" xfId="25" applyNumberFormat="1" applyFont="1" applyBorder="1" applyAlignment="1">
      <alignment horizontal="center" vertical="center" wrapText="1"/>
    </xf>
    <xf numFmtId="9" fontId="45" fillId="0" borderId="65" xfId="25" applyNumberFormat="1" applyFont="1" applyBorder="1" applyAlignment="1">
      <alignment horizontal="center" vertical="center" wrapText="1"/>
    </xf>
    <xf numFmtId="9" fontId="45" fillId="0" borderId="63" xfId="25" applyNumberFormat="1" applyFont="1" applyBorder="1" applyAlignment="1">
      <alignment horizontal="center" vertical="center" wrapText="1"/>
    </xf>
    <xf numFmtId="9" fontId="45" fillId="0" borderId="15" xfId="25" applyNumberFormat="1" applyFont="1" applyBorder="1" applyAlignment="1">
      <alignment horizontal="center" vertical="center" wrapText="1"/>
    </xf>
    <xf numFmtId="9" fontId="45" fillId="0" borderId="16" xfId="25" applyNumberFormat="1" applyFont="1" applyBorder="1" applyAlignment="1">
      <alignment horizontal="center" vertical="center" wrapText="1"/>
    </xf>
    <xf numFmtId="9" fontId="45" fillId="0" borderId="68" xfId="25" applyNumberFormat="1" applyFont="1" applyBorder="1" applyAlignment="1">
      <alignment horizontal="center" vertical="center" wrapText="1"/>
    </xf>
    <xf numFmtId="9" fontId="45" fillId="0" borderId="0" xfId="25" applyNumberFormat="1" applyFont="1" applyAlignment="1">
      <alignment horizontal="center" vertical="center" wrapText="1"/>
    </xf>
    <xf numFmtId="9" fontId="45" fillId="0" borderId="14" xfId="25" applyNumberFormat="1" applyFont="1" applyBorder="1" applyAlignment="1">
      <alignment horizontal="center" vertical="center" wrapText="1"/>
    </xf>
    <xf numFmtId="0" fontId="12" fillId="0" borderId="47" xfId="25" applyFont="1" applyBorder="1" applyAlignment="1">
      <alignment horizontal="center" vertical="center"/>
    </xf>
    <xf numFmtId="0" fontId="12" fillId="0" borderId="11" xfId="25" applyFont="1" applyBorder="1" applyAlignment="1">
      <alignment horizontal="center" vertical="center"/>
    </xf>
    <xf numFmtId="0" fontId="12" fillId="0" borderId="12" xfId="25" applyFont="1" applyBorder="1" applyAlignment="1">
      <alignment horizontal="center" vertical="center"/>
    </xf>
    <xf numFmtId="0" fontId="12" fillId="0" borderId="13" xfId="25" applyFont="1" applyBorder="1" applyAlignment="1">
      <alignment horizontal="center" vertical="center"/>
    </xf>
    <xf numFmtId="0" fontId="12" fillId="0" borderId="0" xfId="25" applyFont="1" applyAlignment="1">
      <alignment horizontal="center" vertical="center"/>
    </xf>
    <xf numFmtId="0" fontId="12" fillId="0" borderId="14" xfId="25" applyFont="1" applyBorder="1" applyAlignment="1">
      <alignment horizontal="center" vertical="center"/>
    </xf>
    <xf numFmtId="9" fontId="45" fillId="0" borderId="65" xfId="33" applyFont="1" applyFill="1" applyBorder="1" applyAlignment="1" applyProtection="1">
      <alignment horizontal="center" vertical="center" wrapText="1"/>
    </xf>
    <xf numFmtId="9" fontId="45" fillId="0" borderId="16" xfId="33" applyFont="1" applyFill="1" applyBorder="1" applyAlignment="1" applyProtection="1">
      <alignment horizontal="center" vertical="center" wrapText="1"/>
    </xf>
    <xf numFmtId="0" fontId="12" fillId="0" borderId="60" xfId="25" applyFont="1" applyBorder="1" applyAlignment="1">
      <alignment horizontal="center" vertical="center" wrapText="1"/>
    </xf>
    <xf numFmtId="0" fontId="12" fillId="0" borderId="5" xfId="25" applyFont="1" applyBorder="1" applyAlignment="1">
      <alignment horizontal="center" vertical="center" wrapText="1"/>
    </xf>
    <xf numFmtId="0" fontId="12" fillId="19" borderId="6" xfId="25" applyFont="1" applyFill="1" applyBorder="1" applyAlignment="1">
      <alignment horizontal="center" vertical="center" wrapText="1"/>
    </xf>
    <xf numFmtId="0" fontId="12" fillId="19" borderId="3" xfId="25" applyFont="1" applyFill="1" applyBorder="1" applyAlignment="1">
      <alignment horizontal="center" vertical="center" wrapText="1"/>
    </xf>
    <xf numFmtId="0" fontId="12" fillId="19" borderId="58" xfId="25" applyFont="1" applyFill="1" applyBorder="1" applyAlignment="1">
      <alignment horizontal="center" vertical="center" wrapText="1"/>
    </xf>
    <xf numFmtId="0" fontId="43" fillId="0" borderId="52" xfId="0" applyFont="1" applyBorder="1" applyAlignment="1">
      <alignment horizontal="center" vertical="center" wrapText="1"/>
    </xf>
    <xf numFmtId="0" fontId="43" fillId="0" borderId="22" xfId="0" applyFont="1" applyBorder="1" applyAlignment="1">
      <alignment horizontal="center" vertical="center" wrapText="1"/>
    </xf>
    <xf numFmtId="0" fontId="12" fillId="0" borderId="10" xfId="25" applyFont="1" applyBorder="1" applyAlignment="1">
      <alignment horizontal="center" vertical="center" wrapText="1"/>
    </xf>
    <xf numFmtId="0" fontId="12" fillId="19" borderId="20" xfId="25" applyFont="1" applyFill="1" applyBorder="1" applyAlignment="1">
      <alignment horizontal="center" vertical="center" wrapText="1"/>
    </xf>
    <xf numFmtId="0" fontId="12" fillId="19" borderId="7" xfId="25" applyFont="1" applyFill="1" applyBorder="1" applyAlignment="1">
      <alignment horizontal="center" vertical="center" wrapText="1"/>
    </xf>
    <xf numFmtId="0" fontId="49" fillId="0" borderId="47" xfId="0" applyFont="1" applyBorder="1" applyAlignment="1">
      <alignment horizontal="center" vertical="center"/>
    </xf>
    <xf numFmtId="0" fontId="49" fillId="0" borderId="12" xfId="0" applyFont="1" applyBorder="1" applyAlignment="1">
      <alignment horizontal="center" vertical="center"/>
    </xf>
    <xf numFmtId="0" fontId="49" fillId="0" borderId="13" xfId="0" applyFont="1" applyBorder="1" applyAlignment="1">
      <alignment horizontal="center" vertical="center"/>
    </xf>
    <xf numFmtId="0" fontId="49" fillId="0" borderId="14" xfId="0" applyFont="1" applyBorder="1" applyAlignment="1">
      <alignment horizontal="center" vertical="center"/>
    </xf>
    <xf numFmtId="0" fontId="49" fillId="0" borderId="45" xfId="0" applyFont="1" applyBorder="1" applyAlignment="1">
      <alignment horizontal="center" vertical="center"/>
    </xf>
    <xf numFmtId="0" fontId="49" fillId="0" borderId="16" xfId="0" applyFont="1" applyBorder="1" applyAlignment="1">
      <alignment horizontal="center" vertical="center"/>
    </xf>
    <xf numFmtId="0" fontId="15" fillId="0" borderId="42" xfId="25" applyFont="1" applyBorder="1" applyAlignment="1">
      <alignment horizontal="center" vertical="center" wrapText="1"/>
    </xf>
    <xf numFmtId="0" fontId="15" fillId="0" borderId="43" xfId="25" applyFont="1" applyBorder="1" applyAlignment="1">
      <alignment horizontal="center" vertical="center" wrapText="1"/>
    </xf>
    <xf numFmtId="0" fontId="15" fillId="0" borderId="44" xfId="25" applyFont="1" applyBorder="1" applyAlignment="1">
      <alignment horizontal="center" vertical="center" wrapText="1"/>
    </xf>
    <xf numFmtId="172" fontId="12" fillId="19" borderId="56" xfId="20" applyNumberFormat="1" applyFont="1" applyFill="1" applyBorder="1" applyAlignment="1" applyProtection="1">
      <alignment horizontal="center" vertical="center" wrapText="1"/>
    </xf>
    <xf numFmtId="172" fontId="12" fillId="19" borderId="67" xfId="20" applyNumberFormat="1" applyFont="1" applyFill="1" applyBorder="1" applyAlignment="1" applyProtection="1">
      <alignment horizontal="center" vertical="center" wrapText="1"/>
    </xf>
    <xf numFmtId="172" fontId="12" fillId="19" borderId="41" xfId="20" applyNumberFormat="1" applyFont="1" applyFill="1" applyBorder="1" applyAlignment="1" applyProtection="1">
      <alignment horizontal="center" vertical="center" wrapText="1"/>
    </xf>
    <xf numFmtId="0" fontId="12" fillId="19" borderId="52" xfId="25" applyFont="1" applyFill="1" applyBorder="1" applyAlignment="1">
      <alignment horizontal="center" vertical="center" wrapText="1"/>
    </xf>
    <xf numFmtId="0" fontId="12" fillId="19" borderId="60" xfId="25" applyFont="1" applyFill="1" applyBorder="1" applyAlignment="1">
      <alignment horizontal="center" vertical="center" wrapText="1"/>
    </xf>
    <xf numFmtId="172" fontId="12" fillId="0" borderId="2" xfId="20" applyNumberFormat="1" applyFont="1" applyFill="1" applyBorder="1" applyAlignment="1" applyProtection="1">
      <alignment horizontal="center" vertical="center" wrapText="1"/>
    </xf>
    <xf numFmtId="172" fontId="12" fillId="0" borderId="22" xfId="20" applyNumberFormat="1" applyFont="1" applyFill="1" applyBorder="1" applyAlignment="1" applyProtection="1">
      <alignment horizontal="center" vertical="center" wrapText="1"/>
    </xf>
    <xf numFmtId="172" fontId="12" fillId="19" borderId="21" xfId="20" applyNumberFormat="1" applyFont="1" applyFill="1" applyBorder="1" applyAlignment="1" applyProtection="1">
      <alignment horizontal="center" vertical="center" wrapText="1"/>
    </xf>
    <xf numFmtId="0" fontId="11" fillId="0" borderId="88" xfId="0" applyFont="1" applyBorder="1" applyAlignment="1">
      <alignment horizontal="justify" vertical="center" wrapText="1"/>
    </xf>
    <xf numFmtId="0" fontId="11" fillId="0" borderId="88" xfId="0" applyFont="1" applyBorder="1" applyAlignment="1">
      <alignment vertical="center"/>
    </xf>
    <xf numFmtId="0" fontId="11" fillId="0" borderId="90" xfId="0" applyFont="1" applyBorder="1" applyAlignment="1">
      <alignment vertical="center"/>
    </xf>
    <xf numFmtId="0" fontId="11" fillId="0" borderId="91" xfId="0" applyFont="1" applyBorder="1" applyAlignment="1">
      <alignment vertical="center"/>
    </xf>
    <xf numFmtId="9" fontId="11" fillId="19" borderId="2" xfId="25" applyNumberFormat="1" applyFont="1" applyFill="1" applyBorder="1" applyAlignment="1">
      <alignment horizontal="center" vertical="center" wrapText="1"/>
    </xf>
    <xf numFmtId="9" fontId="11" fillId="0" borderId="2" xfId="25" applyNumberFormat="1" applyFont="1" applyBorder="1" applyAlignment="1">
      <alignment horizontal="center" vertical="center" wrapText="1"/>
    </xf>
    <xf numFmtId="2" fontId="11" fillId="19" borderId="8" xfId="25" applyNumberFormat="1" applyFont="1" applyFill="1" applyBorder="1" applyAlignment="1">
      <alignment horizontal="justify" vertical="center" wrapText="1"/>
    </xf>
    <xf numFmtId="0" fontId="0" fillId="19" borderId="8" xfId="0" applyFill="1" applyBorder="1" applyAlignment="1">
      <alignment horizontal="justify" vertical="center" wrapText="1"/>
    </xf>
    <xf numFmtId="9" fontId="11" fillId="19" borderId="5" xfId="25" applyNumberFormat="1" applyFont="1" applyFill="1" applyBorder="1" applyAlignment="1">
      <alignment horizontal="justify" vertical="top" wrapText="1"/>
    </xf>
    <xf numFmtId="9" fontId="11" fillId="19" borderId="1" xfId="25" applyNumberFormat="1" applyFont="1" applyFill="1" applyBorder="1" applyAlignment="1">
      <alignment horizontal="justify" vertical="top" wrapText="1"/>
    </xf>
    <xf numFmtId="9" fontId="11" fillId="19" borderId="9" xfId="25" applyNumberFormat="1" applyFont="1" applyFill="1" applyBorder="1" applyAlignment="1">
      <alignment horizontal="justify" vertical="top" wrapText="1"/>
    </xf>
    <xf numFmtId="9" fontId="11" fillId="19" borderId="5" xfId="25" applyNumberFormat="1" applyFont="1" applyFill="1" applyBorder="1" applyAlignment="1">
      <alignment horizontal="justify" vertical="center" wrapText="1"/>
    </xf>
    <xf numFmtId="9" fontId="11" fillId="19" borderId="1" xfId="25" applyNumberFormat="1" applyFont="1" applyFill="1" applyBorder="1" applyAlignment="1">
      <alignment horizontal="justify" vertical="center" wrapText="1"/>
    </xf>
    <xf numFmtId="9" fontId="11" fillId="19" borderId="9" xfId="25" applyNumberFormat="1" applyFont="1" applyFill="1" applyBorder="1" applyAlignment="1">
      <alignment horizontal="justify" vertical="center" wrapText="1"/>
    </xf>
    <xf numFmtId="0" fontId="12" fillId="20" borderId="61" xfId="25" applyFont="1" applyFill="1" applyBorder="1" applyAlignment="1">
      <alignment horizontal="center" vertical="center" wrapText="1"/>
    </xf>
    <xf numFmtId="0" fontId="12" fillId="20" borderId="32" xfId="25" applyFont="1" applyFill="1" applyBorder="1" applyAlignment="1">
      <alignment horizontal="center" vertical="center" wrapText="1"/>
    </xf>
    <xf numFmtId="0" fontId="12" fillId="20" borderId="69" xfId="25" applyFont="1" applyFill="1" applyBorder="1" applyAlignment="1">
      <alignment horizontal="center" vertical="center" wrapText="1"/>
    </xf>
    <xf numFmtId="0" fontId="12" fillId="20" borderId="63" xfId="25" applyFont="1" applyFill="1" applyBorder="1" applyAlignment="1">
      <alignment horizontal="center" vertical="center" wrapText="1"/>
    </xf>
    <xf numFmtId="9" fontId="11" fillId="19" borderId="58" xfId="25" applyNumberFormat="1" applyFont="1" applyFill="1" applyBorder="1" applyAlignment="1">
      <alignment horizontal="justify" vertical="center" wrapText="1"/>
    </xf>
    <xf numFmtId="9" fontId="11" fillId="19" borderId="4" xfId="25" applyNumberFormat="1" applyFont="1" applyFill="1" applyBorder="1" applyAlignment="1">
      <alignment horizontal="justify" vertical="center" wrapText="1"/>
    </xf>
    <xf numFmtId="9" fontId="11" fillId="19" borderId="28" xfId="25" applyNumberFormat="1" applyFont="1" applyFill="1" applyBorder="1" applyAlignment="1">
      <alignment horizontal="justify" vertical="center" wrapText="1"/>
    </xf>
    <xf numFmtId="9" fontId="11" fillId="0" borderId="20" xfId="25" applyNumberFormat="1" applyFont="1" applyBorder="1" applyAlignment="1">
      <alignment horizontal="center" vertical="center" wrapText="1"/>
    </xf>
    <xf numFmtId="0" fontId="12" fillId="0" borderId="42" xfId="25" applyFont="1" applyBorder="1" applyAlignment="1">
      <alignment horizontal="left" vertical="center" wrapText="1"/>
    </xf>
    <xf numFmtId="0" fontId="12" fillId="0" borderId="43" xfId="25" applyFont="1" applyBorder="1" applyAlignment="1">
      <alignment horizontal="left" vertical="center" wrapText="1"/>
    </xf>
    <xf numFmtId="0" fontId="12" fillId="0" borderId="44" xfId="25" applyFont="1" applyBorder="1" applyAlignment="1">
      <alignment horizontal="left" vertical="center" wrapText="1"/>
    </xf>
    <xf numFmtId="0" fontId="12" fillId="0" borderId="26" xfId="25" applyFont="1" applyBorder="1" applyAlignment="1">
      <alignment horizontal="center" vertical="center" wrapText="1"/>
    </xf>
    <xf numFmtId="0" fontId="12" fillId="0" borderId="19" xfId="25" applyFont="1" applyBorder="1" applyAlignment="1">
      <alignment horizontal="center" vertical="center" wrapText="1"/>
    </xf>
    <xf numFmtId="0" fontId="12" fillId="0" borderId="37" xfId="25" applyFont="1" applyBorder="1" applyAlignment="1">
      <alignment horizontal="center" vertical="center" wrapText="1"/>
    </xf>
    <xf numFmtId="0" fontId="55" fillId="0" borderId="50" xfId="0" applyFont="1" applyBorder="1" applyAlignment="1">
      <alignment horizontal="center" vertical="center" wrapText="1"/>
    </xf>
    <xf numFmtId="0" fontId="55" fillId="0" borderId="51" xfId="0" applyFont="1" applyBorder="1" applyAlignment="1">
      <alignment horizontal="center" vertical="center" wrapText="1"/>
    </xf>
    <xf numFmtId="2" fontId="11" fillId="0" borderId="26" xfId="25" applyNumberFormat="1" applyFont="1" applyBorder="1" applyAlignment="1">
      <alignment horizontal="justify" vertical="center" wrapText="1"/>
    </xf>
    <xf numFmtId="9" fontId="11" fillId="19" borderId="41" xfId="25" applyNumberFormat="1" applyFont="1" applyFill="1" applyBorder="1" applyAlignment="1">
      <alignment horizontal="justify" vertical="top" wrapText="1"/>
    </xf>
    <xf numFmtId="9" fontId="11" fillId="19" borderId="19" xfId="25" applyNumberFormat="1" applyFont="1" applyFill="1" applyBorder="1" applyAlignment="1">
      <alignment horizontal="justify" vertical="top" wrapText="1"/>
    </xf>
    <xf numFmtId="9" fontId="11" fillId="19" borderId="37" xfId="25" applyNumberFormat="1" applyFont="1" applyFill="1" applyBorder="1" applyAlignment="1">
      <alignment horizontal="justify" vertical="top" wrapText="1"/>
    </xf>
    <xf numFmtId="9" fontId="11" fillId="0" borderId="21" xfId="25" applyNumberFormat="1" applyFont="1" applyBorder="1" applyAlignment="1">
      <alignment horizontal="center" vertical="center" wrapText="1"/>
    </xf>
    <xf numFmtId="0" fontId="24" fillId="0" borderId="0" xfId="0" applyFont="1" applyAlignment="1">
      <alignment horizontal="justify" vertical="center" wrapText="1"/>
    </xf>
    <xf numFmtId="174" fontId="11" fillId="0" borderId="0" xfId="0" applyNumberFormat="1" applyFont="1" applyAlignment="1">
      <alignment vertical="center"/>
    </xf>
    <xf numFmtId="9" fontId="24" fillId="0" borderId="92" xfId="0" applyNumberFormat="1" applyFont="1" applyBorder="1" applyAlignment="1">
      <alignment horizontal="justify" vertical="center" wrapText="1"/>
    </xf>
    <xf numFmtId="0" fontId="24" fillId="0" borderId="93" xfId="0" applyFont="1" applyBorder="1" applyAlignment="1">
      <alignment horizontal="justify" vertical="center" wrapText="1"/>
    </xf>
    <xf numFmtId="174" fontId="11" fillId="0" borderId="88" xfId="0" applyNumberFormat="1" applyFont="1" applyBorder="1" applyAlignment="1">
      <alignment vertical="center"/>
    </xf>
    <xf numFmtId="0" fontId="24" fillId="0" borderId="94" xfId="0" applyFont="1" applyBorder="1" applyAlignment="1">
      <alignment horizontal="justify" vertical="center" wrapText="1"/>
    </xf>
    <xf numFmtId="174" fontId="11" fillId="0" borderId="95" xfId="0" applyNumberFormat="1" applyFont="1" applyBorder="1" applyAlignment="1">
      <alignment vertical="center"/>
    </xf>
    <xf numFmtId="0" fontId="23" fillId="26" borderId="96" xfId="0" applyFont="1" applyFill="1" applyBorder="1" applyAlignment="1">
      <alignment horizontal="justify" vertical="center" wrapText="1"/>
    </xf>
    <xf numFmtId="0" fontId="11" fillId="0" borderId="93" xfId="0" applyFont="1" applyBorder="1" applyAlignment="1">
      <alignment horizontal="justify" vertical="center" wrapText="1"/>
    </xf>
    <xf numFmtId="0" fontId="23" fillId="26" borderId="97" xfId="0" applyFont="1" applyFill="1" applyBorder="1" applyAlignment="1">
      <alignment horizontal="center" vertical="center" wrapText="1"/>
    </xf>
    <xf numFmtId="0" fontId="23" fillId="26" borderId="98" xfId="0" applyFont="1" applyFill="1" applyBorder="1" applyAlignment="1">
      <alignment horizontal="center" vertical="center" wrapText="1"/>
    </xf>
    <xf numFmtId="0" fontId="11" fillId="0" borderId="99" xfId="0" applyFont="1" applyBorder="1" applyAlignment="1">
      <alignment vertical="center"/>
    </xf>
    <xf numFmtId="0" fontId="11" fillId="0" borderId="100" xfId="0" applyFont="1" applyBorder="1" applyAlignment="1">
      <alignment vertical="center"/>
    </xf>
    <xf numFmtId="9" fontId="24" fillId="0" borderId="93" xfId="0" applyNumberFormat="1" applyFont="1" applyBorder="1" applyAlignment="1">
      <alignment horizontal="justify" vertical="center" wrapText="1"/>
    </xf>
    <xf numFmtId="9" fontId="11" fillId="0" borderId="88" xfId="0" applyNumberFormat="1" applyFont="1" applyBorder="1" applyAlignment="1">
      <alignment vertical="center"/>
    </xf>
    <xf numFmtId="9" fontId="60" fillId="19" borderId="5" xfId="25" applyNumberFormat="1" applyFont="1" applyFill="1" applyBorder="1" applyAlignment="1">
      <alignment horizontal="left" vertical="top" wrapText="1"/>
    </xf>
    <xf numFmtId="9" fontId="11" fillId="19" borderId="1" xfId="25" applyNumberFormat="1" applyFont="1" applyFill="1" applyBorder="1" applyAlignment="1">
      <alignment horizontal="left" vertical="top" wrapText="1"/>
    </xf>
    <xf numFmtId="9" fontId="11" fillId="19" borderId="9" xfId="25" applyNumberFormat="1" applyFont="1" applyFill="1" applyBorder="1" applyAlignment="1">
      <alignment horizontal="left" vertical="top" wrapText="1"/>
    </xf>
    <xf numFmtId="9" fontId="11" fillId="19" borderId="41" xfId="25" applyNumberFormat="1" applyFont="1" applyFill="1" applyBorder="1" applyAlignment="1">
      <alignment horizontal="left" vertical="top" wrapText="1"/>
    </xf>
    <xf numFmtId="9" fontId="11" fillId="19" borderId="19" xfId="25" applyNumberFormat="1" applyFont="1" applyFill="1" applyBorder="1" applyAlignment="1">
      <alignment horizontal="left" vertical="top" wrapText="1"/>
    </xf>
    <xf numFmtId="9" fontId="11" fillId="19" borderId="37" xfId="25" applyNumberFormat="1" applyFont="1" applyFill="1" applyBorder="1" applyAlignment="1">
      <alignment horizontal="left" vertical="top" wrapText="1"/>
    </xf>
    <xf numFmtId="9" fontId="60" fillId="19" borderId="24" xfId="25" applyNumberFormat="1" applyFont="1" applyFill="1" applyBorder="1" applyAlignment="1">
      <alignment horizontal="left" vertical="top" wrapText="1"/>
    </xf>
    <xf numFmtId="9" fontId="11" fillId="19" borderId="24" xfId="25" applyNumberFormat="1" applyFont="1" applyFill="1" applyBorder="1" applyAlignment="1">
      <alignment horizontal="left" vertical="top" wrapText="1"/>
    </xf>
    <xf numFmtId="9" fontId="11" fillId="19" borderId="65" xfId="25" applyNumberFormat="1" applyFont="1" applyFill="1" applyBorder="1" applyAlignment="1">
      <alignment horizontal="left" vertical="top" wrapText="1"/>
    </xf>
    <xf numFmtId="9" fontId="11" fillId="19" borderId="0" xfId="25" applyNumberFormat="1" applyFont="1" applyFill="1" applyAlignment="1">
      <alignment horizontal="left" vertical="top" wrapText="1"/>
    </xf>
    <xf numFmtId="9" fontId="11" fillId="19" borderId="14" xfId="25" applyNumberFormat="1" applyFont="1" applyFill="1" applyBorder="1" applyAlignment="1">
      <alignment horizontal="left" vertical="top" wrapText="1"/>
    </xf>
    <xf numFmtId="0" fontId="44" fillId="19" borderId="26" xfId="0" applyFont="1" applyFill="1" applyBorder="1" applyAlignment="1">
      <alignment horizontal="justify" vertical="center" wrapText="1"/>
    </xf>
    <xf numFmtId="2" fontId="11" fillId="19" borderId="27" xfId="25" applyNumberFormat="1" applyFont="1" applyFill="1" applyBorder="1" applyAlignment="1">
      <alignment horizontal="justify" vertical="center" wrapText="1"/>
    </xf>
    <xf numFmtId="9" fontId="60" fillId="19" borderId="0" xfId="25" applyNumberFormat="1" applyFont="1" applyFill="1" applyAlignment="1">
      <alignment horizontal="left" vertical="top" wrapText="1"/>
    </xf>
    <xf numFmtId="9" fontId="11" fillId="0" borderId="68" xfId="25" applyNumberFormat="1" applyFont="1" applyBorder="1" applyAlignment="1">
      <alignment horizontal="center" vertical="center" wrapText="1"/>
    </xf>
    <xf numFmtId="9" fontId="47" fillId="19" borderId="59" xfId="33" applyFont="1" applyFill="1" applyBorder="1" applyAlignment="1" applyProtection="1">
      <alignment horizontal="justify" vertical="center" wrapText="1"/>
    </xf>
    <xf numFmtId="9" fontId="11" fillId="19" borderId="24" xfId="33" applyFont="1" applyFill="1" applyBorder="1" applyAlignment="1" applyProtection="1">
      <alignment horizontal="justify" vertical="center" wrapText="1"/>
    </xf>
    <xf numFmtId="9" fontId="11" fillId="19" borderId="25" xfId="33" applyFont="1" applyFill="1" applyBorder="1" applyAlignment="1" applyProtection="1">
      <alignment horizontal="justify" vertical="center" wrapText="1"/>
    </xf>
    <xf numFmtId="9" fontId="11" fillId="19" borderId="63" xfId="33" applyFont="1" applyFill="1" applyBorder="1" applyAlignment="1" applyProtection="1">
      <alignment horizontal="justify" vertical="center" wrapText="1"/>
    </xf>
    <xf numFmtId="9" fontId="11" fillId="19" borderId="15" xfId="33" applyFont="1" applyFill="1" applyBorder="1" applyAlignment="1" applyProtection="1">
      <alignment horizontal="justify" vertical="center" wrapText="1"/>
    </xf>
    <xf numFmtId="9" fontId="11" fillId="19" borderId="64" xfId="33" applyFont="1" applyFill="1" applyBorder="1" applyAlignment="1" applyProtection="1">
      <alignment horizontal="justify" vertical="center" wrapText="1"/>
    </xf>
    <xf numFmtId="173" fontId="12" fillId="0" borderId="42" xfId="31" applyNumberFormat="1" applyFont="1" applyFill="1" applyBorder="1" applyAlignment="1" applyProtection="1">
      <alignment horizontal="center" vertical="center" wrapText="1"/>
    </xf>
    <xf numFmtId="173" fontId="12" fillId="0" borderId="44" xfId="31" applyNumberFormat="1" applyFont="1" applyFill="1" applyBorder="1" applyAlignment="1" applyProtection="1">
      <alignment horizontal="center" vertical="center" wrapText="1"/>
    </xf>
    <xf numFmtId="0" fontId="24" fillId="0" borderId="88" xfId="0" applyFont="1" applyBorder="1" applyAlignment="1">
      <alignment horizontal="justify" vertical="center" wrapText="1"/>
    </xf>
    <xf numFmtId="9" fontId="11" fillId="19" borderId="24" xfId="25" applyNumberFormat="1" applyFont="1" applyFill="1" applyBorder="1" applyAlignment="1">
      <alignment horizontal="left" vertical="center" wrapText="1"/>
    </xf>
    <xf numFmtId="9" fontId="11" fillId="19" borderId="65" xfId="25" applyNumberFormat="1" applyFont="1" applyFill="1" applyBorder="1" applyAlignment="1">
      <alignment horizontal="left" vertical="center" wrapText="1"/>
    </xf>
    <xf numFmtId="9" fontId="11" fillId="19" borderId="15" xfId="25" applyNumberFormat="1" applyFont="1" applyFill="1" applyBorder="1" applyAlignment="1">
      <alignment horizontal="left" vertical="center" wrapText="1"/>
    </xf>
    <xf numFmtId="9" fontId="11" fillId="19" borderId="16" xfId="25" applyNumberFormat="1" applyFont="1" applyFill="1" applyBorder="1" applyAlignment="1">
      <alignment horizontal="left" vertical="center" wrapText="1"/>
    </xf>
    <xf numFmtId="2" fontId="11" fillId="0" borderId="40" xfId="25" applyNumberFormat="1" applyFont="1" applyBorder="1" applyAlignment="1">
      <alignment horizontal="justify" vertical="center" wrapText="1"/>
    </xf>
    <xf numFmtId="2" fontId="11" fillId="0" borderId="32" xfId="25" applyNumberFormat="1" applyFont="1" applyBorder="1" applyAlignment="1">
      <alignment horizontal="justify" vertical="center" wrapText="1"/>
    </xf>
    <xf numFmtId="9" fontId="11" fillId="19" borderId="24" xfId="25" applyNumberFormat="1" applyFont="1" applyFill="1" applyBorder="1" applyAlignment="1">
      <alignment horizontal="justify" vertical="center" wrapText="1"/>
    </xf>
    <xf numFmtId="9" fontId="11" fillId="19" borderId="65" xfId="25" applyNumberFormat="1" applyFont="1" applyFill="1" applyBorder="1" applyAlignment="1">
      <alignment horizontal="justify" vertical="center" wrapText="1"/>
    </xf>
    <xf numFmtId="9" fontId="11" fillId="19" borderId="15" xfId="25" applyNumberFormat="1" applyFont="1" applyFill="1" applyBorder="1" applyAlignment="1">
      <alignment horizontal="justify" vertical="center" wrapText="1"/>
    </xf>
    <xf numFmtId="9" fontId="11" fillId="19" borderId="16" xfId="25" applyNumberFormat="1" applyFont="1" applyFill="1" applyBorder="1" applyAlignment="1">
      <alignment horizontal="justify" vertical="center" wrapText="1"/>
    </xf>
    <xf numFmtId="9" fontId="11" fillId="0" borderId="59" xfId="25" applyNumberFormat="1" applyFont="1" applyBorder="1" applyAlignment="1">
      <alignment horizontal="center" vertical="center" wrapText="1"/>
    </xf>
    <xf numFmtId="0" fontId="12" fillId="20" borderId="64" xfId="25" applyFont="1" applyFill="1" applyBorder="1" applyAlignment="1">
      <alignment horizontal="center" vertical="center" wrapText="1"/>
    </xf>
    <xf numFmtId="0" fontId="11" fillId="0" borderId="40" xfId="25" applyFont="1" applyBorder="1" applyAlignment="1">
      <alignment horizontal="justify" vertical="center" wrapText="1"/>
    </xf>
    <xf numFmtId="0" fontId="11" fillId="0" borderId="32" xfId="25" applyFont="1" applyBorder="1" applyAlignment="1">
      <alignment horizontal="justify" vertical="center" wrapText="1"/>
    </xf>
    <xf numFmtId="9" fontId="12" fillId="0" borderId="38" xfId="25" applyNumberFormat="1" applyFont="1" applyBorder="1" applyAlignment="1">
      <alignment horizontal="center" vertical="center" wrapText="1"/>
    </xf>
    <xf numFmtId="0" fontId="12" fillId="0" borderId="70" xfId="25" applyFont="1" applyBorder="1" applyAlignment="1">
      <alignment horizontal="center" vertical="center" wrapText="1"/>
    </xf>
    <xf numFmtId="0" fontId="12" fillId="20" borderId="19" xfId="25" applyFont="1" applyFill="1" applyBorder="1" applyAlignment="1">
      <alignment horizontal="center" vertical="center" wrapText="1"/>
    </xf>
    <xf numFmtId="0" fontId="11" fillId="20" borderId="19" xfId="25" applyFont="1" applyFill="1" applyBorder="1" applyAlignment="1">
      <alignment horizontal="center" vertical="center" wrapText="1"/>
    </xf>
    <xf numFmtId="0" fontId="11" fillId="20" borderId="2" xfId="25" applyFont="1" applyFill="1" applyBorder="1" applyAlignment="1">
      <alignment horizontal="center" vertical="center" wrapText="1"/>
    </xf>
    <xf numFmtId="0" fontId="12" fillId="19" borderId="50" xfId="25" applyFont="1" applyFill="1" applyBorder="1" applyAlignment="1">
      <alignment horizontal="center" vertical="center" wrapText="1"/>
    </xf>
    <xf numFmtId="0" fontId="12" fillId="19" borderId="66" xfId="25" applyFont="1" applyFill="1" applyBorder="1" applyAlignment="1">
      <alignment horizontal="center" vertical="center" wrapText="1"/>
    </xf>
    <xf numFmtId="0" fontId="12" fillId="19" borderId="51" xfId="25" applyFont="1" applyFill="1" applyBorder="1" applyAlignment="1">
      <alignment horizontal="center" vertical="center" wrapText="1"/>
    </xf>
    <xf numFmtId="0" fontId="12" fillId="20" borderId="52" xfId="25" applyFont="1" applyFill="1" applyBorder="1" applyAlignment="1">
      <alignment horizontal="center" vertical="center" wrapText="1"/>
    </xf>
    <xf numFmtId="9" fontId="11" fillId="0" borderId="47" xfId="25" applyNumberFormat="1" applyFont="1" applyBorder="1" applyAlignment="1">
      <alignment horizontal="justify" vertical="top" wrapText="1"/>
    </xf>
    <xf numFmtId="9" fontId="11" fillId="0" borderId="11" xfId="25" applyNumberFormat="1" applyFont="1" applyBorder="1" applyAlignment="1">
      <alignment horizontal="justify" vertical="top" wrapText="1"/>
    </xf>
    <xf numFmtId="9" fontId="11" fillId="0" borderId="12" xfId="25" applyNumberFormat="1" applyFont="1" applyBorder="1" applyAlignment="1">
      <alignment horizontal="justify" vertical="top" wrapText="1"/>
    </xf>
    <xf numFmtId="9" fontId="11" fillId="0" borderId="45" xfId="25" applyNumberFormat="1" applyFont="1" applyBorder="1" applyAlignment="1">
      <alignment horizontal="justify" vertical="top" wrapText="1"/>
    </xf>
    <xf numFmtId="9" fontId="11" fillId="0" borderId="15" xfId="25" applyNumberFormat="1" applyFont="1" applyBorder="1" applyAlignment="1">
      <alignment horizontal="justify" vertical="top" wrapText="1"/>
    </xf>
    <xf numFmtId="9" fontId="11" fillId="0" borderId="16" xfId="25" applyNumberFormat="1" applyFont="1" applyBorder="1" applyAlignment="1">
      <alignment horizontal="justify" vertical="top" wrapText="1"/>
    </xf>
    <xf numFmtId="0" fontId="11" fillId="31" borderId="59" xfId="0" applyFont="1" applyFill="1" applyBorder="1" applyAlignment="1">
      <alignment horizontal="justify" vertical="center" wrapText="1"/>
    </xf>
    <xf numFmtId="0" fontId="11" fillId="31" borderId="24" xfId="0" applyFont="1" applyFill="1" applyBorder="1" applyAlignment="1">
      <alignment horizontal="justify" vertical="center" wrapText="1"/>
    </xf>
    <xf numFmtId="0" fontId="11" fillId="31" borderId="25" xfId="0" applyFont="1" applyFill="1" applyBorder="1" applyAlignment="1">
      <alignment horizontal="justify" vertical="center" wrapText="1"/>
    </xf>
    <xf numFmtId="0" fontId="11" fillId="31" borderId="101" xfId="0" applyFont="1" applyFill="1" applyBorder="1" applyAlignment="1">
      <alignment horizontal="justify" vertical="center" wrapText="1"/>
    </xf>
    <xf numFmtId="0" fontId="11" fillId="31" borderId="102" xfId="0" applyFont="1" applyFill="1" applyBorder="1" applyAlignment="1">
      <alignment horizontal="justify" vertical="center" wrapText="1"/>
    </xf>
    <xf numFmtId="0" fontId="11" fillId="31" borderId="103" xfId="0" applyFont="1" applyFill="1" applyBorder="1" applyAlignment="1">
      <alignment horizontal="justify" vertical="center" wrapText="1"/>
    </xf>
    <xf numFmtId="9" fontId="11" fillId="0" borderId="24" xfId="33" applyFont="1" applyFill="1" applyBorder="1" applyAlignment="1" applyProtection="1">
      <alignment horizontal="justify" vertical="center" wrapText="1"/>
    </xf>
    <xf numFmtId="9" fontId="11" fillId="0" borderId="25" xfId="33" applyFont="1" applyFill="1" applyBorder="1" applyAlignment="1" applyProtection="1">
      <alignment horizontal="justify" vertical="center" wrapText="1"/>
    </xf>
    <xf numFmtId="9" fontId="11" fillId="0" borderId="15" xfId="33" applyFont="1" applyFill="1" applyBorder="1" applyAlignment="1" applyProtection="1">
      <alignment horizontal="justify" vertical="center" wrapText="1"/>
    </xf>
    <xf numFmtId="9" fontId="11" fillId="0" borderId="64" xfId="33" applyFont="1" applyFill="1" applyBorder="1" applyAlignment="1" applyProtection="1">
      <alignment horizontal="justify" vertical="center" wrapText="1"/>
    </xf>
    <xf numFmtId="0" fontId="12" fillId="20" borderId="24" xfId="25" applyFont="1" applyFill="1" applyBorder="1" applyAlignment="1">
      <alignment horizontal="center" vertical="center" wrapText="1"/>
    </xf>
    <xf numFmtId="0" fontId="12" fillId="20" borderId="65" xfId="25" applyFont="1" applyFill="1" applyBorder="1" applyAlignment="1">
      <alignment horizontal="center" vertical="center" wrapText="1"/>
    </xf>
    <xf numFmtId="0" fontId="12" fillId="20" borderId="53" xfId="25" applyFont="1" applyFill="1" applyBorder="1" applyAlignment="1">
      <alignment horizontal="center" vertical="center" wrapText="1"/>
    </xf>
    <xf numFmtId="0" fontId="12" fillId="20" borderId="55" xfId="25" applyFont="1" applyFill="1" applyBorder="1" applyAlignment="1">
      <alignment horizontal="center" vertical="center" wrapText="1"/>
    </xf>
    <xf numFmtId="9" fontId="12" fillId="0" borderId="68" xfId="25" applyNumberFormat="1" applyFont="1" applyBorder="1" applyAlignment="1">
      <alignment horizontal="center" vertical="center" wrapText="1"/>
    </xf>
    <xf numFmtId="0" fontId="12" fillId="0" borderId="63" xfId="25" applyFont="1" applyBorder="1" applyAlignment="1">
      <alignment horizontal="center" vertical="center" wrapText="1"/>
    </xf>
    <xf numFmtId="0" fontId="12" fillId="19" borderId="43" xfId="25" applyFont="1" applyFill="1" applyBorder="1" applyAlignment="1">
      <alignment horizontal="left" vertical="center" wrapText="1"/>
    </xf>
    <xf numFmtId="0" fontId="11" fillId="0" borderId="42" xfId="25" applyFont="1" applyBorder="1" applyAlignment="1">
      <alignment horizontal="left" vertical="center" wrapText="1"/>
    </xf>
    <xf numFmtId="0" fontId="11" fillId="0" borderId="43" xfId="25" applyFont="1" applyBorder="1" applyAlignment="1">
      <alignment horizontal="left" vertical="center" wrapText="1"/>
    </xf>
    <xf numFmtId="0" fontId="11" fillId="0" borderId="44" xfId="25" applyFont="1" applyBorder="1" applyAlignment="1">
      <alignment horizontal="left" vertical="center" wrapText="1"/>
    </xf>
    <xf numFmtId="9" fontId="24" fillId="0" borderId="104" xfId="0" applyNumberFormat="1" applyFont="1" applyBorder="1" applyAlignment="1">
      <alignment horizontal="justify" vertical="center" wrapText="1"/>
    </xf>
    <xf numFmtId="174" fontId="22" fillId="0" borderId="104" xfId="0" applyNumberFormat="1" applyFont="1" applyBorder="1" applyAlignment="1">
      <alignment horizontal="center" vertical="center" wrapText="1"/>
    </xf>
    <xf numFmtId="0" fontId="11" fillId="0" borderId="18" xfId="25" applyFont="1" applyBorder="1" applyAlignment="1">
      <alignment horizontal="justify" vertical="center" wrapText="1"/>
    </xf>
    <xf numFmtId="0" fontId="12" fillId="20" borderId="48" xfId="25" applyFont="1" applyFill="1" applyBorder="1" applyAlignment="1">
      <alignment horizontal="center" vertical="center" wrapText="1"/>
    </xf>
    <xf numFmtId="0" fontId="44" fillId="0" borderId="1" xfId="25" applyFont="1" applyBorder="1" applyAlignment="1">
      <alignment horizontal="left" vertical="center" wrapText="1"/>
    </xf>
    <xf numFmtId="0" fontId="44" fillId="0" borderId="9" xfId="25" applyFont="1" applyBorder="1" applyAlignment="1">
      <alignment horizontal="left" vertical="center" wrapText="1"/>
    </xf>
    <xf numFmtId="0" fontId="53" fillId="0" borderId="56" xfId="0" applyFont="1" applyBorder="1" applyAlignment="1">
      <alignment horizontal="left" vertical="center" wrapText="1"/>
    </xf>
    <xf numFmtId="0" fontId="53" fillId="0" borderId="67" xfId="0" applyFont="1" applyBorder="1" applyAlignment="1">
      <alignment horizontal="left" vertical="center" wrapText="1"/>
    </xf>
    <xf numFmtId="0" fontId="53" fillId="0" borderId="57" xfId="0" applyFont="1" applyBorder="1" applyAlignment="1">
      <alignment horizontal="left" vertical="center" wrapText="1"/>
    </xf>
    <xf numFmtId="0" fontId="19" fillId="0" borderId="52" xfId="0" applyFont="1" applyBorder="1" applyAlignment="1">
      <alignment horizontal="left" vertical="center" wrapText="1"/>
    </xf>
    <xf numFmtId="0" fontId="19" fillId="0" borderId="60" xfId="0" applyFont="1" applyBorder="1" applyAlignment="1">
      <alignment horizontal="left" vertical="center" wrapText="1"/>
    </xf>
    <xf numFmtId="0" fontId="19" fillId="0" borderId="22" xfId="0" applyFont="1" applyBorder="1" applyAlignment="1">
      <alignment horizontal="left" vertical="center" wrapText="1"/>
    </xf>
    <xf numFmtId="0" fontId="12" fillId="0" borderId="42" xfId="25" applyFont="1" applyBorder="1" applyAlignment="1">
      <alignment horizontal="center" vertical="center"/>
    </xf>
    <xf numFmtId="0" fontId="12" fillId="0" borderId="43" xfId="25" applyFont="1" applyBorder="1" applyAlignment="1">
      <alignment horizontal="center" vertical="center"/>
    </xf>
    <xf numFmtId="0" fontId="12" fillId="0" borderId="44" xfId="25" applyFont="1" applyBorder="1" applyAlignment="1">
      <alignment horizontal="center" vertical="center"/>
    </xf>
    <xf numFmtId="0" fontId="19" fillId="0" borderId="50" xfId="0" applyFont="1" applyBorder="1" applyAlignment="1">
      <alignment horizontal="left" vertical="center" wrapText="1"/>
    </xf>
    <xf numFmtId="0" fontId="19" fillId="0" borderId="66" xfId="0" applyFont="1" applyBorder="1" applyAlignment="1">
      <alignment horizontal="left" vertical="center" wrapText="1"/>
    </xf>
    <xf numFmtId="0" fontId="19" fillId="0" borderId="51" xfId="0" applyFont="1" applyBorder="1" applyAlignment="1">
      <alignment horizontal="left" vertical="center" wrapText="1"/>
    </xf>
    <xf numFmtId="14" fontId="49" fillId="0" borderId="12" xfId="0" applyNumberFormat="1" applyFont="1" applyBorder="1" applyAlignment="1">
      <alignment horizontal="center" vertical="center" wrapText="1"/>
    </xf>
    <xf numFmtId="14" fontId="49" fillId="0" borderId="13" xfId="0" applyNumberFormat="1" applyFont="1" applyBorder="1" applyAlignment="1">
      <alignment horizontal="center" vertical="center" wrapText="1"/>
    </xf>
    <xf numFmtId="14" fontId="49" fillId="0" borderId="14" xfId="0" applyNumberFormat="1" applyFont="1" applyBorder="1" applyAlignment="1">
      <alignment horizontal="center" vertical="center" wrapText="1"/>
    </xf>
    <xf numFmtId="14" fontId="49" fillId="0" borderId="45" xfId="0" applyNumberFormat="1" applyFont="1" applyBorder="1" applyAlignment="1">
      <alignment horizontal="center" vertical="center" wrapText="1"/>
    </xf>
    <xf numFmtId="14" fontId="49" fillId="0" borderId="16" xfId="0" applyNumberFormat="1" applyFont="1" applyBorder="1" applyAlignment="1">
      <alignment horizontal="center" vertical="center" wrapText="1"/>
    </xf>
    <xf numFmtId="10" fontId="11" fillId="0" borderId="9" xfId="25" applyNumberFormat="1" applyFont="1" applyBorder="1" applyAlignment="1">
      <alignment horizontal="center" vertical="center" wrapText="1"/>
    </xf>
    <xf numFmtId="10" fontId="11" fillId="0" borderId="37" xfId="25" applyNumberFormat="1" applyFont="1" applyBorder="1" applyAlignment="1">
      <alignment horizontal="center" vertical="center" wrapText="1"/>
    </xf>
    <xf numFmtId="9" fontId="11" fillId="0" borderId="23" xfId="25" applyNumberFormat="1" applyFont="1" applyBorder="1" applyAlignment="1">
      <alignment horizontal="justify" vertical="center" wrapText="1"/>
    </xf>
    <xf numFmtId="9" fontId="11" fillId="0" borderId="24" xfId="25" applyNumberFormat="1" applyFont="1" applyBorder="1" applyAlignment="1">
      <alignment horizontal="justify" vertical="center" wrapText="1"/>
    </xf>
    <xf numFmtId="9" fontId="11" fillId="0" borderId="65" xfId="25" applyNumberFormat="1" applyFont="1" applyBorder="1" applyAlignment="1">
      <alignment horizontal="justify" vertical="center" wrapText="1"/>
    </xf>
    <xf numFmtId="9" fontId="11" fillId="0" borderId="45" xfId="25" applyNumberFormat="1" applyFont="1" applyBorder="1" applyAlignment="1">
      <alignment horizontal="justify" vertical="center" wrapText="1"/>
    </xf>
    <xf numFmtId="9" fontId="11" fillId="0" borderId="15" xfId="25" applyNumberFormat="1" applyFont="1" applyBorder="1" applyAlignment="1">
      <alignment horizontal="justify" vertical="center" wrapText="1"/>
    </xf>
    <xf numFmtId="9" fontId="11" fillId="0" borderId="16" xfId="25" applyNumberFormat="1" applyFont="1" applyBorder="1" applyAlignment="1">
      <alignment horizontal="justify" vertical="center" wrapText="1"/>
    </xf>
    <xf numFmtId="1" fontId="12" fillId="0" borderId="42" xfId="31" applyNumberFormat="1" applyFont="1" applyFill="1" applyBorder="1" applyAlignment="1" applyProtection="1">
      <alignment horizontal="center" vertical="center" wrapText="1"/>
    </xf>
    <xf numFmtId="1" fontId="12" fillId="0" borderId="44" xfId="31" applyNumberFormat="1" applyFont="1" applyFill="1" applyBorder="1" applyAlignment="1" applyProtection="1">
      <alignment horizontal="center" vertical="center" wrapText="1"/>
    </xf>
    <xf numFmtId="0" fontId="12" fillId="20" borderId="70" xfId="25" applyFont="1" applyFill="1" applyBorder="1" applyAlignment="1">
      <alignment horizontal="center" vertical="center" wrapText="1"/>
    </xf>
    <xf numFmtId="0" fontId="12" fillId="20" borderId="28" xfId="25" applyFont="1" applyFill="1" applyBorder="1" applyAlignment="1">
      <alignment horizontal="center" vertical="center" wrapText="1"/>
    </xf>
    <xf numFmtId="9" fontId="11" fillId="0" borderId="59" xfId="33" applyFont="1" applyFill="1" applyBorder="1" applyAlignment="1" applyProtection="1">
      <alignment horizontal="justify" vertical="center" wrapText="1"/>
    </xf>
    <xf numFmtId="9" fontId="11" fillId="0" borderId="63" xfId="33" applyFont="1" applyFill="1" applyBorder="1" applyAlignment="1" applyProtection="1">
      <alignment horizontal="justify" vertical="center" wrapText="1"/>
    </xf>
    <xf numFmtId="9" fontId="11" fillId="0" borderId="13" xfId="25" applyNumberFormat="1" applyFont="1" applyBorder="1" applyAlignment="1">
      <alignment horizontal="justify" vertical="center" wrapText="1"/>
    </xf>
    <xf numFmtId="9" fontId="11" fillId="0" borderId="0" xfId="25" applyNumberFormat="1" applyFont="1" applyAlignment="1">
      <alignment horizontal="justify" vertical="center" wrapText="1"/>
    </xf>
    <xf numFmtId="9" fontId="11" fillId="0" borderId="14" xfId="25" applyNumberFormat="1" applyFont="1" applyBorder="1" applyAlignment="1">
      <alignment horizontal="justify" vertical="center" wrapText="1"/>
    </xf>
    <xf numFmtId="9" fontId="11" fillId="0" borderId="63" xfId="25" applyNumberFormat="1" applyFont="1" applyBorder="1" applyAlignment="1">
      <alignment horizontal="center" vertical="center" wrapText="1"/>
    </xf>
    <xf numFmtId="9" fontId="44" fillId="19" borderId="58" xfId="25" applyNumberFormat="1" applyFont="1" applyFill="1" applyBorder="1" applyAlignment="1">
      <alignment horizontal="justify" vertical="top" wrapText="1"/>
    </xf>
    <xf numFmtId="9" fontId="11" fillId="19" borderId="4" xfId="25" applyNumberFormat="1" applyFont="1" applyFill="1" applyBorder="1" applyAlignment="1">
      <alignment horizontal="justify" vertical="top" wrapText="1"/>
    </xf>
    <xf numFmtId="9" fontId="11" fillId="19" borderId="28" xfId="25" applyNumberFormat="1" applyFont="1" applyFill="1" applyBorder="1" applyAlignment="1">
      <alignment horizontal="justify" vertical="top" wrapText="1"/>
    </xf>
    <xf numFmtId="0" fontId="12" fillId="0" borderId="40" xfId="25" applyFont="1" applyBorder="1" applyAlignment="1">
      <alignment horizontal="justify" vertical="center" wrapText="1"/>
    </xf>
    <xf numFmtId="9" fontId="12" fillId="0" borderId="33" xfId="25" applyNumberFormat="1" applyFont="1" applyBorder="1" applyAlignment="1">
      <alignment horizontal="center" vertical="center" wrapText="1"/>
    </xf>
    <xf numFmtId="0" fontId="11" fillId="20" borderId="21" xfId="25" applyFont="1" applyFill="1" applyBorder="1" applyAlignment="1">
      <alignment horizontal="center" vertical="center" wrapText="1"/>
    </xf>
    <xf numFmtId="9" fontId="44" fillId="19" borderId="8" xfId="25" applyNumberFormat="1" applyFont="1" applyFill="1" applyBorder="1" applyAlignment="1">
      <alignment horizontal="justify" vertical="top" wrapText="1"/>
    </xf>
    <xf numFmtId="9" fontId="11" fillId="19" borderId="26" xfId="25" applyNumberFormat="1" applyFont="1" applyFill="1" applyBorder="1" applyAlignment="1">
      <alignment horizontal="justify" vertical="top" wrapText="1"/>
    </xf>
    <xf numFmtId="0" fontId="48" fillId="0" borderId="1" xfId="0" applyFont="1" applyBorder="1" applyAlignment="1">
      <alignment horizontal="center" vertical="center" wrapText="1"/>
    </xf>
    <xf numFmtId="0" fontId="48" fillId="0" borderId="2" xfId="0" applyFont="1" applyBorder="1" applyAlignment="1">
      <alignment horizontal="left" vertical="center"/>
    </xf>
    <xf numFmtId="0" fontId="48" fillId="0" borderId="60" xfId="0" applyFont="1" applyBorder="1" applyAlignment="1">
      <alignment horizontal="left" vertical="center"/>
    </xf>
    <xf numFmtId="0" fontId="48" fillId="0" borderId="5" xfId="0" applyFont="1" applyBorder="1" applyAlignment="1">
      <alignment horizontal="left" vertical="center"/>
    </xf>
    <xf numFmtId="0" fontId="48" fillId="0" borderId="20" xfId="0" applyFont="1" applyBorder="1" applyAlignment="1">
      <alignment horizontal="left" vertical="center"/>
    </xf>
    <xf numFmtId="0" fontId="48" fillId="0" borderId="3" xfId="0" applyFont="1" applyBorder="1" applyAlignment="1">
      <alignment horizontal="left" vertical="center"/>
    </xf>
    <xf numFmtId="0" fontId="48" fillId="0" borderId="58" xfId="0" applyFont="1" applyBorder="1" applyAlignment="1">
      <alignment horizontal="left" vertical="center"/>
    </xf>
    <xf numFmtId="0" fontId="31" fillId="0" borderId="1" xfId="25" applyFont="1" applyBorder="1" applyAlignment="1">
      <alignment horizontal="left" vertical="center" wrapText="1"/>
    </xf>
    <xf numFmtId="0" fontId="31" fillId="0" borderId="1" xfId="25" applyFont="1" applyBorder="1" applyAlignment="1">
      <alignment horizontal="center" vertical="center" wrapText="1"/>
    </xf>
    <xf numFmtId="0" fontId="44" fillId="0" borderId="2" xfId="0" applyFont="1" applyBorder="1" applyAlignment="1">
      <alignment horizontal="left" vertical="center"/>
    </xf>
    <xf numFmtId="0" fontId="44" fillId="0" borderId="60" xfId="0" applyFont="1" applyBorder="1" applyAlignment="1">
      <alignment horizontal="left" vertical="center"/>
    </xf>
    <xf numFmtId="0" fontId="44" fillId="0" borderId="5" xfId="0" applyFont="1" applyBorder="1" applyAlignment="1">
      <alignment horizontal="left" vertical="center"/>
    </xf>
    <xf numFmtId="0" fontId="48" fillId="0" borderId="10"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4" xfId="0" applyFont="1" applyBorder="1" applyAlignment="1">
      <alignment horizontal="center" vertical="center" wrapText="1"/>
    </xf>
    <xf numFmtId="0" fontId="57" fillId="0" borderId="1" xfId="25" applyFont="1" applyBorder="1" applyAlignment="1">
      <alignment horizontal="center" vertical="center" wrapText="1"/>
    </xf>
    <xf numFmtId="41" fontId="50" fillId="0" borderId="10" xfId="12" applyFont="1" applyFill="1" applyBorder="1" applyAlignment="1">
      <alignment vertical="center" wrapText="1"/>
    </xf>
    <xf numFmtId="0" fontId="50" fillId="0" borderId="4" xfId="0" applyFont="1" applyBorder="1" applyAlignment="1">
      <alignment vertical="center"/>
    </xf>
    <xf numFmtId="41" fontId="50" fillId="0" borderId="10" xfId="12" applyFont="1" applyFill="1" applyBorder="1" applyAlignment="1">
      <alignment horizontal="justify" vertical="center" wrapText="1"/>
    </xf>
    <xf numFmtId="0" fontId="50" fillId="0" borderId="4" xfId="0" applyFont="1" applyBorder="1" applyAlignment="1">
      <alignment horizontal="justify" vertical="center"/>
    </xf>
    <xf numFmtId="0" fontId="48" fillId="0" borderId="2" xfId="0" applyFont="1" applyBorder="1" applyAlignment="1">
      <alignment horizontal="center" vertical="center" wrapText="1"/>
    </xf>
    <xf numFmtId="0" fontId="48" fillId="0" borderId="60"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2" xfId="0" applyFont="1" applyBorder="1" applyAlignment="1">
      <alignment horizontal="center" vertical="center"/>
    </xf>
    <xf numFmtId="0" fontId="48" fillId="0" borderId="60" xfId="0" applyFont="1" applyBorder="1" applyAlignment="1">
      <alignment horizontal="center" vertical="center"/>
    </xf>
    <xf numFmtId="0" fontId="48" fillId="0" borderId="5" xfId="0" applyFont="1" applyBorder="1" applyAlignment="1">
      <alignment horizontal="center"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48" fillId="0" borderId="1" xfId="0" applyFont="1" applyBorder="1" applyAlignment="1">
      <alignment horizontal="left" vertical="center" wrapText="1"/>
    </xf>
    <xf numFmtId="0" fontId="48" fillId="0" borderId="20" xfId="0" applyFont="1" applyBorder="1" applyAlignment="1">
      <alignment horizontal="center" vertical="center"/>
    </xf>
    <xf numFmtId="0" fontId="48" fillId="0" borderId="3" xfId="0" applyFont="1" applyBorder="1" applyAlignment="1">
      <alignment horizontal="center" vertical="center"/>
    </xf>
    <xf numFmtId="0" fontId="48" fillId="0" borderId="58" xfId="0" applyFont="1" applyBorder="1" applyAlignment="1">
      <alignment horizontal="center" vertical="center"/>
    </xf>
    <xf numFmtId="0" fontId="48" fillId="0" borderId="59" xfId="0" applyFont="1" applyBorder="1" applyAlignment="1">
      <alignment horizontal="center" vertical="center"/>
    </xf>
    <xf numFmtId="0" fontId="48" fillId="0" borderId="24" xfId="0" applyFont="1" applyBorder="1" applyAlignment="1">
      <alignment horizontal="center" vertical="center"/>
    </xf>
    <xf numFmtId="0" fontId="48" fillId="0" borderId="25" xfId="0" applyFont="1" applyBorder="1" applyAlignment="1">
      <alignment horizontal="center" vertical="center"/>
    </xf>
    <xf numFmtId="0" fontId="48" fillId="0" borderId="68" xfId="0" applyFont="1" applyBorder="1" applyAlignment="1">
      <alignment horizontal="center" vertical="center"/>
    </xf>
    <xf numFmtId="0" fontId="48" fillId="0" borderId="0" xfId="0" applyFont="1" applyAlignment="1">
      <alignment horizontal="center" vertical="center"/>
    </xf>
    <xf numFmtId="0" fontId="48" fillId="0" borderId="71" xfId="0" applyFont="1" applyBorder="1" applyAlignment="1">
      <alignment horizontal="center" vertical="center"/>
    </xf>
    <xf numFmtId="0" fontId="44" fillId="0" borderId="20" xfId="0" applyFont="1" applyBorder="1" applyAlignment="1">
      <alignment horizontal="left" vertical="center"/>
    </xf>
    <xf numFmtId="0" fontId="44" fillId="0" borderId="3" xfId="0" applyFont="1" applyBorder="1" applyAlignment="1">
      <alignment horizontal="left" vertical="center"/>
    </xf>
    <xf numFmtId="0" fontId="48" fillId="0" borderId="1" xfId="0" applyFont="1" applyBorder="1" applyAlignment="1">
      <alignment horizontal="center" vertical="center"/>
    </xf>
    <xf numFmtId="14" fontId="56" fillId="0" borderId="1" xfId="0" applyNumberFormat="1" applyFont="1" applyBorder="1" applyAlignment="1">
      <alignment horizontal="center" vertical="center"/>
    </xf>
    <xf numFmtId="0" fontId="56" fillId="0" borderId="1" xfId="0" applyFont="1" applyBorder="1" applyAlignment="1">
      <alignment horizontal="center" vertical="center"/>
    </xf>
    <xf numFmtId="0" fontId="28" fillId="9" borderId="2" xfId="0" applyFont="1" applyFill="1" applyBorder="1" applyAlignment="1">
      <alignment horizontal="center" vertical="center" wrapText="1"/>
    </xf>
    <xf numFmtId="0" fontId="28" fillId="9" borderId="5" xfId="0" applyFont="1" applyFill="1" applyBorder="1" applyAlignment="1">
      <alignment horizontal="center" vertical="center" wrapText="1"/>
    </xf>
    <xf numFmtId="0" fontId="28" fillId="9" borderId="60" xfId="0" applyFont="1" applyFill="1" applyBorder="1" applyAlignment="1">
      <alignment horizontal="center" vertical="center" wrapText="1"/>
    </xf>
    <xf numFmtId="0" fontId="28" fillId="9" borderId="10" xfId="0" applyFont="1" applyFill="1" applyBorder="1" applyAlignment="1">
      <alignment horizontal="center" vertical="center" wrapText="1"/>
    </xf>
    <xf numFmtId="0" fontId="28" fillId="9" borderId="4" xfId="0" applyFont="1" applyFill="1" applyBorder="1" applyAlignment="1">
      <alignment horizontal="center" vertical="center" wrapText="1"/>
    </xf>
    <xf numFmtId="0" fontId="29" fillId="19" borderId="4" xfId="0" applyFont="1" applyFill="1" applyBorder="1" applyAlignment="1">
      <alignment horizontal="center" vertical="center"/>
    </xf>
    <xf numFmtId="0" fontId="29" fillId="19" borderId="1" xfId="0" applyFont="1" applyFill="1" applyBorder="1" applyAlignment="1">
      <alignment horizontal="center" vertical="center"/>
    </xf>
    <xf numFmtId="0" fontId="28" fillId="9" borderId="1" xfId="0" applyFont="1" applyFill="1" applyBorder="1" applyAlignment="1">
      <alignment horizontal="center" vertical="center"/>
    </xf>
    <xf numFmtId="0" fontId="58" fillId="0" borderId="59" xfId="0" applyFont="1" applyBorder="1" applyAlignment="1">
      <alignment vertical="center" wrapText="1"/>
    </xf>
    <xf numFmtId="0" fontId="58" fillId="0" borderId="24" xfId="0" applyFont="1" applyBorder="1" applyAlignment="1">
      <alignment vertical="center" wrapText="1"/>
    </xf>
    <xf numFmtId="0" fontId="58" fillId="0" borderId="25" xfId="0" applyFont="1" applyBorder="1" applyAlignment="1">
      <alignment vertical="center" wrapText="1"/>
    </xf>
    <xf numFmtId="0" fontId="58" fillId="0" borderId="1" xfId="0" applyFont="1" applyBorder="1" applyAlignment="1">
      <alignment horizontal="center" vertical="center"/>
    </xf>
    <xf numFmtId="0" fontId="28" fillId="0" borderId="1" xfId="0" applyFont="1" applyBorder="1" applyAlignment="1">
      <alignment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48" fillId="21" borderId="2" xfId="0" applyFont="1" applyFill="1" applyBorder="1" applyAlignment="1">
      <alignment horizontal="center" vertical="center"/>
    </xf>
    <xf numFmtId="0" fontId="48" fillId="21" borderId="5" xfId="0" applyFont="1" applyFill="1" applyBorder="1" applyAlignment="1">
      <alignment horizontal="center" vertical="center"/>
    </xf>
    <xf numFmtId="0" fontId="48" fillId="0" borderId="2" xfId="0" applyFont="1" applyBorder="1" applyAlignment="1">
      <alignment horizontal="left" vertical="center" wrapText="1"/>
    </xf>
    <xf numFmtId="0" fontId="48" fillId="0" borderId="5" xfId="0" applyFont="1" applyBorder="1" applyAlignment="1">
      <alignment horizontal="left" vertical="center" wrapText="1"/>
    </xf>
    <xf numFmtId="0" fontId="44" fillId="0" borderId="10" xfId="0" applyFont="1" applyBorder="1" applyAlignment="1">
      <alignment horizontal="left" vertical="center" wrapText="1"/>
    </xf>
    <xf numFmtId="0" fontId="44" fillId="0" borderId="38" xfId="0" applyFont="1" applyBorder="1" applyAlignment="1">
      <alignment horizontal="left" vertical="center" wrapText="1"/>
    </xf>
    <xf numFmtId="0" fontId="44" fillId="0" borderId="4" xfId="0" applyFont="1" applyBorder="1" applyAlignment="1">
      <alignment horizontal="left" vertical="center" wrapText="1"/>
    </xf>
    <xf numFmtId="41" fontId="44" fillId="0" borderId="59" xfId="12" applyFont="1" applyFill="1" applyBorder="1" applyAlignment="1">
      <alignment horizontal="left" vertical="center"/>
    </xf>
    <xf numFmtId="41" fontId="44" fillId="0" borderId="68" xfId="12" applyFont="1" applyFill="1" applyBorder="1" applyAlignment="1">
      <alignment horizontal="left" vertical="center"/>
    </xf>
    <xf numFmtId="41" fontId="44" fillId="0" borderId="20" xfId="12" applyFont="1" applyFill="1" applyBorder="1" applyAlignment="1">
      <alignment horizontal="left" vertical="center"/>
    </xf>
    <xf numFmtId="0" fontId="0" fillId="13" borderId="1" xfId="0" applyFill="1" applyBorder="1" applyAlignment="1">
      <alignment horizontal="center"/>
    </xf>
    <xf numFmtId="0" fontId="0" fillId="0" borderId="71"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7"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71" xfId="0" applyFill="1" applyBorder="1" applyAlignment="1">
      <alignment horizontal="center"/>
    </xf>
  </cellXfs>
  <cellStyles count="37">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0] 2 2" xfId="13" xr:uid="{00000000-0005-0000-0000-00000C000000}"/>
    <cellStyle name="Millares [0] 2 2 2" xfId="14" xr:uid="{00000000-0005-0000-0000-00000D000000}"/>
    <cellStyle name="Millares [0] 2 3" xfId="15" xr:uid="{00000000-0005-0000-0000-00000E000000}"/>
    <cellStyle name="Millares 2" xfId="16" xr:uid="{00000000-0005-0000-0000-00000F000000}"/>
    <cellStyle name="Moneda" xfId="17" builtinId="4"/>
    <cellStyle name="Moneda [0]" xfId="18" builtinId="7"/>
    <cellStyle name="Moneda 130" xfId="19" xr:uid="{00000000-0005-0000-0000-000012000000}"/>
    <cellStyle name="Moneda 2" xfId="20" xr:uid="{00000000-0005-0000-0000-000013000000}"/>
    <cellStyle name="Moneda 2 2" xfId="21" xr:uid="{00000000-0005-0000-0000-000014000000}"/>
    <cellStyle name="Moneda 23" xfId="22" xr:uid="{00000000-0005-0000-0000-000015000000}"/>
    <cellStyle name="Moneda 3" xfId="23" xr:uid="{00000000-0005-0000-0000-000016000000}"/>
    <cellStyle name="Neutral 2" xfId="24" xr:uid="{00000000-0005-0000-0000-000017000000}"/>
    <cellStyle name="Normal" xfId="0" builtinId="0"/>
    <cellStyle name="Normal 2" xfId="25" xr:uid="{00000000-0005-0000-0000-000019000000}"/>
    <cellStyle name="Normal 2 2" xfId="26" xr:uid="{00000000-0005-0000-0000-00001A000000}"/>
    <cellStyle name="Normal 2 3" xfId="27" xr:uid="{00000000-0005-0000-0000-00001B000000}"/>
    <cellStyle name="Normal 3" xfId="28" xr:uid="{00000000-0005-0000-0000-00001C000000}"/>
    <cellStyle name="Normal 3 2" xfId="29" xr:uid="{00000000-0005-0000-0000-00001D000000}"/>
    <cellStyle name="Normal 6 2" xfId="30" xr:uid="{00000000-0005-0000-0000-00001E000000}"/>
    <cellStyle name="Porcentaje" xfId="31" builtinId="5"/>
    <cellStyle name="Porcentaje 2" xfId="32" xr:uid="{00000000-0005-0000-0000-000020000000}"/>
    <cellStyle name="Porcentual 2" xfId="33" xr:uid="{00000000-0005-0000-0000-000021000000}"/>
    <cellStyle name="Texto de inicio" xfId="34" xr:uid="{00000000-0005-0000-0000-000022000000}"/>
    <cellStyle name="Texto de la columna A" xfId="35" xr:uid="{00000000-0005-0000-0000-000023000000}"/>
    <cellStyle name="Título 4" xfId="36" xr:uid="{00000000-0005-0000-0000-00002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1828800</xdr:colOff>
      <xdr:row>3</xdr:row>
      <xdr:rowOff>133350</xdr:rowOff>
    </xdr:to>
    <xdr:pic>
      <xdr:nvPicPr>
        <xdr:cNvPr id="82915" name="Picture 47">
          <a:extLst>
            <a:ext uri="{FF2B5EF4-FFF2-40B4-BE49-F238E27FC236}">
              <a16:creationId xmlns:a16="http://schemas.microsoft.com/office/drawing/2014/main" id="{40C61BE3-2F62-4898-833F-7626A7F35C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620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92678" name="Picture 47">
          <a:extLst>
            <a:ext uri="{FF2B5EF4-FFF2-40B4-BE49-F238E27FC236}">
              <a16:creationId xmlns:a16="http://schemas.microsoft.com/office/drawing/2014/main" id="{53C65957-A515-4B8A-9E06-9344D9F363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83740" name="Picture 47">
          <a:extLst>
            <a:ext uri="{FF2B5EF4-FFF2-40B4-BE49-F238E27FC236}">
              <a16:creationId xmlns:a16="http://schemas.microsoft.com/office/drawing/2014/main" id="{0FA8AA9D-B6EA-4F6C-9DCA-173CF3C670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84764" name="Picture 47">
          <a:extLst>
            <a:ext uri="{FF2B5EF4-FFF2-40B4-BE49-F238E27FC236}">
              <a16:creationId xmlns:a16="http://schemas.microsoft.com/office/drawing/2014/main" id="{DCB6452B-96F5-4B1F-BD06-FE184DFDBA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85783" name="Picture 47">
          <a:extLst>
            <a:ext uri="{FF2B5EF4-FFF2-40B4-BE49-F238E27FC236}">
              <a16:creationId xmlns:a16="http://schemas.microsoft.com/office/drawing/2014/main" id="{E2006C89-F94E-4AE6-86AB-32B7085361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89742" name="Picture 47">
          <a:extLst>
            <a:ext uri="{FF2B5EF4-FFF2-40B4-BE49-F238E27FC236}">
              <a16:creationId xmlns:a16="http://schemas.microsoft.com/office/drawing/2014/main" id="{1B27D5A7-5209-40E9-9DCA-AAAB447350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90770" name="Picture 47">
          <a:extLst>
            <a:ext uri="{FF2B5EF4-FFF2-40B4-BE49-F238E27FC236}">
              <a16:creationId xmlns:a16="http://schemas.microsoft.com/office/drawing/2014/main" id="{F863F753-4C99-4992-A996-365DDBE26A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88856" name="Picture 47">
          <a:extLst>
            <a:ext uri="{FF2B5EF4-FFF2-40B4-BE49-F238E27FC236}">
              <a16:creationId xmlns:a16="http://schemas.microsoft.com/office/drawing/2014/main" id="{17FB1A50-E902-402F-8936-1005FF5F02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303"/>
  <sheetViews>
    <sheetView showGridLines="0" tabSelected="1" topLeftCell="H31" zoomScale="62" zoomScaleNormal="62" workbookViewId="0">
      <selection activeCell="M30" sqref="M30"/>
    </sheetView>
  </sheetViews>
  <sheetFormatPr baseColWidth="10" defaultColWidth="10.7109375" defaultRowHeight="15" x14ac:dyDescent="0.25"/>
  <cols>
    <col min="1" max="1" width="45.140625" style="50" customWidth="1"/>
    <col min="2" max="2" width="17.7109375" style="50" customWidth="1"/>
    <col min="3" max="14" width="20.7109375" style="50" customWidth="1"/>
    <col min="15" max="15" width="16.140625" style="50" customWidth="1"/>
    <col min="16" max="16" width="18.140625" style="50" customWidth="1"/>
    <col min="17" max="19" width="19" style="50" customWidth="1"/>
    <col min="20" max="22" width="25.42578125" style="50" customWidth="1"/>
    <col min="23" max="26" width="16.7109375" style="50" customWidth="1"/>
    <col min="27" max="27" width="18.140625" style="50" customWidth="1"/>
    <col min="28" max="28" width="22.7109375" style="50" customWidth="1"/>
    <col min="29" max="29" width="19" style="50" customWidth="1"/>
    <col min="30" max="30" width="19.42578125" style="50" customWidth="1"/>
    <col min="31" max="31" width="6.28515625" style="50" bestFit="1" customWidth="1"/>
    <col min="32" max="32" width="22.71093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3" ht="32.25" customHeight="1" thickBot="1" x14ac:dyDescent="0.3">
      <c r="A1" s="351"/>
      <c r="B1" s="354" t="s">
        <v>0</v>
      </c>
      <c r="C1" s="355"/>
      <c r="D1" s="355"/>
      <c r="E1" s="355"/>
      <c r="F1" s="355"/>
      <c r="G1" s="355"/>
      <c r="H1" s="355"/>
      <c r="I1" s="355"/>
      <c r="J1" s="355"/>
      <c r="K1" s="355"/>
      <c r="L1" s="355"/>
      <c r="M1" s="355"/>
      <c r="N1" s="355"/>
      <c r="O1" s="355"/>
      <c r="P1" s="355"/>
      <c r="Q1" s="355"/>
      <c r="R1" s="355"/>
      <c r="S1" s="355"/>
      <c r="T1" s="355"/>
      <c r="U1" s="355"/>
      <c r="V1" s="355"/>
      <c r="W1" s="355"/>
      <c r="X1" s="355"/>
      <c r="Y1" s="355"/>
      <c r="Z1" s="355"/>
      <c r="AA1" s="356"/>
      <c r="AB1" s="357" t="s">
        <v>1</v>
      </c>
      <c r="AC1" s="358"/>
      <c r="AD1" s="359"/>
    </row>
    <row r="2" spans="1:33" ht="30.75" customHeight="1" thickBot="1" x14ac:dyDescent="0.3">
      <c r="A2" s="352"/>
      <c r="B2" s="354" t="s">
        <v>2</v>
      </c>
      <c r="C2" s="355"/>
      <c r="D2" s="355"/>
      <c r="E2" s="355"/>
      <c r="F2" s="355"/>
      <c r="G2" s="355"/>
      <c r="H2" s="355"/>
      <c r="I2" s="355"/>
      <c r="J2" s="355"/>
      <c r="K2" s="355"/>
      <c r="L2" s="355"/>
      <c r="M2" s="355"/>
      <c r="N2" s="355"/>
      <c r="O2" s="355"/>
      <c r="P2" s="355"/>
      <c r="Q2" s="355"/>
      <c r="R2" s="355"/>
      <c r="S2" s="355"/>
      <c r="T2" s="355"/>
      <c r="U2" s="355"/>
      <c r="V2" s="355"/>
      <c r="W2" s="355"/>
      <c r="X2" s="355"/>
      <c r="Y2" s="355"/>
      <c r="Z2" s="355"/>
      <c r="AA2" s="356"/>
      <c r="AB2" s="360" t="s">
        <v>3</v>
      </c>
      <c r="AC2" s="361"/>
      <c r="AD2" s="362"/>
    </row>
    <row r="3" spans="1:33" ht="24" customHeight="1" x14ac:dyDescent="0.25">
      <c r="A3" s="352"/>
      <c r="B3" s="366" t="s">
        <v>4</v>
      </c>
      <c r="C3" s="367"/>
      <c r="D3" s="367"/>
      <c r="E3" s="367"/>
      <c r="F3" s="367"/>
      <c r="G3" s="367"/>
      <c r="H3" s="367"/>
      <c r="I3" s="367"/>
      <c r="J3" s="367"/>
      <c r="K3" s="367"/>
      <c r="L3" s="367"/>
      <c r="M3" s="367"/>
      <c r="N3" s="367"/>
      <c r="O3" s="367"/>
      <c r="P3" s="367"/>
      <c r="Q3" s="367"/>
      <c r="R3" s="367"/>
      <c r="S3" s="367"/>
      <c r="T3" s="367"/>
      <c r="U3" s="367"/>
      <c r="V3" s="367"/>
      <c r="W3" s="367"/>
      <c r="X3" s="367"/>
      <c r="Y3" s="367"/>
      <c r="Z3" s="367"/>
      <c r="AA3" s="368"/>
      <c r="AB3" s="360" t="s">
        <v>5</v>
      </c>
      <c r="AC3" s="361"/>
      <c r="AD3" s="362"/>
    </row>
    <row r="4" spans="1:33" ht="21.75" customHeight="1" thickBot="1" x14ac:dyDescent="0.3">
      <c r="A4" s="353"/>
      <c r="B4" s="369"/>
      <c r="C4" s="370"/>
      <c r="D4" s="370"/>
      <c r="E4" s="370"/>
      <c r="F4" s="370"/>
      <c r="G4" s="370"/>
      <c r="H4" s="370"/>
      <c r="I4" s="370"/>
      <c r="J4" s="370"/>
      <c r="K4" s="370"/>
      <c r="L4" s="370"/>
      <c r="M4" s="370"/>
      <c r="N4" s="370"/>
      <c r="O4" s="370"/>
      <c r="P4" s="370"/>
      <c r="Q4" s="370"/>
      <c r="R4" s="370"/>
      <c r="S4" s="370"/>
      <c r="T4" s="370"/>
      <c r="U4" s="370"/>
      <c r="V4" s="370"/>
      <c r="W4" s="370"/>
      <c r="X4" s="370"/>
      <c r="Y4" s="370"/>
      <c r="Z4" s="370"/>
      <c r="AA4" s="371"/>
      <c r="AB4" s="372" t="s">
        <v>6</v>
      </c>
      <c r="AC4" s="373"/>
      <c r="AD4" s="374"/>
    </row>
    <row r="5" spans="1:33" ht="9" customHeight="1" thickBot="1" x14ac:dyDescent="0.3">
      <c r="A5" s="51"/>
      <c r="B5" s="170"/>
      <c r="C5" s="17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3"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3" x14ac:dyDescent="0.25">
      <c r="A7" s="375" t="s">
        <v>7</v>
      </c>
      <c r="B7" s="376"/>
      <c r="C7" s="417" t="s">
        <v>32</v>
      </c>
      <c r="D7" s="381" t="s">
        <v>9</v>
      </c>
      <c r="E7" s="382"/>
      <c r="F7" s="382"/>
      <c r="G7" s="382"/>
      <c r="H7" s="383"/>
      <c r="I7" s="390">
        <v>45083</v>
      </c>
      <c r="J7" s="391"/>
      <c r="K7" s="381" t="s">
        <v>10</v>
      </c>
      <c r="L7" s="383"/>
      <c r="M7" s="415" t="s">
        <v>11</v>
      </c>
      <c r="N7" s="416"/>
      <c r="O7" s="396"/>
      <c r="P7" s="397"/>
      <c r="Q7" s="255"/>
      <c r="R7" s="255"/>
      <c r="S7" s="255"/>
      <c r="T7" s="255"/>
      <c r="U7" s="255"/>
      <c r="V7" s="255"/>
      <c r="W7" s="255"/>
      <c r="X7" s="255"/>
      <c r="Y7" s="255"/>
      <c r="Z7" s="256"/>
      <c r="AA7" s="255"/>
      <c r="AB7" s="255"/>
      <c r="AC7" s="257"/>
      <c r="AD7" s="258"/>
      <c r="AE7" s="259"/>
      <c r="AF7" s="259"/>
      <c r="AG7" s="259"/>
    </row>
    <row r="8" spans="1:33" x14ac:dyDescent="0.25">
      <c r="A8" s="377"/>
      <c r="B8" s="378"/>
      <c r="C8" s="418"/>
      <c r="D8" s="384"/>
      <c r="E8" s="385"/>
      <c r="F8" s="385"/>
      <c r="G8" s="385"/>
      <c r="H8" s="386"/>
      <c r="I8" s="392"/>
      <c r="J8" s="393"/>
      <c r="K8" s="384"/>
      <c r="L8" s="386"/>
      <c r="M8" s="398" t="s">
        <v>12</v>
      </c>
      <c r="N8" s="399"/>
      <c r="O8" s="413"/>
      <c r="P8" s="414"/>
      <c r="Q8" s="255"/>
      <c r="R8" s="255"/>
      <c r="S8" s="255"/>
      <c r="T8" s="255"/>
      <c r="U8" s="255"/>
      <c r="V8" s="255"/>
      <c r="W8" s="255"/>
      <c r="X8" s="255"/>
      <c r="Y8" s="255"/>
      <c r="Z8" s="256"/>
      <c r="AA8" s="255"/>
      <c r="AB8" s="255"/>
      <c r="AC8" s="257"/>
      <c r="AD8" s="258"/>
      <c r="AE8" s="259"/>
      <c r="AF8" s="259"/>
      <c r="AG8" s="259"/>
    </row>
    <row r="9" spans="1:33" ht="15.75" thickBot="1" x14ac:dyDescent="0.3">
      <c r="A9" s="379"/>
      <c r="B9" s="380"/>
      <c r="C9" s="419"/>
      <c r="D9" s="387"/>
      <c r="E9" s="388"/>
      <c r="F9" s="388"/>
      <c r="G9" s="388"/>
      <c r="H9" s="389"/>
      <c r="I9" s="394"/>
      <c r="J9" s="395"/>
      <c r="K9" s="387"/>
      <c r="L9" s="389"/>
      <c r="M9" s="430" t="s">
        <v>13</v>
      </c>
      <c r="N9" s="431"/>
      <c r="O9" s="432" t="s">
        <v>14</v>
      </c>
      <c r="P9" s="433"/>
      <c r="Q9" s="255"/>
      <c r="R9" s="255"/>
      <c r="S9" s="255"/>
      <c r="T9" s="255"/>
      <c r="U9" s="255"/>
      <c r="V9" s="255"/>
      <c r="W9" s="255"/>
      <c r="X9" s="255"/>
      <c r="Y9" s="255"/>
      <c r="Z9" s="256"/>
      <c r="AA9" s="255"/>
      <c r="AB9" s="255"/>
      <c r="AC9" s="257"/>
      <c r="AD9" s="258"/>
      <c r="AE9" s="259"/>
      <c r="AF9" s="259"/>
      <c r="AG9" s="259"/>
    </row>
    <row r="10" spans="1:33" ht="15" customHeight="1" thickBot="1" x14ac:dyDescent="0.3">
      <c r="A10" s="146"/>
      <c r="B10" s="147"/>
      <c r="C10" s="147"/>
      <c r="D10" s="65"/>
      <c r="E10" s="65"/>
      <c r="F10" s="65"/>
      <c r="G10" s="65"/>
      <c r="H10" s="65"/>
      <c r="I10" s="143"/>
      <c r="J10" s="143"/>
      <c r="K10" s="65"/>
      <c r="L10" s="65"/>
      <c r="M10" s="144"/>
      <c r="N10" s="144"/>
      <c r="O10" s="145"/>
      <c r="P10" s="145"/>
      <c r="Q10" s="147"/>
      <c r="R10" s="147"/>
      <c r="S10" s="147"/>
      <c r="T10" s="147"/>
      <c r="U10" s="147"/>
      <c r="V10" s="147"/>
      <c r="W10" s="147"/>
      <c r="X10" s="147"/>
      <c r="Y10" s="147"/>
      <c r="Z10" s="148"/>
      <c r="AA10" s="147"/>
      <c r="AB10" s="147"/>
      <c r="AC10" s="149"/>
      <c r="AD10" s="150"/>
    </row>
    <row r="11" spans="1:33" ht="15" customHeight="1" x14ac:dyDescent="0.25">
      <c r="A11" s="375" t="s">
        <v>15</v>
      </c>
      <c r="B11" s="376"/>
      <c r="C11" s="434" t="s">
        <v>16</v>
      </c>
      <c r="D11" s="435"/>
      <c r="E11" s="435"/>
      <c r="F11" s="435"/>
      <c r="G11" s="435"/>
      <c r="H11" s="435"/>
      <c r="I11" s="435"/>
      <c r="J11" s="435"/>
      <c r="K11" s="435"/>
      <c r="L11" s="435"/>
      <c r="M11" s="435"/>
      <c r="N11" s="435"/>
      <c r="O11" s="435"/>
      <c r="P11" s="435"/>
      <c r="Q11" s="435"/>
      <c r="R11" s="435"/>
      <c r="S11" s="435"/>
      <c r="T11" s="435"/>
      <c r="U11" s="435"/>
      <c r="V11" s="435"/>
      <c r="W11" s="435"/>
      <c r="X11" s="435"/>
      <c r="Y11" s="435"/>
      <c r="Z11" s="435"/>
      <c r="AA11" s="435"/>
      <c r="AB11" s="435"/>
      <c r="AC11" s="435"/>
      <c r="AD11" s="436"/>
    </row>
    <row r="12" spans="1:33" ht="15" customHeight="1" x14ac:dyDescent="0.25">
      <c r="A12" s="377"/>
      <c r="B12" s="378"/>
      <c r="C12" s="437"/>
      <c r="D12" s="438"/>
      <c r="E12" s="438"/>
      <c r="F12" s="438"/>
      <c r="G12" s="438"/>
      <c r="H12" s="438"/>
      <c r="I12" s="438"/>
      <c r="J12" s="438"/>
      <c r="K12" s="438"/>
      <c r="L12" s="438"/>
      <c r="M12" s="438"/>
      <c r="N12" s="438"/>
      <c r="O12" s="438"/>
      <c r="P12" s="438"/>
      <c r="Q12" s="438"/>
      <c r="R12" s="438"/>
      <c r="S12" s="438"/>
      <c r="T12" s="438"/>
      <c r="U12" s="438"/>
      <c r="V12" s="438"/>
      <c r="W12" s="438"/>
      <c r="X12" s="438"/>
      <c r="Y12" s="438"/>
      <c r="Z12" s="438"/>
      <c r="AA12" s="438"/>
      <c r="AB12" s="438"/>
      <c r="AC12" s="438"/>
      <c r="AD12" s="439"/>
    </row>
    <row r="13" spans="1:33" ht="15" customHeight="1" thickBot="1" x14ac:dyDescent="0.3">
      <c r="A13" s="379"/>
      <c r="B13" s="380"/>
      <c r="C13" s="440"/>
      <c r="D13" s="441"/>
      <c r="E13" s="441"/>
      <c r="F13" s="441"/>
      <c r="G13" s="441"/>
      <c r="H13" s="441"/>
      <c r="I13" s="441"/>
      <c r="J13" s="441"/>
      <c r="K13" s="441"/>
      <c r="L13" s="441"/>
      <c r="M13" s="441"/>
      <c r="N13" s="441"/>
      <c r="O13" s="441"/>
      <c r="P13" s="441"/>
      <c r="Q13" s="441"/>
      <c r="R13" s="441"/>
      <c r="S13" s="441"/>
      <c r="T13" s="441"/>
      <c r="U13" s="441"/>
      <c r="V13" s="441"/>
      <c r="W13" s="441"/>
      <c r="X13" s="441"/>
      <c r="Y13" s="441"/>
      <c r="Z13" s="441"/>
      <c r="AA13" s="441"/>
      <c r="AB13" s="441"/>
      <c r="AC13" s="441"/>
      <c r="AD13" s="442"/>
    </row>
    <row r="14" spans="1:3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3" ht="49.35" customHeight="1" thickBot="1" x14ac:dyDescent="0.3">
      <c r="A15" s="428" t="s">
        <v>17</v>
      </c>
      <c r="B15" s="429"/>
      <c r="C15" s="363" t="s">
        <v>18</v>
      </c>
      <c r="D15" s="364"/>
      <c r="E15" s="364"/>
      <c r="F15" s="364"/>
      <c r="G15" s="364"/>
      <c r="H15" s="364"/>
      <c r="I15" s="364"/>
      <c r="J15" s="364"/>
      <c r="K15" s="365"/>
      <c r="L15" s="423" t="s">
        <v>19</v>
      </c>
      <c r="M15" s="427"/>
      <c r="N15" s="427"/>
      <c r="O15" s="427"/>
      <c r="P15" s="427"/>
      <c r="Q15" s="424"/>
      <c r="R15" s="420" t="s">
        <v>20</v>
      </c>
      <c r="S15" s="421"/>
      <c r="T15" s="421"/>
      <c r="U15" s="421"/>
      <c r="V15" s="421"/>
      <c r="W15" s="421"/>
      <c r="X15" s="422"/>
      <c r="Y15" s="423" t="s">
        <v>21</v>
      </c>
      <c r="Z15" s="424"/>
      <c r="AA15" s="456" t="s">
        <v>597</v>
      </c>
      <c r="AB15" s="457"/>
      <c r="AC15" s="457"/>
      <c r="AD15" s="458"/>
    </row>
    <row r="16" spans="1:33" ht="9" customHeight="1" thickBot="1" x14ac:dyDescent="0.3">
      <c r="A16" s="59"/>
      <c r="B16" s="54"/>
      <c r="C16" s="471"/>
      <c r="D16" s="471"/>
      <c r="E16" s="471"/>
      <c r="F16" s="471"/>
      <c r="G16" s="471"/>
      <c r="H16" s="471"/>
      <c r="I16" s="471"/>
      <c r="J16" s="471"/>
      <c r="K16" s="471"/>
      <c r="L16" s="471"/>
      <c r="M16" s="471"/>
      <c r="N16" s="471"/>
      <c r="O16" s="471"/>
      <c r="P16" s="471"/>
      <c r="Q16" s="471"/>
      <c r="R16" s="471"/>
      <c r="S16" s="471"/>
      <c r="T16" s="471"/>
      <c r="U16" s="471"/>
      <c r="V16" s="471"/>
      <c r="W16" s="471"/>
      <c r="X16" s="471"/>
      <c r="Y16" s="471"/>
      <c r="Z16" s="471"/>
      <c r="AA16" s="471"/>
      <c r="AB16" s="471"/>
      <c r="AC16" s="73"/>
      <c r="AD16" s="74"/>
    </row>
    <row r="17" spans="1:41" s="76" customFormat="1" ht="37.5" customHeight="1" thickBot="1" x14ac:dyDescent="0.3">
      <c r="A17" s="428" t="s">
        <v>22</v>
      </c>
      <c r="B17" s="429"/>
      <c r="C17" s="472" t="s">
        <v>23</v>
      </c>
      <c r="D17" s="473"/>
      <c r="E17" s="473"/>
      <c r="F17" s="473"/>
      <c r="G17" s="473"/>
      <c r="H17" s="473"/>
      <c r="I17" s="473"/>
      <c r="J17" s="473"/>
      <c r="K17" s="473"/>
      <c r="L17" s="473"/>
      <c r="M17" s="473"/>
      <c r="N17" s="473"/>
      <c r="O17" s="473"/>
      <c r="P17" s="473"/>
      <c r="Q17" s="474"/>
      <c r="R17" s="423" t="s">
        <v>24</v>
      </c>
      <c r="S17" s="427"/>
      <c r="T17" s="427"/>
      <c r="U17" s="427"/>
      <c r="V17" s="424"/>
      <c r="W17" s="425">
        <v>0.55000000000000004</v>
      </c>
      <c r="X17" s="426"/>
      <c r="Y17" s="427" t="s">
        <v>25</v>
      </c>
      <c r="Z17" s="427"/>
      <c r="AA17" s="427"/>
      <c r="AB17" s="424"/>
      <c r="AC17" s="469">
        <v>0.18</v>
      </c>
      <c r="AD17" s="470"/>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23" t="s">
        <v>26</v>
      </c>
      <c r="B19" s="427"/>
      <c r="C19" s="427"/>
      <c r="D19" s="427"/>
      <c r="E19" s="427"/>
      <c r="F19" s="427"/>
      <c r="G19" s="427"/>
      <c r="H19" s="427"/>
      <c r="I19" s="427"/>
      <c r="J19" s="427"/>
      <c r="K19" s="427"/>
      <c r="L19" s="427"/>
      <c r="M19" s="427"/>
      <c r="N19" s="427"/>
      <c r="O19" s="427"/>
      <c r="P19" s="427"/>
      <c r="Q19" s="427"/>
      <c r="R19" s="427"/>
      <c r="S19" s="427"/>
      <c r="T19" s="427"/>
      <c r="U19" s="427"/>
      <c r="V19" s="427"/>
      <c r="W19" s="427"/>
      <c r="X19" s="427"/>
      <c r="Y19" s="427"/>
      <c r="Z19" s="427"/>
      <c r="AA19" s="427"/>
      <c r="AB19" s="427"/>
      <c r="AC19" s="427"/>
      <c r="AD19" s="424"/>
      <c r="AE19" s="83"/>
      <c r="AF19" s="83"/>
    </row>
    <row r="20" spans="1:41" ht="32.1" customHeight="1" thickBot="1" x14ac:dyDescent="0.3">
      <c r="A20" s="82"/>
      <c r="B20" s="60"/>
      <c r="C20" s="447" t="s">
        <v>27</v>
      </c>
      <c r="D20" s="448"/>
      <c r="E20" s="448"/>
      <c r="F20" s="448"/>
      <c r="G20" s="448"/>
      <c r="H20" s="448"/>
      <c r="I20" s="448"/>
      <c r="J20" s="448"/>
      <c r="K20" s="448"/>
      <c r="L20" s="448"/>
      <c r="M20" s="448"/>
      <c r="N20" s="448"/>
      <c r="O20" s="448"/>
      <c r="P20" s="449"/>
      <c r="Q20" s="444" t="s">
        <v>28</v>
      </c>
      <c r="R20" s="445"/>
      <c r="S20" s="445"/>
      <c r="T20" s="445"/>
      <c r="U20" s="445"/>
      <c r="V20" s="445"/>
      <c r="W20" s="445"/>
      <c r="X20" s="445"/>
      <c r="Y20" s="445"/>
      <c r="Z20" s="445"/>
      <c r="AA20" s="445"/>
      <c r="AB20" s="445"/>
      <c r="AC20" s="445"/>
      <c r="AD20" s="446"/>
      <c r="AE20" s="83"/>
      <c r="AF20" s="83"/>
    </row>
    <row r="21" spans="1:41" ht="32.1" customHeight="1" thickBot="1" x14ac:dyDescent="0.3">
      <c r="A21" s="59"/>
      <c r="B21" s="54"/>
      <c r="C21" s="167" t="s">
        <v>29</v>
      </c>
      <c r="D21" s="168" t="s">
        <v>30</v>
      </c>
      <c r="E21" s="168" t="s">
        <v>31</v>
      </c>
      <c r="F21" s="168" t="s">
        <v>8</v>
      </c>
      <c r="G21" s="168" t="s">
        <v>32</v>
      </c>
      <c r="H21" s="168" t="s">
        <v>33</v>
      </c>
      <c r="I21" s="168" t="s">
        <v>34</v>
      </c>
      <c r="J21" s="168" t="s">
        <v>35</v>
      </c>
      <c r="K21" s="168" t="s">
        <v>36</v>
      </c>
      <c r="L21" s="168" t="s">
        <v>37</v>
      </c>
      <c r="M21" s="168" t="s">
        <v>38</v>
      </c>
      <c r="N21" s="168" t="s">
        <v>39</v>
      </c>
      <c r="O21" s="168" t="s">
        <v>40</v>
      </c>
      <c r="P21" s="169" t="s">
        <v>41</v>
      </c>
      <c r="Q21" s="167" t="s">
        <v>29</v>
      </c>
      <c r="R21" s="168" t="s">
        <v>30</v>
      </c>
      <c r="S21" s="168" t="s">
        <v>31</v>
      </c>
      <c r="T21" s="168" t="s">
        <v>8</v>
      </c>
      <c r="U21" s="168" t="s">
        <v>32</v>
      </c>
      <c r="V21" s="168" t="s">
        <v>33</v>
      </c>
      <c r="W21" s="168" t="s">
        <v>34</v>
      </c>
      <c r="X21" s="168" t="s">
        <v>35</v>
      </c>
      <c r="Y21" s="168" t="s">
        <v>36</v>
      </c>
      <c r="Z21" s="168" t="s">
        <v>37</v>
      </c>
      <c r="AA21" s="168" t="s">
        <v>38</v>
      </c>
      <c r="AB21" s="168" t="s">
        <v>39</v>
      </c>
      <c r="AC21" s="168" t="s">
        <v>40</v>
      </c>
      <c r="AD21" s="169" t="s">
        <v>41</v>
      </c>
      <c r="AE21" s="3"/>
      <c r="AF21" s="3"/>
    </row>
    <row r="22" spans="1:41" ht="32.1" customHeight="1" x14ac:dyDescent="0.25">
      <c r="A22" s="408" t="s">
        <v>42</v>
      </c>
      <c r="B22" s="468"/>
      <c r="C22" s="157"/>
      <c r="D22" s="155"/>
      <c r="E22" s="155"/>
      <c r="F22" s="155"/>
      <c r="G22" s="155"/>
      <c r="H22" s="155"/>
      <c r="I22" s="155"/>
      <c r="J22" s="155"/>
      <c r="K22" s="155"/>
      <c r="L22" s="155"/>
      <c r="M22" s="155"/>
      <c r="N22" s="155"/>
      <c r="O22" s="155">
        <f>SUM(C22:N22)</f>
        <v>0</v>
      </c>
      <c r="P22" s="158"/>
      <c r="Q22" s="174">
        <v>752554960</v>
      </c>
      <c r="R22" s="175">
        <v>8537488</v>
      </c>
      <c r="S22" s="175">
        <v>0</v>
      </c>
      <c r="T22" s="175">
        <v>0</v>
      </c>
      <c r="U22" s="175">
        <v>0</v>
      </c>
      <c r="V22" s="175">
        <v>217351570</v>
      </c>
      <c r="W22" s="175">
        <v>0</v>
      </c>
      <c r="X22" s="175">
        <v>0</v>
      </c>
      <c r="Y22" s="175">
        <v>0</v>
      </c>
      <c r="Z22" s="175">
        <v>0</v>
      </c>
      <c r="AA22" s="175">
        <v>0</v>
      </c>
      <c r="AB22" s="175">
        <v>0</v>
      </c>
      <c r="AC22" s="155">
        <f>SUM(Q22:AB22)</f>
        <v>978444018</v>
      </c>
      <c r="AD22" s="161"/>
      <c r="AE22" s="3"/>
      <c r="AF22" s="3"/>
    </row>
    <row r="23" spans="1:41" ht="32.1" customHeight="1" x14ac:dyDescent="0.25">
      <c r="A23" s="409" t="s">
        <v>43</v>
      </c>
      <c r="B23" s="443"/>
      <c r="C23" s="152"/>
      <c r="D23" s="151"/>
      <c r="E23" s="151"/>
      <c r="F23" s="151"/>
      <c r="G23" s="151"/>
      <c r="H23" s="151"/>
      <c r="I23" s="151"/>
      <c r="J23" s="151"/>
      <c r="K23" s="151"/>
      <c r="L23" s="151"/>
      <c r="M23" s="151"/>
      <c r="N23" s="151"/>
      <c r="O23" s="151">
        <f>SUM(C23:N23)</f>
        <v>0</v>
      </c>
      <c r="P23" s="162" t="str">
        <f>IFERROR(O23/(SUMIF(C23:N23,"&gt;0",C22:N22))," ")</f>
        <v xml:space="preserve"> </v>
      </c>
      <c r="Q23" s="176">
        <f>416447802</f>
        <v>416447802</v>
      </c>
      <c r="R23" s="177">
        <f>666232222-Q23</f>
        <v>249784420</v>
      </c>
      <c r="S23" s="177">
        <f>733025069-Q23-R23</f>
        <v>66792847</v>
      </c>
      <c r="T23" s="177">
        <f>714260395-Q23-R23-S23</f>
        <v>-18764674</v>
      </c>
      <c r="U23" s="177">
        <f>734170887-Q23-R23-S23-T23</f>
        <v>19910492</v>
      </c>
      <c r="V23" s="177"/>
      <c r="W23" s="177"/>
      <c r="X23" s="177"/>
      <c r="Y23" s="177"/>
      <c r="Z23" s="177"/>
      <c r="AA23" s="177"/>
      <c r="AB23" s="177"/>
      <c r="AC23" s="151">
        <f>SUM(Q23:AB23)</f>
        <v>734170887</v>
      </c>
      <c r="AD23" s="160">
        <f>AC23/AC22</f>
        <v>0.75034531715027564</v>
      </c>
      <c r="AE23" s="3"/>
      <c r="AF23" s="3"/>
    </row>
    <row r="24" spans="1:41" ht="32.1" customHeight="1" x14ac:dyDescent="0.25">
      <c r="A24" s="409" t="s">
        <v>44</v>
      </c>
      <c r="B24" s="443"/>
      <c r="C24" s="152">
        <f>22111116</f>
        <v>22111116</v>
      </c>
      <c r="D24" s="151">
        <f>598400+1266667+1619390</f>
        <v>3484457</v>
      </c>
      <c r="E24" s="151">
        <v>10000000</v>
      </c>
      <c r="F24" s="151">
        <v>13369627</v>
      </c>
      <c r="G24" s="151"/>
      <c r="H24" s="151"/>
      <c r="I24" s="151"/>
      <c r="J24" s="151"/>
      <c r="K24" s="151"/>
      <c r="L24" s="151"/>
      <c r="M24" s="151"/>
      <c r="N24" s="151"/>
      <c r="O24" s="177">
        <f>SUM(C24:N24)</f>
        <v>48965200</v>
      </c>
      <c r="P24" s="156"/>
      <c r="Q24" s="176"/>
      <c r="R24" s="177">
        <f>5677247+15634065</f>
        <v>21311312</v>
      </c>
      <c r="S24" s="177">
        <f>9767318+40103208</f>
        <v>49870526</v>
      </c>
      <c r="T24" s="177">
        <f>9767318+40103208+1000000+14000000</f>
        <v>64870526</v>
      </c>
      <c r="U24" s="177">
        <f>8536960+9767318+40103208+14000000</f>
        <v>72407486</v>
      </c>
      <c r="V24" s="177">
        <f>9767318+40103208+1000000+24000000</f>
        <v>74870526</v>
      </c>
      <c r="W24" s="177">
        <f>18438000+9767318+40103208+30000000</f>
        <v>98308526</v>
      </c>
      <c r="X24" s="177">
        <f>2700000+814000+36000000+9767318+40103208+10000000</f>
        <v>99384526</v>
      </c>
      <c r="Y24" s="177">
        <f>30000000+9767318+40103208+42435278</f>
        <v>122305804</v>
      </c>
      <c r="Z24" s="177">
        <f>43200000+9767318+40103208+20000000</f>
        <v>113070526</v>
      </c>
      <c r="AA24" s="177">
        <f>39000000+9767318+40103208+40000000</f>
        <v>128870526</v>
      </c>
      <c r="AB24" s="177">
        <f>43200000+9767318+40103208+40103208</f>
        <v>133173734</v>
      </c>
      <c r="AC24" s="151">
        <f>SUM(Q24:AB24)</f>
        <v>978444018</v>
      </c>
      <c r="AD24" s="160"/>
      <c r="AE24" s="3"/>
      <c r="AF24" s="3"/>
    </row>
    <row r="25" spans="1:41" ht="32.1" customHeight="1" thickBot="1" x14ac:dyDescent="0.3">
      <c r="A25" s="454" t="s">
        <v>45</v>
      </c>
      <c r="B25" s="455"/>
      <c r="C25" s="153">
        <f>23224956</f>
        <v>23224956</v>
      </c>
      <c r="D25" s="154">
        <f>26061657-C25</f>
        <v>2836701</v>
      </c>
      <c r="E25" s="154">
        <f>27904269-C25-D25</f>
        <v>1842612</v>
      </c>
      <c r="F25" s="154">
        <f>48726721-C25-D25-E25</f>
        <v>20822452</v>
      </c>
      <c r="G25" s="154">
        <f>48965200-C25-D25-E25-F25</f>
        <v>238479</v>
      </c>
      <c r="H25" s="154"/>
      <c r="I25" s="154"/>
      <c r="J25" s="154"/>
      <c r="K25" s="154"/>
      <c r="L25" s="154"/>
      <c r="M25" s="154"/>
      <c r="N25" s="154"/>
      <c r="O25" s="183">
        <f>SUM(C25:N25)</f>
        <v>48965200</v>
      </c>
      <c r="P25" s="159">
        <f>O25/O24</f>
        <v>1</v>
      </c>
      <c r="Q25" s="172"/>
      <c r="R25" s="173">
        <f>10341984</f>
        <v>10341984</v>
      </c>
      <c r="S25" s="173">
        <f>59458817-R25</f>
        <v>49116833</v>
      </c>
      <c r="T25" s="173">
        <f>119774632-R25-S25</f>
        <v>60315815</v>
      </c>
      <c r="U25" s="173">
        <f>197315348-R25-S25-T25</f>
        <v>77540716</v>
      </c>
      <c r="V25" s="173"/>
      <c r="W25" s="173"/>
      <c r="X25" s="173"/>
      <c r="Y25" s="173"/>
      <c r="Z25" s="173"/>
      <c r="AA25" s="173"/>
      <c r="AB25" s="173"/>
      <c r="AC25" s="154">
        <f>SUM(Q25:AB25)</f>
        <v>197315348</v>
      </c>
      <c r="AD25" s="276">
        <f>AC25/AC24</f>
        <v>0.20166237860324882</v>
      </c>
      <c r="AE25" s="3"/>
      <c r="AF25" s="3"/>
    </row>
    <row r="26" spans="1:41" ht="32.1" customHeight="1" thickBot="1" x14ac:dyDescent="0.3">
      <c r="A26" s="59"/>
      <c r="B26" s="54"/>
      <c r="C26" s="222"/>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50"/>
    </row>
    <row r="27" spans="1:41" ht="33.75" customHeight="1" x14ac:dyDescent="0.25">
      <c r="A27" s="450" t="s">
        <v>46</v>
      </c>
      <c r="B27" s="451"/>
      <c r="C27" s="452"/>
      <c r="D27" s="452"/>
      <c r="E27" s="452"/>
      <c r="F27" s="452"/>
      <c r="G27" s="452"/>
      <c r="H27" s="452"/>
      <c r="I27" s="452"/>
      <c r="J27" s="452"/>
      <c r="K27" s="452"/>
      <c r="L27" s="452"/>
      <c r="M27" s="452"/>
      <c r="N27" s="452"/>
      <c r="O27" s="452"/>
      <c r="P27" s="452"/>
      <c r="Q27" s="452"/>
      <c r="R27" s="452"/>
      <c r="S27" s="452"/>
      <c r="T27" s="452"/>
      <c r="U27" s="452"/>
      <c r="V27" s="452"/>
      <c r="W27" s="452"/>
      <c r="X27" s="452"/>
      <c r="Y27" s="452"/>
      <c r="Z27" s="452"/>
      <c r="AA27" s="452"/>
      <c r="AB27" s="452"/>
      <c r="AC27" s="452"/>
      <c r="AD27" s="453"/>
    </row>
    <row r="28" spans="1:41" ht="15" customHeight="1" x14ac:dyDescent="0.25">
      <c r="A28" s="459" t="s">
        <v>47</v>
      </c>
      <c r="B28" s="461" t="s">
        <v>48</v>
      </c>
      <c r="C28" s="462"/>
      <c r="D28" s="443" t="s">
        <v>49</v>
      </c>
      <c r="E28" s="465"/>
      <c r="F28" s="465"/>
      <c r="G28" s="465"/>
      <c r="H28" s="465"/>
      <c r="I28" s="465"/>
      <c r="J28" s="465"/>
      <c r="K28" s="465"/>
      <c r="L28" s="465"/>
      <c r="M28" s="465"/>
      <c r="N28" s="465"/>
      <c r="O28" s="466"/>
      <c r="P28" s="411" t="s">
        <v>40</v>
      </c>
      <c r="Q28" s="411" t="s">
        <v>50</v>
      </c>
      <c r="R28" s="411"/>
      <c r="S28" s="411"/>
      <c r="T28" s="411"/>
      <c r="U28" s="411"/>
      <c r="V28" s="411"/>
      <c r="W28" s="411"/>
      <c r="X28" s="411"/>
      <c r="Y28" s="411"/>
      <c r="Z28" s="411"/>
      <c r="AA28" s="411"/>
      <c r="AB28" s="411"/>
      <c r="AC28" s="411"/>
      <c r="AD28" s="467"/>
    </row>
    <row r="29" spans="1:41" ht="27" customHeight="1" x14ac:dyDescent="0.25">
      <c r="A29" s="460"/>
      <c r="B29" s="463"/>
      <c r="C29" s="464"/>
      <c r="D29" s="88" t="s">
        <v>29</v>
      </c>
      <c r="E29" s="88" t="s">
        <v>30</v>
      </c>
      <c r="F29" s="88" t="s">
        <v>31</v>
      </c>
      <c r="G29" s="88" t="s">
        <v>8</v>
      </c>
      <c r="H29" s="88" t="s">
        <v>32</v>
      </c>
      <c r="I29" s="88" t="s">
        <v>33</v>
      </c>
      <c r="J29" s="88" t="s">
        <v>34</v>
      </c>
      <c r="K29" s="88" t="s">
        <v>35</v>
      </c>
      <c r="L29" s="88" t="s">
        <v>36</v>
      </c>
      <c r="M29" s="88" t="s">
        <v>37</v>
      </c>
      <c r="N29" s="88" t="s">
        <v>38</v>
      </c>
      <c r="O29" s="88" t="s">
        <v>39</v>
      </c>
      <c r="P29" s="466"/>
      <c r="Q29" s="411"/>
      <c r="R29" s="411"/>
      <c r="S29" s="411"/>
      <c r="T29" s="411"/>
      <c r="U29" s="411"/>
      <c r="V29" s="411"/>
      <c r="W29" s="411"/>
      <c r="X29" s="411"/>
      <c r="Y29" s="411"/>
      <c r="Z29" s="411"/>
      <c r="AA29" s="411"/>
      <c r="AB29" s="411"/>
      <c r="AC29" s="411"/>
      <c r="AD29" s="467"/>
    </row>
    <row r="30" spans="1:41" ht="59.25" customHeight="1" thickBot="1" x14ac:dyDescent="0.3">
      <c r="A30" s="231" t="s">
        <v>51</v>
      </c>
      <c r="B30" s="400"/>
      <c r="C30" s="401"/>
      <c r="D30" s="89"/>
      <c r="E30" s="89"/>
      <c r="F30" s="89"/>
      <c r="G30" s="89"/>
      <c r="H30" s="89"/>
      <c r="I30" s="89"/>
      <c r="J30" s="89"/>
      <c r="K30" s="89"/>
      <c r="L30" s="89"/>
      <c r="M30" s="89"/>
      <c r="N30" s="89"/>
      <c r="O30" s="89"/>
      <c r="P30" s="86">
        <f>SUM(D30:O30)</f>
        <v>0</v>
      </c>
      <c r="Q30" s="402"/>
      <c r="R30" s="402"/>
      <c r="S30" s="402"/>
      <c r="T30" s="402"/>
      <c r="U30" s="402"/>
      <c r="V30" s="402"/>
      <c r="W30" s="402"/>
      <c r="X30" s="402"/>
      <c r="Y30" s="402"/>
      <c r="Z30" s="402"/>
      <c r="AA30" s="402"/>
      <c r="AB30" s="402"/>
      <c r="AC30" s="402"/>
      <c r="AD30" s="403"/>
    </row>
    <row r="31" spans="1:41" ht="45" customHeight="1" thickBot="1" x14ac:dyDescent="0.3">
      <c r="A31" s="404" t="s">
        <v>52</v>
      </c>
      <c r="B31" s="405"/>
      <c r="C31" s="405"/>
      <c r="D31" s="405"/>
      <c r="E31" s="405"/>
      <c r="F31" s="405"/>
      <c r="G31" s="405"/>
      <c r="H31" s="405"/>
      <c r="I31" s="405"/>
      <c r="J31" s="405"/>
      <c r="K31" s="405"/>
      <c r="L31" s="405"/>
      <c r="M31" s="405"/>
      <c r="N31" s="405"/>
      <c r="O31" s="405"/>
      <c r="P31" s="405"/>
      <c r="Q31" s="406"/>
      <c r="R31" s="406"/>
      <c r="S31" s="406"/>
      <c r="T31" s="406"/>
      <c r="U31" s="406"/>
      <c r="V31" s="406"/>
      <c r="W31" s="406"/>
      <c r="X31" s="406"/>
      <c r="Y31" s="406"/>
      <c r="Z31" s="406"/>
      <c r="AA31" s="406"/>
      <c r="AB31" s="406"/>
      <c r="AC31" s="406"/>
      <c r="AD31" s="407"/>
    </row>
    <row r="32" spans="1:41" ht="23.1" customHeight="1" x14ac:dyDescent="0.25">
      <c r="A32" s="408" t="s">
        <v>53</v>
      </c>
      <c r="B32" s="410" t="s">
        <v>54</v>
      </c>
      <c r="C32" s="410" t="s">
        <v>48</v>
      </c>
      <c r="D32" s="410" t="s">
        <v>55</v>
      </c>
      <c r="E32" s="410"/>
      <c r="F32" s="410"/>
      <c r="G32" s="410"/>
      <c r="H32" s="410"/>
      <c r="I32" s="410"/>
      <c r="J32" s="410"/>
      <c r="K32" s="410"/>
      <c r="L32" s="410"/>
      <c r="M32" s="410"/>
      <c r="N32" s="410"/>
      <c r="O32" s="410"/>
      <c r="P32" s="491"/>
      <c r="Q32" s="466" t="s">
        <v>56</v>
      </c>
      <c r="R32" s="411"/>
      <c r="S32" s="411"/>
      <c r="T32" s="411"/>
      <c r="U32" s="411"/>
      <c r="V32" s="411"/>
      <c r="W32" s="411"/>
      <c r="X32" s="411"/>
      <c r="Y32" s="411"/>
      <c r="Z32" s="411"/>
      <c r="AA32" s="411"/>
      <c r="AB32" s="411"/>
      <c r="AC32" s="411"/>
      <c r="AD32" s="467"/>
      <c r="AG32" s="87"/>
      <c r="AH32" s="87"/>
      <c r="AI32" s="87"/>
      <c r="AJ32" s="87"/>
      <c r="AK32" s="87"/>
      <c r="AL32" s="87"/>
      <c r="AM32" s="87"/>
      <c r="AN32" s="87"/>
      <c r="AO32" s="87"/>
    </row>
    <row r="33" spans="1:41" ht="27" customHeight="1" x14ac:dyDescent="0.25">
      <c r="A33" s="409"/>
      <c r="B33" s="411"/>
      <c r="C33" s="412"/>
      <c r="D33" s="88" t="s">
        <v>29</v>
      </c>
      <c r="E33" s="88" t="s">
        <v>30</v>
      </c>
      <c r="F33" s="88" t="s">
        <v>31</v>
      </c>
      <c r="G33" s="88" t="s">
        <v>8</v>
      </c>
      <c r="H33" s="88" t="s">
        <v>32</v>
      </c>
      <c r="I33" s="88" t="s">
        <v>33</v>
      </c>
      <c r="J33" s="88" t="s">
        <v>34</v>
      </c>
      <c r="K33" s="88" t="s">
        <v>35</v>
      </c>
      <c r="L33" s="88" t="s">
        <v>36</v>
      </c>
      <c r="M33" s="88" t="s">
        <v>37</v>
      </c>
      <c r="N33" s="88" t="s">
        <v>38</v>
      </c>
      <c r="O33" s="88" t="s">
        <v>39</v>
      </c>
      <c r="P33" s="271" t="s">
        <v>40</v>
      </c>
      <c r="Q33" s="466" t="s">
        <v>57</v>
      </c>
      <c r="R33" s="411"/>
      <c r="S33" s="411"/>
      <c r="T33" s="411" t="s">
        <v>58</v>
      </c>
      <c r="U33" s="411"/>
      <c r="V33" s="411"/>
      <c r="W33" s="463" t="s">
        <v>59</v>
      </c>
      <c r="X33" s="492"/>
      <c r="Y33" s="492"/>
      <c r="Z33" s="464"/>
      <c r="AA33" s="463" t="s">
        <v>60</v>
      </c>
      <c r="AB33" s="492"/>
      <c r="AC33" s="492"/>
      <c r="AD33" s="493"/>
      <c r="AG33" s="87"/>
      <c r="AH33" s="87"/>
      <c r="AI33" s="87"/>
      <c r="AJ33" s="87"/>
      <c r="AK33" s="87"/>
      <c r="AL33" s="87"/>
      <c r="AM33" s="87"/>
      <c r="AN33" s="87"/>
      <c r="AO33" s="87"/>
    </row>
    <row r="34" spans="1:41" ht="45.75" customHeight="1" x14ac:dyDescent="0.25">
      <c r="A34" s="475" t="s">
        <v>51</v>
      </c>
      <c r="B34" s="477">
        <v>0.18</v>
      </c>
      <c r="C34" s="90" t="s">
        <v>61</v>
      </c>
      <c r="D34" s="230">
        <f>D75</f>
        <v>1.6041666666666673E-2</v>
      </c>
      <c r="E34" s="230">
        <f t="shared" ref="E34:O34" si="0">E75</f>
        <v>3.4375000000000017E-2</v>
      </c>
      <c r="F34" s="230">
        <f t="shared" si="0"/>
        <v>3.9416666666666676E-2</v>
      </c>
      <c r="G34" s="230">
        <f t="shared" si="0"/>
        <v>4.0944444444444457E-2</v>
      </c>
      <c r="H34" s="230">
        <f t="shared" si="0"/>
        <v>4.4763888888888902E-2</v>
      </c>
      <c r="I34" s="230">
        <f t="shared" si="0"/>
        <v>4.4763888888888902E-2</v>
      </c>
      <c r="J34" s="230">
        <f t="shared" si="0"/>
        <v>4.4763888888888902E-2</v>
      </c>
      <c r="K34" s="230">
        <f t="shared" si="0"/>
        <v>4.4763888888888902E-2</v>
      </c>
      <c r="L34" s="230">
        <f t="shared" si="0"/>
        <v>6.9208333333333358E-2</v>
      </c>
      <c r="M34" s="230">
        <f t="shared" si="0"/>
        <v>6.9208333333333358E-2</v>
      </c>
      <c r="N34" s="230">
        <f t="shared" si="0"/>
        <v>5.6986111111111126E-2</v>
      </c>
      <c r="O34" s="230">
        <f t="shared" si="0"/>
        <v>4.4763888888888902E-2</v>
      </c>
      <c r="P34" s="234">
        <f>SUM(D34:O34)</f>
        <v>0.55000000000000016</v>
      </c>
      <c r="Q34" s="487" t="s">
        <v>541</v>
      </c>
      <c r="R34" s="487"/>
      <c r="S34" s="488"/>
      <c r="T34" s="487" t="s">
        <v>542</v>
      </c>
      <c r="U34" s="487"/>
      <c r="V34" s="488"/>
      <c r="W34" s="479" t="s">
        <v>588</v>
      </c>
      <c r="X34" s="480"/>
      <c r="Y34" s="480"/>
      <c r="Z34" s="481"/>
      <c r="AA34" s="479" t="s">
        <v>543</v>
      </c>
      <c r="AB34" s="480"/>
      <c r="AC34" s="480"/>
      <c r="AD34" s="485"/>
      <c r="AG34" s="87"/>
      <c r="AH34" s="87"/>
      <c r="AI34" s="87"/>
      <c r="AJ34" s="87"/>
      <c r="AK34" s="87"/>
      <c r="AL34" s="87"/>
      <c r="AM34" s="87"/>
      <c r="AN34" s="87"/>
      <c r="AO34" s="87"/>
    </row>
    <row r="35" spans="1:41" ht="45.75" customHeight="1" thickBot="1" x14ac:dyDescent="0.3">
      <c r="A35" s="476"/>
      <c r="B35" s="478"/>
      <c r="C35" s="91" t="s">
        <v>62</v>
      </c>
      <c r="D35" s="224">
        <f>D72</f>
        <v>1.6041666666666673E-2</v>
      </c>
      <c r="E35" s="224">
        <f t="shared" ref="E35:O35" si="1">E72</f>
        <v>3.4375000000000017E-2</v>
      </c>
      <c r="F35" s="224">
        <f t="shared" si="1"/>
        <v>3.9416666666666676E-2</v>
      </c>
      <c r="G35" s="224">
        <f t="shared" si="1"/>
        <v>3.7888888888888896E-2</v>
      </c>
      <c r="H35" s="224">
        <f t="shared" si="1"/>
        <v>4.1708333333333347E-2</v>
      </c>
      <c r="I35" s="224">
        <f t="shared" si="1"/>
        <v>0</v>
      </c>
      <c r="J35" s="224">
        <f t="shared" si="1"/>
        <v>0</v>
      </c>
      <c r="K35" s="224">
        <f t="shared" si="1"/>
        <v>0</v>
      </c>
      <c r="L35" s="224">
        <f t="shared" si="1"/>
        <v>0</v>
      </c>
      <c r="M35" s="224">
        <f t="shared" si="1"/>
        <v>0</v>
      </c>
      <c r="N35" s="224">
        <f t="shared" si="1"/>
        <v>0</v>
      </c>
      <c r="O35" s="224">
        <f t="shared" si="1"/>
        <v>0</v>
      </c>
      <c r="P35" s="235">
        <f>SUM(D35:O35)</f>
        <v>0.16943055555555561</v>
      </c>
      <c r="Q35" s="489"/>
      <c r="R35" s="489"/>
      <c r="S35" s="490"/>
      <c r="T35" s="489"/>
      <c r="U35" s="489"/>
      <c r="V35" s="490"/>
      <c r="W35" s="482"/>
      <c r="X35" s="483"/>
      <c r="Y35" s="483"/>
      <c r="Z35" s="484"/>
      <c r="AA35" s="482"/>
      <c r="AB35" s="483"/>
      <c r="AC35" s="483"/>
      <c r="AD35" s="486"/>
      <c r="AE35" s="49"/>
      <c r="AG35" s="87"/>
      <c r="AH35" s="87"/>
      <c r="AI35" s="87"/>
      <c r="AJ35" s="87"/>
      <c r="AK35" s="87"/>
      <c r="AL35" s="87"/>
      <c r="AM35" s="87"/>
      <c r="AN35" s="87"/>
      <c r="AO35" s="87"/>
    </row>
    <row r="36" spans="1:41" ht="26.1" customHeight="1" x14ac:dyDescent="0.25">
      <c r="A36" s="408" t="s">
        <v>63</v>
      </c>
      <c r="B36" s="509" t="s">
        <v>64</v>
      </c>
      <c r="C36" s="410" t="s">
        <v>65</v>
      </c>
      <c r="D36" s="410"/>
      <c r="E36" s="410"/>
      <c r="F36" s="410"/>
      <c r="G36" s="410"/>
      <c r="H36" s="410"/>
      <c r="I36" s="410"/>
      <c r="J36" s="410"/>
      <c r="K36" s="410"/>
      <c r="L36" s="410"/>
      <c r="M36" s="410"/>
      <c r="N36" s="410"/>
      <c r="O36" s="410"/>
      <c r="P36" s="491"/>
      <c r="Q36" s="511" t="s">
        <v>66</v>
      </c>
      <c r="R36" s="512"/>
      <c r="S36" s="512"/>
      <c r="T36" s="512"/>
      <c r="U36" s="512"/>
      <c r="V36" s="512"/>
      <c r="W36" s="512"/>
      <c r="X36" s="512"/>
      <c r="Y36" s="512"/>
      <c r="Z36" s="512"/>
      <c r="AA36" s="512"/>
      <c r="AB36" s="512"/>
      <c r="AC36" s="512"/>
      <c r="AD36" s="513"/>
      <c r="AG36" s="87"/>
      <c r="AH36" s="87"/>
      <c r="AI36" s="87"/>
      <c r="AJ36" s="87"/>
      <c r="AK36" s="87"/>
      <c r="AL36" s="87"/>
      <c r="AM36" s="87"/>
      <c r="AN36" s="87"/>
      <c r="AO36" s="87"/>
    </row>
    <row r="37" spans="1:41" ht="60.75" customHeight="1" thickBot="1" x14ac:dyDescent="0.3">
      <c r="A37" s="454"/>
      <c r="B37" s="510"/>
      <c r="C37" s="239" t="s">
        <v>67</v>
      </c>
      <c r="D37" s="239" t="s">
        <v>68</v>
      </c>
      <c r="E37" s="239" t="s">
        <v>69</v>
      </c>
      <c r="F37" s="239" t="s">
        <v>70</v>
      </c>
      <c r="G37" s="239" t="s">
        <v>71</v>
      </c>
      <c r="H37" s="239" t="s">
        <v>72</v>
      </c>
      <c r="I37" s="239" t="s">
        <v>73</v>
      </c>
      <c r="J37" s="239" t="s">
        <v>74</v>
      </c>
      <c r="K37" s="239" t="s">
        <v>75</v>
      </c>
      <c r="L37" s="239" t="s">
        <v>76</v>
      </c>
      <c r="M37" s="239" t="s">
        <v>77</v>
      </c>
      <c r="N37" s="239" t="s">
        <v>78</v>
      </c>
      <c r="O37" s="239" t="s">
        <v>79</v>
      </c>
      <c r="P37" s="240" t="s">
        <v>80</v>
      </c>
      <c r="Q37" s="514" t="s">
        <v>81</v>
      </c>
      <c r="R37" s="515"/>
      <c r="S37" s="515"/>
      <c r="T37" s="515"/>
      <c r="U37" s="515"/>
      <c r="V37" s="515"/>
      <c r="W37" s="515"/>
      <c r="X37" s="515"/>
      <c r="Y37" s="515"/>
      <c r="Z37" s="515"/>
      <c r="AA37" s="515"/>
      <c r="AB37" s="515"/>
      <c r="AC37" s="515"/>
      <c r="AD37" s="516"/>
      <c r="AG37" s="94"/>
      <c r="AH37" s="94"/>
      <c r="AI37" s="94"/>
      <c r="AJ37" s="94"/>
      <c r="AK37" s="94"/>
      <c r="AL37" s="94"/>
      <c r="AM37" s="94"/>
      <c r="AN37" s="94"/>
      <c r="AO37" s="94"/>
    </row>
    <row r="38" spans="1:41" ht="28.35" customHeight="1" x14ac:dyDescent="0.25">
      <c r="A38" s="517" t="s">
        <v>82</v>
      </c>
      <c r="B38" s="518">
        <v>0.05</v>
      </c>
      <c r="C38" s="90" t="s">
        <v>61</v>
      </c>
      <c r="D38" s="95">
        <v>0.05</v>
      </c>
      <c r="E38" s="95">
        <v>0.05</v>
      </c>
      <c r="F38" s="95">
        <v>0.09</v>
      </c>
      <c r="G38" s="95">
        <v>0.09</v>
      </c>
      <c r="H38" s="95">
        <v>0.09</v>
      </c>
      <c r="I38" s="95">
        <v>0.09</v>
      </c>
      <c r="J38" s="95">
        <v>0.09</v>
      </c>
      <c r="K38" s="95">
        <v>0.09</v>
      </c>
      <c r="L38" s="95">
        <v>0.09</v>
      </c>
      <c r="M38" s="95">
        <v>0.09</v>
      </c>
      <c r="N38" s="95">
        <v>0.09</v>
      </c>
      <c r="O38" s="95">
        <v>0.09</v>
      </c>
      <c r="P38" s="236">
        <f t="shared" ref="P38:P49" si="2">SUM(D38:O38)</f>
        <v>0.99999999999999978</v>
      </c>
      <c r="Q38" s="519" t="s">
        <v>544</v>
      </c>
      <c r="R38" s="520"/>
      <c r="S38" s="520"/>
      <c r="T38" s="520"/>
      <c r="U38" s="520"/>
      <c r="V38" s="520"/>
      <c r="W38" s="520"/>
      <c r="X38" s="520"/>
      <c r="Y38" s="520"/>
      <c r="Z38" s="520"/>
      <c r="AA38" s="520"/>
      <c r="AB38" s="520"/>
      <c r="AC38" s="520"/>
      <c r="AD38" s="521"/>
      <c r="AE38" s="97"/>
      <c r="AG38" s="98"/>
      <c r="AH38" s="98"/>
      <c r="AI38" s="98"/>
      <c r="AJ38" s="98"/>
      <c r="AK38" s="98"/>
      <c r="AL38" s="98"/>
      <c r="AM38" s="98"/>
      <c r="AN38" s="98"/>
      <c r="AO38" s="98"/>
    </row>
    <row r="39" spans="1:41" ht="61.15" customHeight="1" x14ac:dyDescent="0.25">
      <c r="A39" s="348"/>
      <c r="B39" s="347"/>
      <c r="C39" s="99" t="s">
        <v>62</v>
      </c>
      <c r="D39" s="100">
        <v>0.05</v>
      </c>
      <c r="E39" s="100">
        <v>0.05</v>
      </c>
      <c r="F39" s="100">
        <v>0.09</v>
      </c>
      <c r="G39" s="100">
        <v>7.0000000000000007E-2</v>
      </c>
      <c r="H39" s="100">
        <v>0.09</v>
      </c>
      <c r="I39" s="100"/>
      <c r="J39" s="100"/>
      <c r="K39" s="100"/>
      <c r="L39" s="100"/>
      <c r="M39" s="100"/>
      <c r="N39" s="100"/>
      <c r="O39" s="100"/>
      <c r="P39" s="237">
        <f t="shared" si="2"/>
        <v>0.35</v>
      </c>
      <c r="Q39" s="522"/>
      <c r="R39" s="523"/>
      <c r="S39" s="523"/>
      <c r="T39" s="523"/>
      <c r="U39" s="523"/>
      <c r="V39" s="523"/>
      <c r="W39" s="523"/>
      <c r="X39" s="523"/>
      <c r="Y39" s="523"/>
      <c r="Z39" s="523"/>
      <c r="AA39" s="523"/>
      <c r="AB39" s="523"/>
      <c r="AC39" s="523"/>
      <c r="AD39" s="524"/>
      <c r="AE39" s="97"/>
    </row>
    <row r="40" spans="1:41" ht="28.35" customHeight="1" x14ac:dyDescent="0.25">
      <c r="A40" s="348" t="s">
        <v>83</v>
      </c>
      <c r="B40" s="495">
        <v>2.5000000000000001E-2</v>
      </c>
      <c r="C40" s="102" t="s">
        <v>61</v>
      </c>
      <c r="D40" s="103">
        <v>0.05</v>
      </c>
      <c r="E40" s="103">
        <v>0.05</v>
      </c>
      <c r="F40" s="103">
        <v>0.05</v>
      </c>
      <c r="G40" s="103">
        <v>0.05</v>
      </c>
      <c r="H40" s="103">
        <v>0.1</v>
      </c>
      <c r="I40" s="103">
        <v>0.1</v>
      </c>
      <c r="J40" s="103">
        <v>0.1</v>
      </c>
      <c r="K40" s="103">
        <v>0.1</v>
      </c>
      <c r="L40" s="103">
        <v>0.1</v>
      </c>
      <c r="M40" s="103">
        <v>0.1</v>
      </c>
      <c r="N40" s="103">
        <v>0.1</v>
      </c>
      <c r="O40" s="103">
        <v>0.1</v>
      </c>
      <c r="P40" s="237">
        <f t="shared" si="2"/>
        <v>0.99999999999999989</v>
      </c>
      <c r="Q40" s="496" t="s">
        <v>545</v>
      </c>
      <c r="R40" s="497"/>
      <c r="S40" s="497"/>
      <c r="T40" s="497"/>
      <c r="U40" s="497"/>
      <c r="V40" s="497"/>
      <c r="W40" s="497"/>
      <c r="X40" s="497"/>
      <c r="Y40" s="497"/>
      <c r="Z40" s="497"/>
      <c r="AA40" s="497"/>
      <c r="AB40" s="497"/>
      <c r="AC40" s="497"/>
      <c r="AD40" s="498"/>
      <c r="AE40" s="97"/>
    </row>
    <row r="41" spans="1:41" ht="28.35" customHeight="1" x14ac:dyDescent="0.25">
      <c r="A41" s="348"/>
      <c r="B41" s="495"/>
      <c r="C41" s="99" t="s">
        <v>62</v>
      </c>
      <c r="D41" s="100">
        <v>0.05</v>
      </c>
      <c r="E41" s="100">
        <v>0.05</v>
      </c>
      <c r="F41" s="100">
        <v>0.05</v>
      </c>
      <c r="G41" s="100">
        <v>0.05</v>
      </c>
      <c r="H41" s="100">
        <v>0.1</v>
      </c>
      <c r="I41" s="100"/>
      <c r="J41" s="100"/>
      <c r="K41" s="100"/>
      <c r="L41" s="104"/>
      <c r="M41" s="104"/>
      <c r="N41" s="104"/>
      <c r="O41" s="104"/>
      <c r="P41" s="237">
        <f t="shared" si="2"/>
        <v>0.30000000000000004</v>
      </c>
      <c r="Q41" s="499"/>
      <c r="R41" s="500"/>
      <c r="S41" s="500"/>
      <c r="T41" s="500"/>
      <c r="U41" s="500"/>
      <c r="V41" s="500"/>
      <c r="W41" s="500"/>
      <c r="X41" s="500"/>
      <c r="Y41" s="500"/>
      <c r="Z41" s="500"/>
      <c r="AA41" s="500"/>
      <c r="AB41" s="500"/>
      <c r="AC41" s="500"/>
      <c r="AD41" s="501"/>
      <c r="AE41" s="97"/>
    </row>
    <row r="42" spans="1:41" ht="39" customHeight="1" x14ac:dyDescent="0.25">
      <c r="A42" s="502" t="s">
        <v>84</v>
      </c>
      <c r="B42" s="495">
        <v>2.5000000000000001E-2</v>
      </c>
      <c r="C42" s="102" t="s">
        <v>61</v>
      </c>
      <c r="D42" s="103">
        <v>0.06</v>
      </c>
      <c r="E42" s="103">
        <v>0.06</v>
      </c>
      <c r="F42" s="103">
        <v>7.0000000000000007E-2</v>
      </c>
      <c r="G42" s="103">
        <v>0.09</v>
      </c>
      <c r="H42" s="103">
        <v>0.09</v>
      </c>
      <c r="I42" s="103">
        <v>0.09</v>
      </c>
      <c r="J42" s="103">
        <v>0.09</v>
      </c>
      <c r="K42" s="103">
        <v>0.09</v>
      </c>
      <c r="L42" s="103">
        <v>0.09</v>
      </c>
      <c r="M42" s="103">
        <v>0.09</v>
      </c>
      <c r="N42" s="103">
        <v>0.09</v>
      </c>
      <c r="O42" s="103">
        <v>0.09</v>
      </c>
      <c r="P42" s="237">
        <f t="shared" si="2"/>
        <v>0.99999999999999978</v>
      </c>
      <c r="Q42" s="503" t="s">
        <v>563</v>
      </c>
      <c r="R42" s="504"/>
      <c r="S42" s="504"/>
      <c r="T42" s="504"/>
      <c r="U42" s="504"/>
      <c r="V42" s="504"/>
      <c r="W42" s="504"/>
      <c r="X42" s="504"/>
      <c r="Y42" s="504"/>
      <c r="Z42" s="504"/>
      <c r="AA42" s="504"/>
      <c r="AB42" s="504"/>
      <c r="AC42" s="504"/>
      <c r="AD42" s="505"/>
      <c r="AE42" s="97"/>
    </row>
    <row r="43" spans="1:41" ht="46.9" customHeight="1" x14ac:dyDescent="0.25">
      <c r="A43" s="502"/>
      <c r="B43" s="495"/>
      <c r="C43" s="99" t="s">
        <v>62</v>
      </c>
      <c r="D43" s="100">
        <v>0.06</v>
      </c>
      <c r="E43" s="100">
        <v>0.06</v>
      </c>
      <c r="F43" s="100">
        <v>7.0000000000000007E-2</v>
      </c>
      <c r="G43" s="100">
        <v>0.09</v>
      </c>
      <c r="H43" s="100">
        <v>0.05</v>
      </c>
      <c r="I43" s="100"/>
      <c r="J43" s="100"/>
      <c r="K43" s="100"/>
      <c r="L43" s="104"/>
      <c r="M43" s="104"/>
      <c r="N43" s="104"/>
      <c r="O43" s="104"/>
      <c r="P43" s="237">
        <f t="shared" si="2"/>
        <v>0.33</v>
      </c>
      <c r="Q43" s="506"/>
      <c r="R43" s="507"/>
      <c r="S43" s="507"/>
      <c r="T43" s="507"/>
      <c r="U43" s="507"/>
      <c r="V43" s="507"/>
      <c r="W43" s="507"/>
      <c r="X43" s="507"/>
      <c r="Y43" s="507"/>
      <c r="Z43" s="507"/>
      <c r="AA43" s="507"/>
      <c r="AB43" s="507"/>
      <c r="AC43" s="507"/>
      <c r="AD43" s="508"/>
      <c r="AE43" s="97"/>
    </row>
    <row r="44" spans="1:41" ht="200.25" customHeight="1" x14ac:dyDescent="0.25">
      <c r="A44" s="349" t="s">
        <v>85</v>
      </c>
      <c r="B44" s="347">
        <v>0.03</v>
      </c>
      <c r="C44" s="102" t="s">
        <v>61</v>
      </c>
      <c r="D44" s="103">
        <v>0</v>
      </c>
      <c r="E44" s="103">
        <v>0.1</v>
      </c>
      <c r="F44" s="103">
        <v>0.09</v>
      </c>
      <c r="G44" s="103">
        <v>0.09</v>
      </c>
      <c r="H44" s="103">
        <v>0.09</v>
      </c>
      <c r="I44" s="103">
        <v>0.09</v>
      </c>
      <c r="J44" s="103">
        <v>0.09</v>
      </c>
      <c r="K44" s="103">
        <v>0.09</v>
      </c>
      <c r="L44" s="103">
        <v>0.09</v>
      </c>
      <c r="M44" s="103">
        <v>0.09</v>
      </c>
      <c r="N44" s="103">
        <v>0.09</v>
      </c>
      <c r="O44" s="103">
        <v>0.09</v>
      </c>
      <c r="P44" s="237">
        <f t="shared" si="2"/>
        <v>0.99999999999999978</v>
      </c>
      <c r="Q44" s="332" t="s">
        <v>567</v>
      </c>
      <c r="R44" s="333"/>
      <c r="S44" s="333"/>
      <c r="T44" s="333"/>
      <c r="U44" s="333"/>
      <c r="V44" s="333"/>
      <c r="W44" s="333"/>
      <c r="X44" s="333"/>
      <c r="Y44" s="333"/>
      <c r="Z44" s="333"/>
      <c r="AA44" s="333"/>
      <c r="AB44" s="333"/>
      <c r="AC44" s="333"/>
      <c r="AD44" s="334"/>
      <c r="AE44" s="97"/>
    </row>
    <row r="45" spans="1:41" ht="128.44999999999999" customHeight="1" x14ac:dyDescent="0.25">
      <c r="A45" s="349"/>
      <c r="B45" s="347"/>
      <c r="C45" s="99" t="s">
        <v>62</v>
      </c>
      <c r="D45" s="100">
        <v>0</v>
      </c>
      <c r="E45" s="100">
        <v>0.1</v>
      </c>
      <c r="F45" s="100">
        <v>0.09</v>
      </c>
      <c r="G45" s="100">
        <v>0.09</v>
      </c>
      <c r="H45" s="100">
        <v>0.09</v>
      </c>
      <c r="I45" s="100"/>
      <c r="J45" s="100"/>
      <c r="K45" s="100"/>
      <c r="L45" s="104"/>
      <c r="M45" s="104"/>
      <c r="N45" s="104"/>
      <c r="O45" s="104"/>
      <c r="P45" s="237">
        <f t="shared" si="2"/>
        <v>0.37</v>
      </c>
      <c r="Q45" s="332"/>
      <c r="R45" s="333"/>
      <c r="S45" s="333"/>
      <c r="T45" s="333"/>
      <c r="U45" s="333"/>
      <c r="V45" s="333"/>
      <c r="W45" s="333"/>
      <c r="X45" s="333"/>
      <c r="Y45" s="333"/>
      <c r="Z45" s="333"/>
      <c r="AA45" s="333"/>
      <c r="AB45" s="333"/>
      <c r="AC45" s="333"/>
      <c r="AD45" s="334"/>
      <c r="AE45" s="97"/>
    </row>
    <row r="46" spans="1:41" ht="49.9" customHeight="1" x14ac:dyDescent="0.25">
      <c r="A46" s="348" t="s">
        <v>86</v>
      </c>
      <c r="B46" s="347">
        <v>0.03</v>
      </c>
      <c r="C46" s="102" t="s">
        <v>61</v>
      </c>
      <c r="D46" s="103">
        <v>0</v>
      </c>
      <c r="E46" s="103">
        <v>0.1</v>
      </c>
      <c r="F46" s="103">
        <v>0.09</v>
      </c>
      <c r="G46" s="103">
        <v>0.09</v>
      </c>
      <c r="H46" s="103">
        <v>0.09</v>
      </c>
      <c r="I46" s="103">
        <v>0.09</v>
      </c>
      <c r="J46" s="103">
        <v>0.09</v>
      </c>
      <c r="K46" s="103">
        <v>0.09</v>
      </c>
      <c r="L46" s="103">
        <v>0.09</v>
      </c>
      <c r="M46" s="103">
        <v>0.09</v>
      </c>
      <c r="N46" s="103">
        <v>0.09</v>
      </c>
      <c r="O46" s="103">
        <v>0.09</v>
      </c>
      <c r="P46" s="237">
        <f t="shared" si="2"/>
        <v>0.99999999999999978</v>
      </c>
      <c r="Q46" s="332" t="s">
        <v>564</v>
      </c>
      <c r="R46" s="333"/>
      <c r="S46" s="333"/>
      <c r="T46" s="333"/>
      <c r="U46" s="333"/>
      <c r="V46" s="333"/>
      <c r="W46" s="333"/>
      <c r="X46" s="333"/>
      <c r="Y46" s="333"/>
      <c r="Z46" s="333"/>
      <c r="AA46" s="333"/>
      <c r="AB46" s="333"/>
      <c r="AC46" s="333"/>
      <c r="AD46" s="334"/>
      <c r="AE46" s="97"/>
    </row>
    <row r="47" spans="1:41" ht="39" customHeight="1" x14ac:dyDescent="0.25">
      <c r="A47" s="348"/>
      <c r="B47" s="347"/>
      <c r="C47" s="99" t="s">
        <v>62</v>
      </c>
      <c r="D47" s="100">
        <v>0</v>
      </c>
      <c r="E47" s="100">
        <v>0.1</v>
      </c>
      <c r="F47" s="100">
        <v>0.09</v>
      </c>
      <c r="G47" s="100">
        <v>0.09</v>
      </c>
      <c r="H47" s="100">
        <v>0.09</v>
      </c>
      <c r="I47" s="100"/>
      <c r="J47" s="100"/>
      <c r="K47" s="100"/>
      <c r="L47" s="104"/>
      <c r="M47" s="104"/>
      <c r="N47" s="104"/>
      <c r="O47" s="104"/>
      <c r="P47" s="237">
        <f t="shared" si="2"/>
        <v>0.37</v>
      </c>
      <c r="Q47" s="332"/>
      <c r="R47" s="333"/>
      <c r="S47" s="333"/>
      <c r="T47" s="333"/>
      <c r="U47" s="333"/>
      <c r="V47" s="333"/>
      <c r="W47" s="333"/>
      <c r="X47" s="333"/>
      <c r="Y47" s="333"/>
      <c r="Z47" s="333"/>
      <c r="AA47" s="333"/>
      <c r="AB47" s="333"/>
      <c r="AC47" s="333"/>
      <c r="AD47" s="334"/>
      <c r="AE47" s="97"/>
    </row>
    <row r="48" spans="1:41" ht="28.5" customHeight="1" x14ac:dyDescent="0.25">
      <c r="A48" s="349" t="s">
        <v>87</v>
      </c>
      <c r="B48" s="347">
        <v>0.02</v>
      </c>
      <c r="C48" s="102" t="s">
        <v>61</v>
      </c>
      <c r="D48" s="103">
        <v>0</v>
      </c>
      <c r="E48" s="103">
        <v>0</v>
      </c>
      <c r="F48" s="103">
        <v>0</v>
      </c>
      <c r="G48" s="103">
        <v>0</v>
      </c>
      <c r="H48" s="103">
        <v>0</v>
      </c>
      <c r="I48" s="103">
        <v>0</v>
      </c>
      <c r="J48" s="103">
        <v>0</v>
      </c>
      <c r="K48" s="103">
        <v>0</v>
      </c>
      <c r="L48" s="103">
        <v>0.4</v>
      </c>
      <c r="M48" s="103">
        <v>0.4</v>
      </c>
      <c r="N48" s="103">
        <v>0.2</v>
      </c>
      <c r="O48" s="103">
        <v>0</v>
      </c>
      <c r="P48" s="237">
        <f t="shared" si="2"/>
        <v>1</v>
      </c>
      <c r="Q48" s="332" t="s">
        <v>538</v>
      </c>
      <c r="R48" s="333"/>
      <c r="S48" s="333"/>
      <c r="T48" s="333"/>
      <c r="U48" s="333"/>
      <c r="V48" s="333"/>
      <c r="W48" s="333"/>
      <c r="X48" s="333"/>
      <c r="Y48" s="333"/>
      <c r="Z48" s="333"/>
      <c r="AA48" s="333"/>
      <c r="AB48" s="333"/>
      <c r="AC48" s="333"/>
      <c r="AD48" s="334"/>
      <c r="AE48" s="97"/>
    </row>
    <row r="49" spans="1:31" ht="60" customHeight="1" thickBot="1" x14ac:dyDescent="0.3">
      <c r="A49" s="350"/>
      <c r="B49" s="494"/>
      <c r="C49" s="91" t="s">
        <v>62</v>
      </c>
      <c r="D49" s="105">
        <v>0</v>
      </c>
      <c r="E49" s="105">
        <v>0</v>
      </c>
      <c r="F49" s="105">
        <v>0</v>
      </c>
      <c r="G49" s="105">
        <v>0</v>
      </c>
      <c r="H49" s="105">
        <v>0</v>
      </c>
      <c r="I49" s="105"/>
      <c r="J49" s="105"/>
      <c r="K49" s="105"/>
      <c r="L49" s="106"/>
      <c r="M49" s="106"/>
      <c r="N49" s="106"/>
      <c r="O49" s="106"/>
      <c r="P49" s="238">
        <f t="shared" si="2"/>
        <v>0</v>
      </c>
      <c r="Q49" s="335"/>
      <c r="R49" s="336"/>
      <c r="S49" s="336"/>
      <c r="T49" s="336"/>
      <c r="U49" s="336"/>
      <c r="V49" s="336"/>
      <c r="W49" s="336"/>
      <c r="X49" s="336"/>
      <c r="Y49" s="336"/>
      <c r="Z49" s="336"/>
      <c r="AA49" s="336"/>
      <c r="AB49" s="336"/>
      <c r="AC49" s="336"/>
      <c r="AD49" s="337"/>
      <c r="AE49" s="97"/>
    </row>
    <row r="50" spans="1:31" x14ac:dyDescent="0.25">
      <c r="A50" s="259" t="s">
        <v>88</v>
      </c>
      <c r="Q50" s="259"/>
      <c r="R50" s="259"/>
      <c r="S50" s="259"/>
      <c r="T50" s="259"/>
      <c r="U50" s="259"/>
      <c r="V50" s="259"/>
      <c r="W50" s="259"/>
      <c r="X50" s="259"/>
      <c r="Y50" s="259"/>
      <c r="Z50" s="259"/>
      <c r="AA50" s="259"/>
      <c r="AB50" s="259"/>
      <c r="AC50" s="259"/>
      <c r="AD50" s="259"/>
    </row>
    <row r="51" spans="1:31" x14ac:dyDescent="0.25">
      <c r="A51" s="259"/>
      <c r="Q51" s="259"/>
      <c r="R51" s="259"/>
      <c r="S51" s="259"/>
      <c r="T51" s="259"/>
      <c r="U51" s="259"/>
      <c r="V51" s="259"/>
      <c r="W51" s="259"/>
      <c r="X51" s="259"/>
      <c r="Y51" s="259"/>
      <c r="Z51" s="259"/>
      <c r="AA51" s="259"/>
      <c r="AB51" s="259"/>
      <c r="AC51" s="259"/>
      <c r="AD51" s="259"/>
    </row>
    <row r="52" spans="1:31" x14ac:dyDescent="0.25">
      <c r="A52" s="259"/>
      <c r="Q52" s="259"/>
      <c r="R52" s="259"/>
      <c r="S52" s="259"/>
      <c r="T52" s="259"/>
      <c r="U52" s="259"/>
      <c r="V52" s="259"/>
      <c r="W52" s="259"/>
      <c r="X52" s="259"/>
      <c r="Y52" s="259"/>
      <c r="Z52" s="259"/>
      <c r="AA52" s="259"/>
      <c r="AB52" s="259"/>
      <c r="AC52" s="259"/>
      <c r="AD52" s="259"/>
    </row>
    <row r="53" spans="1:31" x14ac:dyDescent="0.25">
      <c r="A53" s="259"/>
      <c r="Q53" s="259"/>
      <c r="R53" s="259"/>
      <c r="S53" s="259"/>
      <c r="T53" s="259"/>
      <c r="U53" s="259"/>
      <c r="V53" s="259"/>
      <c r="W53" s="259"/>
      <c r="X53" s="259"/>
      <c r="Y53" s="259"/>
      <c r="Z53" s="259"/>
      <c r="AA53" s="259"/>
      <c r="AB53" s="259"/>
      <c r="AC53" s="259"/>
      <c r="AD53" s="259"/>
    </row>
    <row r="54" spans="1:31" hidden="1" x14ac:dyDescent="0.25">
      <c r="A54" s="259"/>
      <c r="Q54" s="259"/>
      <c r="R54" s="259"/>
      <c r="S54" s="259"/>
      <c r="T54" s="259"/>
      <c r="U54" s="259"/>
      <c r="V54" s="259"/>
      <c r="W54" s="259"/>
      <c r="X54" s="259"/>
      <c r="Y54" s="259"/>
      <c r="Z54" s="259"/>
      <c r="AA54" s="259"/>
      <c r="AB54" s="259"/>
      <c r="AC54" s="259"/>
      <c r="AD54" s="259"/>
    </row>
    <row r="55" spans="1:31" ht="15" hidden="1" customHeight="1" x14ac:dyDescent="0.25">
      <c r="A55" s="338" t="s">
        <v>89</v>
      </c>
      <c r="B55" s="340" t="s">
        <v>64</v>
      </c>
      <c r="C55" s="342" t="s">
        <v>65</v>
      </c>
      <c r="D55" s="343"/>
      <c r="E55" s="343"/>
      <c r="F55" s="343"/>
      <c r="G55" s="343"/>
      <c r="H55" s="343"/>
      <c r="I55" s="343"/>
      <c r="J55" s="343"/>
      <c r="K55" s="343"/>
      <c r="L55" s="343"/>
      <c r="M55" s="343"/>
      <c r="N55" s="343"/>
      <c r="O55" s="343"/>
      <c r="P55" s="344"/>
      <c r="Q55" s="260"/>
      <c r="R55" s="260"/>
      <c r="S55" s="259"/>
      <c r="T55" s="259"/>
      <c r="U55" s="259"/>
      <c r="V55" s="259"/>
      <c r="W55" s="259"/>
      <c r="X55" s="259"/>
      <c r="Y55" s="259"/>
      <c r="Z55" s="259"/>
      <c r="AA55" s="259"/>
      <c r="AB55" s="259"/>
      <c r="AC55" s="259"/>
      <c r="AD55" s="259"/>
    </row>
    <row r="56" spans="1:31" ht="21" hidden="1" x14ac:dyDescent="0.25">
      <c r="A56" s="339"/>
      <c r="B56" s="341"/>
      <c r="C56" s="216" t="s">
        <v>67</v>
      </c>
      <c r="D56" s="216" t="s">
        <v>68</v>
      </c>
      <c r="E56" s="216" t="s">
        <v>69</v>
      </c>
      <c r="F56" s="216" t="s">
        <v>70</v>
      </c>
      <c r="G56" s="216" t="s">
        <v>71</v>
      </c>
      <c r="H56" s="216" t="s">
        <v>72</v>
      </c>
      <c r="I56" s="216" t="s">
        <v>73</v>
      </c>
      <c r="J56" s="216" t="s">
        <v>74</v>
      </c>
      <c r="K56" s="216" t="s">
        <v>75</v>
      </c>
      <c r="L56" s="216" t="s">
        <v>76</v>
      </c>
      <c r="M56" s="216" t="s">
        <v>77</v>
      </c>
      <c r="N56" s="216" t="s">
        <v>78</v>
      </c>
      <c r="O56" s="216" t="s">
        <v>79</v>
      </c>
      <c r="P56" s="216" t="s">
        <v>80</v>
      </c>
      <c r="Q56" s="260"/>
      <c r="R56" s="260"/>
      <c r="S56" s="259"/>
      <c r="T56" s="259"/>
      <c r="U56" s="259"/>
      <c r="V56" s="259"/>
      <c r="W56" s="259"/>
      <c r="X56" s="259"/>
      <c r="Y56" s="259"/>
      <c r="Z56" s="259"/>
      <c r="AA56" s="259"/>
      <c r="AB56" s="259"/>
      <c r="AC56" s="259"/>
      <c r="AD56" s="259"/>
    </row>
    <row r="57" spans="1:31" ht="15" hidden="1" customHeight="1" x14ac:dyDescent="0.25">
      <c r="A57" s="326" t="str">
        <f>A38</f>
        <v xml:space="preserve">1. Realizar actividades de asistencia técnica dirigidas a los Sectores de la Administración Distrital, orientadas a la implementación de los lineamientos para la estrategia de transversalización del enfoque diferencial y del procedimiento de asistencia técnica que lidera la Dirección de Enfoque Diferencial. </v>
      </c>
      <c r="B57" s="345">
        <f>B38</f>
        <v>0.05</v>
      </c>
      <c r="C57" s="215" t="s">
        <v>61</v>
      </c>
      <c r="D57" s="214">
        <f t="shared" ref="D57:O58" si="3">D38*$B$38/$P$38</f>
        <v>2.5000000000000009E-3</v>
      </c>
      <c r="E57" s="214">
        <f t="shared" si="3"/>
        <v>2.5000000000000009E-3</v>
      </c>
      <c r="F57" s="214">
        <f t="shared" si="3"/>
        <v>4.5000000000000005E-3</v>
      </c>
      <c r="G57" s="214">
        <f t="shared" si="3"/>
        <v>4.5000000000000005E-3</v>
      </c>
      <c r="H57" s="214">
        <f t="shared" si="3"/>
        <v>4.5000000000000005E-3</v>
      </c>
      <c r="I57" s="214">
        <f t="shared" si="3"/>
        <v>4.5000000000000005E-3</v>
      </c>
      <c r="J57" s="214">
        <f t="shared" si="3"/>
        <v>4.5000000000000005E-3</v>
      </c>
      <c r="K57" s="214">
        <f t="shared" si="3"/>
        <v>4.5000000000000005E-3</v>
      </c>
      <c r="L57" s="214">
        <f t="shared" si="3"/>
        <v>4.5000000000000005E-3</v>
      </c>
      <c r="M57" s="214">
        <f t="shared" si="3"/>
        <v>4.5000000000000005E-3</v>
      </c>
      <c r="N57" s="214">
        <f t="shared" si="3"/>
        <v>4.5000000000000005E-3</v>
      </c>
      <c r="O57" s="214">
        <f t="shared" si="3"/>
        <v>4.5000000000000005E-3</v>
      </c>
      <c r="P57" s="213">
        <f t="shared" ref="P57:P68" si="4">SUM(D57:O57)</f>
        <v>5.0000000000000017E-2</v>
      </c>
      <c r="Q57" s="262">
        <v>0.05</v>
      </c>
      <c r="R57" s="263">
        <f t="shared" ref="R57:R71" si="5">+P57-Q57</f>
        <v>0</v>
      </c>
      <c r="S57" s="259"/>
      <c r="T57" s="259"/>
      <c r="U57" s="259"/>
      <c r="V57" s="259"/>
      <c r="W57" s="259"/>
      <c r="X57" s="259"/>
      <c r="Y57" s="259"/>
      <c r="Z57" s="259"/>
      <c r="AA57" s="259"/>
      <c r="AB57" s="259"/>
      <c r="AC57" s="259"/>
      <c r="AD57" s="259"/>
    </row>
    <row r="58" spans="1:31" hidden="1" x14ac:dyDescent="0.25">
      <c r="A58" s="327"/>
      <c r="B58" s="346"/>
      <c r="C58" s="212" t="s">
        <v>62</v>
      </c>
      <c r="D58" s="211">
        <f t="shared" si="3"/>
        <v>2.5000000000000009E-3</v>
      </c>
      <c r="E58" s="211">
        <f t="shared" si="3"/>
        <v>2.5000000000000009E-3</v>
      </c>
      <c r="F58" s="211">
        <f t="shared" si="3"/>
        <v>4.5000000000000005E-3</v>
      </c>
      <c r="G58" s="211">
        <f t="shared" si="3"/>
        <v>3.5000000000000014E-3</v>
      </c>
      <c r="H58" s="211">
        <f t="shared" si="3"/>
        <v>4.5000000000000005E-3</v>
      </c>
      <c r="I58" s="211">
        <f t="shared" si="3"/>
        <v>0</v>
      </c>
      <c r="J58" s="211">
        <f t="shared" si="3"/>
        <v>0</v>
      </c>
      <c r="K58" s="211">
        <f t="shared" si="3"/>
        <v>0</v>
      </c>
      <c r="L58" s="211">
        <f t="shared" si="3"/>
        <v>0</v>
      </c>
      <c r="M58" s="211">
        <f t="shared" si="3"/>
        <v>0</v>
      </c>
      <c r="N58" s="211">
        <f t="shared" si="3"/>
        <v>0</v>
      </c>
      <c r="O58" s="211">
        <f t="shared" si="3"/>
        <v>0</v>
      </c>
      <c r="P58" s="210">
        <f t="shared" si="4"/>
        <v>1.7500000000000002E-2</v>
      </c>
      <c r="Q58" s="264">
        <f>+P58</f>
        <v>1.7500000000000002E-2</v>
      </c>
      <c r="R58" s="263">
        <f t="shared" si="5"/>
        <v>0</v>
      </c>
      <c r="S58" s="259"/>
      <c r="T58" s="259"/>
      <c r="U58" s="259"/>
      <c r="V58" s="259"/>
      <c r="W58" s="259"/>
      <c r="X58" s="259"/>
      <c r="Y58" s="259"/>
      <c r="Z58" s="259"/>
      <c r="AA58" s="259"/>
      <c r="AB58" s="259"/>
      <c r="AC58" s="259"/>
      <c r="AD58" s="259"/>
    </row>
    <row r="59" spans="1:31" ht="15" hidden="1" customHeight="1" x14ac:dyDescent="0.25">
      <c r="A59" s="326" t="str">
        <f>A40</f>
        <v xml:space="preserve">2. Consolidar la caja de herramientas que contribuya a la eliminación de barreras de acceso a los servicios y a la realización de acciones afirmativas dirigidas a mujeres en sus diferencias y diversidad para la garantía de sus derechos en el Distrito Capital. </v>
      </c>
      <c r="B59" s="328">
        <f>B40</f>
        <v>2.5000000000000001E-2</v>
      </c>
      <c r="C59" s="215" t="s">
        <v>61</v>
      </c>
      <c r="D59" s="214">
        <f t="shared" ref="D59:O60" si="6">D40*$B$40/$P$40</f>
        <v>1.2500000000000005E-3</v>
      </c>
      <c r="E59" s="214">
        <f t="shared" si="6"/>
        <v>1.2500000000000005E-3</v>
      </c>
      <c r="F59" s="214">
        <f t="shared" si="6"/>
        <v>1.2500000000000005E-3</v>
      </c>
      <c r="G59" s="214">
        <f t="shared" si="6"/>
        <v>1.2500000000000005E-3</v>
      </c>
      <c r="H59" s="214">
        <f t="shared" si="6"/>
        <v>2.5000000000000009E-3</v>
      </c>
      <c r="I59" s="214">
        <f t="shared" si="6"/>
        <v>2.5000000000000009E-3</v>
      </c>
      <c r="J59" s="214">
        <f t="shared" si="6"/>
        <v>2.5000000000000009E-3</v>
      </c>
      <c r="K59" s="214">
        <f t="shared" si="6"/>
        <v>2.5000000000000009E-3</v>
      </c>
      <c r="L59" s="214">
        <f t="shared" si="6"/>
        <v>2.5000000000000009E-3</v>
      </c>
      <c r="M59" s="214">
        <f t="shared" si="6"/>
        <v>2.5000000000000009E-3</v>
      </c>
      <c r="N59" s="214">
        <f t="shared" si="6"/>
        <v>2.5000000000000009E-3</v>
      </c>
      <c r="O59" s="214">
        <f t="shared" si="6"/>
        <v>2.5000000000000009E-3</v>
      </c>
      <c r="P59" s="213">
        <f t="shared" si="4"/>
        <v>2.5000000000000012E-2</v>
      </c>
      <c r="Q59" s="262">
        <v>2.5000000000000001E-2</v>
      </c>
      <c r="R59" s="263">
        <f t="shared" si="5"/>
        <v>0</v>
      </c>
      <c r="S59" s="259"/>
      <c r="T59" s="259"/>
      <c r="U59" s="259"/>
      <c r="V59" s="259"/>
      <c r="W59" s="259"/>
      <c r="X59" s="259"/>
      <c r="Y59" s="259"/>
      <c r="Z59" s="259"/>
      <c r="AA59" s="259"/>
      <c r="AB59" s="259"/>
      <c r="AC59" s="259"/>
      <c r="AD59" s="259"/>
    </row>
    <row r="60" spans="1:31" hidden="1" x14ac:dyDescent="0.25">
      <c r="A60" s="327"/>
      <c r="B60" s="329"/>
      <c r="C60" s="212" t="s">
        <v>62</v>
      </c>
      <c r="D60" s="211">
        <f t="shared" si="6"/>
        <v>1.2500000000000005E-3</v>
      </c>
      <c r="E60" s="211">
        <f t="shared" si="6"/>
        <v>1.2500000000000005E-3</v>
      </c>
      <c r="F60" s="211">
        <f t="shared" si="6"/>
        <v>1.2500000000000005E-3</v>
      </c>
      <c r="G60" s="211">
        <f t="shared" si="6"/>
        <v>1.2500000000000005E-3</v>
      </c>
      <c r="H60" s="211">
        <f t="shared" si="6"/>
        <v>2.5000000000000009E-3</v>
      </c>
      <c r="I60" s="211">
        <f t="shared" si="6"/>
        <v>0</v>
      </c>
      <c r="J60" s="211">
        <f t="shared" si="6"/>
        <v>0</v>
      </c>
      <c r="K60" s="211">
        <f t="shared" si="6"/>
        <v>0</v>
      </c>
      <c r="L60" s="211">
        <f t="shared" si="6"/>
        <v>0</v>
      </c>
      <c r="M60" s="211">
        <f t="shared" si="6"/>
        <v>0</v>
      </c>
      <c r="N60" s="211">
        <f t="shared" si="6"/>
        <v>0</v>
      </c>
      <c r="O60" s="211">
        <f t="shared" si="6"/>
        <v>0</v>
      </c>
      <c r="P60" s="210">
        <f t="shared" si="4"/>
        <v>7.5000000000000032E-3</v>
      </c>
      <c r="Q60" s="264">
        <f>+P60</f>
        <v>7.5000000000000032E-3</v>
      </c>
      <c r="R60" s="263">
        <f t="shared" si="5"/>
        <v>0</v>
      </c>
      <c r="S60" s="259"/>
      <c r="T60" s="259"/>
      <c r="U60" s="259"/>
      <c r="V60" s="259"/>
      <c r="W60" s="259"/>
      <c r="X60" s="259"/>
      <c r="Y60" s="259"/>
      <c r="Z60" s="259"/>
      <c r="AA60" s="259"/>
      <c r="AB60" s="259"/>
      <c r="AC60" s="259"/>
      <c r="AD60" s="259"/>
    </row>
    <row r="61" spans="1:31" ht="15" hidden="1" customHeight="1" x14ac:dyDescent="0.25">
      <c r="A61" s="326" t="str">
        <f>A42</f>
        <v>3. Formular, validar, implementar y hacer seguimiento al plan de fortalecimiento interno para la incorporación de acciones afirmativas con enfoque diferencial que permitan el acceso de las mujeres en toda su diversidad a los servicios que presta la Secretaría Distrital de la Mujer.</v>
      </c>
      <c r="B61" s="328">
        <f>B42</f>
        <v>2.5000000000000001E-2</v>
      </c>
      <c r="C61" s="215" t="s">
        <v>61</v>
      </c>
      <c r="D61" s="214">
        <f t="shared" ref="D61:O62" si="7">D42*$B$42/$P$42</f>
        <v>1.5000000000000005E-3</v>
      </c>
      <c r="E61" s="214">
        <f t="shared" si="7"/>
        <v>1.5000000000000005E-3</v>
      </c>
      <c r="F61" s="214">
        <f t="shared" si="7"/>
        <v>1.7500000000000007E-3</v>
      </c>
      <c r="G61" s="214">
        <f t="shared" si="7"/>
        <v>2.2500000000000003E-3</v>
      </c>
      <c r="H61" s="214">
        <f t="shared" si="7"/>
        <v>2.2500000000000003E-3</v>
      </c>
      <c r="I61" s="214">
        <f t="shared" si="7"/>
        <v>2.2500000000000003E-3</v>
      </c>
      <c r="J61" s="214">
        <f t="shared" si="7"/>
        <v>2.2500000000000003E-3</v>
      </c>
      <c r="K61" s="214">
        <f t="shared" si="7"/>
        <v>2.2500000000000003E-3</v>
      </c>
      <c r="L61" s="214">
        <f t="shared" si="7"/>
        <v>2.2500000000000003E-3</v>
      </c>
      <c r="M61" s="214">
        <f t="shared" si="7"/>
        <v>2.2500000000000003E-3</v>
      </c>
      <c r="N61" s="214">
        <f t="shared" si="7"/>
        <v>2.2500000000000003E-3</v>
      </c>
      <c r="O61" s="214">
        <f t="shared" si="7"/>
        <v>2.2500000000000003E-3</v>
      </c>
      <c r="P61" s="213">
        <f t="shared" si="4"/>
        <v>2.5000000000000008E-2</v>
      </c>
      <c r="Q61" s="262">
        <v>2.5000000000000001E-2</v>
      </c>
      <c r="R61" s="263">
        <f t="shared" si="5"/>
        <v>0</v>
      </c>
      <c r="S61" s="259"/>
      <c r="T61" s="259"/>
      <c r="U61" s="259"/>
      <c r="V61" s="259"/>
      <c r="W61" s="259"/>
      <c r="X61" s="259"/>
      <c r="Y61" s="259"/>
      <c r="Z61" s="259"/>
      <c r="AA61" s="259"/>
      <c r="AB61" s="259"/>
      <c r="AC61" s="259"/>
      <c r="AD61" s="259"/>
    </row>
    <row r="62" spans="1:31" hidden="1" x14ac:dyDescent="0.25">
      <c r="A62" s="327"/>
      <c r="B62" s="329"/>
      <c r="C62" s="212" t="s">
        <v>62</v>
      </c>
      <c r="D62" s="211">
        <f t="shared" si="7"/>
        <v>1.5000000000000005E-3</v>
      </c>
      <c r="E62" s="211">
        <f t="shared" si="7"/>
        <v>1.5000000000000005E-3</v>
      </c>
      <c r="F62" s="211">
        <f t="shared" si="7"/>
        <v>1.7500000000000007E-3</v>
      </c>
      <c r="G62" s="211">
        <f t="shared" si="7"/>
        <v>2.2500000000000003E-3</v>
      </c>
      <c r="H62" s="211">
        <f t="shared" si="7"/>
        <v>1.2500000000000005E-3</v>
      </c>
      <c r="I62" s="211">
        <f t="shared" si="7"/>
        <v>0</v>
      </c>
      <c r="J62" s="211">
        <f t="shared" si="7"/>
        <v>0</v>
      </c>
      <c r="K62" s="211">
        <f t="shared" si="7"/>
        <v>0</v>
      </c>
      <c r="L62" s="211">
        <f t="shared" si="7"/>
        <v>0</v>
      </c>
      <c r="M62" s="211">
        <f t="shared" si="7"/>
        <v>0</v>
      </c>
      <c r="N62" s="211">
        <f t="shared" si="7"/>
        <v>0</v>
      </c>
      <c r="O62" s="211">
        <f t="shared" si="7"/>
        <v>0</v>
      </c>
      <c r="P62" s="210">
        <f t="shared" si="4"/>
        <v>8.2500000000000021E-3</v>
      </c>
      <c r="Q62" s="264">
        <f>+P62</f>
        <v>8.2500000000000021E-3</v>
      </c>
      <c r="R62" s="263">
        <f t="shared" si="5"/>
        <v>0</v>
      </c>
      <c r="S62" s="259"/>
      <c r="T62" s="259"/>
      <c r="U62" s="259"/>
      <c r="V62" s="259"/>
      <c r="W62" s="259"/>
      <c r="X62" s="259"/>
      <c r="Y62" s="259"/>
      <c r="Z62" s="259"/>
      <c r="AA62" s="259"/>
      <c r="AB62" s="259"/>
      <c r="AC62" s="259"/>
      <c r="AD62" s="259"/>
    </row>
    <row r="63" spans="1:31" ht="15" hidden="1" customHeight="1" x14ac:dyDescent="0.25">
      <c r="A63" s="326" t="str">
        <f>A44</f>
        <v>4. Socializar e implementar la hoja de ruta para incorporar los enfoques de derechos de las mujeres, de género y diferencial, a través del acompañamiento y articulación con las consejeras  por el Sector Mujeres en el CTPD.</v>
      </c>
      <c r="B63" s="328">
        <f>B44</f>
        <v>0.03</v>
      </c>
      <c r="C63" s="215" t="s">
        <v>61</v>
      </c>
      <c r="D63" s="214">
        <f t="shared" ref="D63:O64" si="8">D44*$B$44/$P$44</f>
        <v>0</v>
      </c>
      <c r="E63" s="214">
        <f t="shared" si="8"/>
        <v>3.0000000000000009E-3</v>
      </c>
      <c r="F63" s="214">
        <f t="shared" si="8"/>
        <v>2.7000000000000001E-3</v>
      </c>
      <c r="G63" s="214">
        <f t="shared" si="8"/>
        <v>2.7000000000000001E-3</v>
      </c>
      <c r="H63" s="214">
        <f t="shared" si="8"/>
        <v>2.7000000000000001E-3</v>
      </c>
      <c r="I63" s="214">
        <f t="shared" si="8"/>
        <v>2.7000000000000001E-3</v>
      </c>
      <c r="J63" s="214">
        <f t="shared" si="8"/>
        <v>2.7000000000000001E-3</v>
      </c>
      <c r="K63" s="214">
        <f t="shared" si="8"/>
        <v>2.7000000000000001E-3</v>
      </c>
      <c r="L63" s="214">
        <f t="shared" si="8"/>
        <v>2.7000000000000001E-3</v>
      </c>
      <c r="M63" s="214">
        <f t="shared" si="8"/>
        <v>2.7000000000000001E-3</v>
      </c>
      <c r="N63" s="214">
        <f t="shared" si="8"/>
        <v>2.7000000000000001E-3</v>
      </c>
      <c r="O63" s="214">
        <f t="shared" si="8"/>
        <v>2.7000000000000001E-3</v>
      </c>
      <c r="P63" s="213">
        <f t="shared" si="4"/>
        <v>3.0000000000000009E-2</v>
      </c>
      <c r="Q63" s="262">
        <v>0.02</v>
      </c>
      <c r="R63" s="263">
        <f t="shared" si="5"/>
        <v>1.0000000000000009E-2</v>
      </c>
      <c r="S63" s="259"/>
      <c r="T63" s="259"/>
      <c r="U63" s="259"/>
      <c r="V63" s="259"/>
      <c r="W63" s="259"/>
      <c r="X63" s="259"/>
      <c r="Y63" s="259"/>
      <c r="Z63" s="259"/>
      <c r="AA63" s="259"/>
      <c r="AB63" s="259"/>
      <c r="AC63" s="259"/>
      <c r="AD63" s="259"/>
    </row>
    <row r="64" spans="1:31" hidden="1" x14ac:dyDescent="0.25">
      <c r="A64" s="327"/>
      <c r="B64" s="329"/>
      <c r="C64" s="212" t="s">
        <v>62</v>
      </c>
      <c r="D64" s="211">
        <f t="shared" si="8"/>
        <v>0</v>
      </c>
      <c r="E64" s="211">
        <f t="shared" si="8"/>
        <v>3.0000000000000009E-3</v>
      </c>
      <c r="F64" s="211">
        <f t="shared" si="8"/>
        <v>2.7000000000000001E-3</v>
      </c>
      <c r="G64" s="211">
        <f t="shared" si="8"/>
        <v>2.7000000000000001E-3</v>
      </c>
      <c r="H64" s="211">
        <f t="shared" si="8"/>
        <v>2.7000000000000001E-3</v>
      </c>
      <c r="I64" s="211">
        <f t="shared" si="8"/>
        <v>0</v>
      </c>
      <c r="J64" s="211">
        <f t="shared" si="8"/>
        <v>0</v>
      </c>
      <c r="K64" s="211">
        <f t="shared" si="8"/>
        <v>0</v>
      </c>
      <c r="L64" s="211">
        <f t="shared" si="8"/>
        <v>0</v>
      </c>
      <c r="M64" s="211">
        <f t="shared" si="8"/>
        <v>0</v>
      </c>
      <c r="N64" s="211">
        <f t="shared" si="8"/>
        <v>0</v>
      </c>
      <c r="O64" s="211">
        <f t="shared" si="8"/>
        <v>0</v>
      </c>
      <c r="P64" s="210">
        <f t="shared" si="4"/>
        <v>1.1100000000000002E-2</v>
      </c>
      <c r="Q64" s="264">
        <f>+P64</f>
        <v>1.1100000000000002E-2</v>
      </c>
      <c r="R64" s="263">
        <f t="shared" si="5"/>
        <v>0</v>
      </c>
      <c r="S64" s="259"/>
      <c r="T64" s="259"/>
      <c r="U64" s="259"/>
      <c r="V64" s="259"/>
      <c r="W64" s="259"/>
      <c r="X64" s="259"/>
      <c r="Y64" s="259"/>
      <c r="Z64" s="259"/>
      <c r="AA64" s="259"/>
      <c r="AB64" s="259"/>
      <c r="AC64" s="259"/>
      <c r="AD64" s="259"/>
    </row>
    <row r="65" spans="1:30" ht="15" hidden="1" customHeight="1" x14ac:dyDescent="0.25">
      <c r="A65" s="326" t="str">
        <f>A46</f>
        <v>5. Socializar e implementar la hoja de ruta para incorporar los enfoques de derechos de las mujeres, de género y diferencial, a través del acompañamiento y articulación con la Submesa para la garantía y seguimiento de los derechos de las mujeres, diversidades, disidencias sexuales y de Género.</v>
      </c>
      <c r="B65" s="328">
        <f>B46</f>
        <v>0.03</v>
      </c>
      <c r="C65" s="215" t="s">
        <v>61</v>
      </c>
      <c r="D65" s="214">
        <f t="shared" ref="D65:O66" si="9">D46*$B$46/$P$46</f>
        <v>0</v>
      </c>
      <c r="E65" s="214">
        <f t="shared" si="9"/>
        <v>3.0000000000000009E-3</v>
      </c>
      <c r="F65" s="214">
        <f t="shared" si="9"/>
        <v>2.7000000000000001E-3</v>
      </c>
      <c r="G65" s="214">
        <f t="shared" si="9"/>
        <v>2.7000000000000001E-3</v>
      </c>
      <c r="H65" s="214">
        <f t="shared" si="9"/>
        <v>2.7000000000000001E-3</v>
      </c>
      <c r="I65" s="214">
        <f t="shared" si="9"/>
        <v>2.7000000000000001E-3</v>
      </c>
      <c r="J65" s="214">
        <f t="shared" si="9"/>
        <v>2.7000000000000001E-3</v>
      </c>
      <c r="K65" s="214">
        <f t="shared" si="9"/>
        <v>2.7000000000000001E-3</v>
      </c>
      <c r="L65" s="214">
        <f t="shared" si="9"/>
        <v>2.7000000000000001E-3</v>
      </c>
      <c r="M65" s="214">
        <f t="shared" si="9"/>
        <v>2.7000000000000001E-3</v>
      </c>
      <c r="N65" s="214">
        <f t="shared" si="9"/>
        <v>2.7000000000000001E-3</v>
      </c>
      <c r="O65" s="214">
        <f t="shared" si="9"/>
        <v>2.7000000000000001E-3</v>
      </c>
      <c r="P65" s="213">
        <f t="shared" si="4"/>
        <v>3.0000000000000009E-2</v>
      </c>
      <c r="Q65" s="262">
        <v>0.02</v>
      </c>
      <c r="R65" s="263">
        <f t="shared" si="5"/>
        <v>1.0000000000000009E-2</v>
      </c>
      <c r="S65" s="259"/>
      <c r="T65" s="259"/>
      <c r="U65" s="259"/>
      <c r="V65" s="259"/>
      <c r="W65" s="259"/>
      <c r="X65" s="259"/>
      <c r="Y65" s="259"/>
      <c r="Z65" s="259"/>
      <c r="AA65" s="259"/>
      <c r="AB65" s="259"/>
      <c r="AC65" s="259"/>
      <c r="AD65" s="259"/>
    </row>
    <row r="66" spans="1:30" hidden="1" x14ac:dyDescent="0.25">
      <c r="A66" s="327"/>
      <c r="B66" s="329"/>
      <c r="C66" s="212" t="s">
        <v>62</v>
      </c>
      <c r="D66" s="211">
        <f t="shared" si="9"/>
        <v>0</v>
      </c>
      <c r="E66" s="211">
        <f t="shared" si="9"/>
        <v>3.0000000000000009E-3</v>
      </c>
      <c r="F66" s="211">
        <f t="shared" si="9"/>
        <v>2.7000000000000001E-3</v>
      </c>
      <c r="G66" s="211">
        <f t="shared" si="9"/>
        <v>2.7000000000000001E-3</v>
      </c>
      <c r="H66" s="211">
        <f t="shared" si="9"/>
        <v>2.7000000000000001E-3</v>
      </c>
      <c r="I66" s="211">
        <f t="shared" si="9"/>
        <v>0</v>
      </c>
      <c r="J66" s="211">
        <f t="shared" si="9"/>
        <v>0</v>
      </c>
      <c r="K66" s="211">
        <f t="shared" si="9"/>
        <v>0</v>
      </c>
      <c r="L66" s="211">
        <f t="shared" si="9"/>
        <v>0</v>
      </c>
      <c r="M66" s="211">
        <f t="shared" si="9"/>
        <v>0</v>
      </c>
      <c r="N66" s="211">
        <f t="shared" si="9"/>
        <v>0</v>
      </c>
      <c r="O66" s="211">
        <f t="shared" si="9"/>
        <v>0</v>
      </c>
      <c r="P66" s="210">
        <f t="shared" si="4"/>
        <v>1.1100000000000002E-2</v>
      </c>
      <c r="Q66" s="264">
        <f>+P66</f>
        <v>1.1100000000000002E-2</v>
      </c>
      <c r="R66" s="263">
        <f t="shared" si="5"/>
        <v>0</v>
      </c>
      <c r="S66" s="259"/>
      <c r="T66" s="259"/>
      <c r="U66" s="259"/>
      <c r="V66" s="259"/>
      <c r="W66" s="259"/>
      <c r="X66" s="259"/>
      <c r="Y66" s="259"/>
      <c r="Z66" s="259"/>
      <c r="AA66" s="259"/>
      <c r="AB66" s="259"/>
      <c r="AC66" s="259"/>
      <c r="AD66" s="259"/>
    </row>
    <row r="67" spans="1:30" ht="15" hidden="1" customHeight="1" x14ac:dyDescent="0.25">
      <c r="A67" s="326" t="str">
        <f>A48</f>
        <v>6. Realizar un documento que dé cuenta de los avances en la incorporación durante el cuatrienio de los enfoques de derechos de las mujeres, de género y diferencial para mujeres en las instancias que se acompañan desde la Subsecretaría del Cuidado y Políticas de Igualdad.</v>
      </c>
      <c r="B67" s="328">
        <f>B48</f>
        <v>0.02</v>
      </c>
      <c r="C67" s="215" t="s">
        <v>61</v>
      </c>
      <c r="D67" s="214">
        <f t="shared" ref="D67:O68" si="10">D48*$B$48/$P$48</f>
        <v>0</v>
      </c>
      <c r="E67" s="214">
        <f t="shared" si="10"/>
        <v>0</v>
      </c>
      <c r="F67" s="214">
        <f t="shared" si="10"/>
        <v>0</v>
      </c>
      <c r="G67" s="214">
        <f t="shared" si="10"/>
        <v>0</v>
      </c>
      <c r="H67" s="214">
        <f t="shared" si="10"/>
        <v>0</v>
      </c>
      <c r="I67" s="214">
        <f t="shared" si="10"/>
        <v>0</v>
      </c>
      <c r="J67" s="214">
        <f t="shared" si="10"/>
        <v>0</v>
      </c>
      <c r="K67" s="214">
        <f t="shared" si="10"/>
        <v>0</v>
      </c>
      <c r="L67" s="214">
        <f t="shared" si="10"/>
        <v>8.0000000000000002E-3</v>
      </c>
      <c r="M67" s="214">
        <f t="shared" si="10"/>
        <v>8.0000000000000002E-3</v>
      </c>
      <c r="N67" s="214">
        <f t="shared" si="10"/>
        <v>4.0000000000000001E-3</v>
      </c>
      <c r="O67" s="214">
        <f t="shared" si="10"/>
        <v>0</v>
      </c>
      <c r="P67" s="213">
        <f t="shared" si="4"/>
        <v>0.02</v>
      </c>
      <c r="Q67" s="262">
        <v>0.02</v>
      </c>
      <c r="R67" s="263">
        <f t="shared" si="5"/>
        <v>0</v>
      </c>
      <c r="S67" s="259"/>
      <c r="T67" s="259"/>
      <c r="U67" s="259"/>
      <c r="V67" s="259"/>
      <c r="W67" s="259"/>
      <c r="X67" s="259"/>
      <c r="Y67" s="259"/>
      <c r="Z67" s="259"/>
      <c r="AA67" s="259"/>
      <c r="AB67" s="259"/>
      <c r="AC67" s="259"/>
      <c r="AD67" s="259"/>
    </row>
    <row r="68" spans="1:30" hidden="1" x14ac:dyDescent="0.25">
      <c r="A68" s="327"/>
      <c r="B68" s="329"/>
      <c r="C68" s="225" t="s">
        <v>62</v>
      </c>
      <c r="D68" s="211">
        <f t="shared" si="10"/>
        <v>0</v>
      </c>
      <c r="E68" s="211">
        <f t="shared" si="10"/>
        <v>0</v>
      </c>
      <c r="F68" s="211">
        <f t="shared" si="10"/>
        <v>0</v>
      </c>
      <c r="G68" s="211">
        <f t="shared" si="10"/>
        <v>0</v>
      </c>
      <c r="H68" s="211">
        <f t="shared" si="10"/>
        <v>0</v>
      </c>
      <c r="I68" s="211">
        <f t="shared" si="10"/>
        <v>0</v>
      </c>
      <c r="J68" s="211">
        <f t="shared" si="10"/>
        <v>0</v>
      </c>
      <c r="K68" s="211">
        <f t="shared" si="10"/>
        <v>0</v>
      </c>
      <c r="L68" s="211">
        <f t="shared" si="10"/>
        <v>0</v>
      </c>
      <c r="M68" s="211">
        <f t="shared" si="10"/>
        <v>0</v>
      </c>
      <c r="N68" s="211">
        <f t="shared" si="10"/>
        <v>0</v>
      </c>
      <c r="O68" s="211">
        <f t="shared" si="10"/>
        <v>0</v>
      </c>
      <c r="P68" s="210">
        <f t="shared" si="4"/>
        <v>0</v>
      </c>
      <c r="Q68" s="264">
        <f>+P68</f>
        <v>0</v>
      </c>
      <c r="R68" s="263">
        <f t="shared" si="5"/>
        <v>0</v>
      </c>
      <c r="S68" s="259"/>
      <c r="T68" s="259"/>
      <c r="U68" s="259"/>
      <c r="V68" s="259"/>
      <c r="W68" s="259"/>
      <c r="X68" s="259"/>
      <c r="Y68" s="259"/>
      <c r="Z68" s="259"/>
      <c r="AA68" s="259"/>
      <c r="AB68" s="259"/>
      <c r="AC68" s="259"/>
      <c r="AD68" s="259"/>
    </row>
    <row r="69" spans="1:30" ht="15" hidden="1" customHeight="1" x14ac:dyDescent="0.25">
      <c r="A69" s="330"/>
      <c r="B69" s="331"/>
      <c r="C69" s="228"/>
      <c r="D69" s="214"/>
      <c r="E69" s="214"/>
      <c r="F69" s="214"/>
      <c r="G69" s="214"/>
      <c r="H69" s="214"/>
      <c r="I69" s="214"/>
      <c r="J69" s="214"/>
      <c r="K69" s="214"/>
      <c r="L69" s="214"/>
      <c r="M69" s="214"/>
      <c r="N69" s="214"/>
      <c r="O69" s="214"/>
      <c r="P69" s="229"/>
      <c r="Q69" s="262"/>
      <c r="R69" s="263"/>
      <c r="S69" s="259"/>
      <c r="T69" s="259"/>
      <c r="U69" s="259"/>
      <c r="V69" s="259"/>
      <c r="W69" s="259"/>
      <c r="X69" s="259"/>
      <c r="Y69" s="259"/>
      <c r="Z69" s="259"/>
      <c r="AA69" s="259"/>
      <c r="AB69" s="259"/>
      <c r="AC69" s="259"/>
      <c r="AD69" s="259"/>
    </row>
    <row r="70" spans="1:30" hidden="1" x14ac:dyDescent="0.25">
      <c r="A70" s="330"/>
      <c r="B70" s="331"/>
      <c r="C70" s="228"/>
      <c r="D70" s="207"/>
      <c r="E70" s="207"/>
      <c r="F70" s="207"/>
      <c r="G70" s="207"/>
      <c r="H70" s="207"/>
      <c r="I70" s="207"/>
      <c r="J70" s="207"/>
      <c r="K70" s="207"/>
      <c r="L70" s="207"/>
      <c r="M70" s="207"/>
      <c r="N70" s="207"/>
      <c r="O70" s="207"/>
      <c r="P70" s="229"/>
      <c r="Q70" s="264"/>
      <c r="R70" s="263"/>
      <c r="S70" s="259"/>
      <c r="T70" s="259"/>
      <c r="U70" s="259"/>
      <c r="V70" s="259"/>
      <c r="W70" s="259"/>
      <c r="X70" s="259"/>
      <c r="Y70" s="259"/>
      <c r="Z70" s="259"/>
      <c r="AA70" s="259"/>
      <c r="AB70" s="259"/>
      <c r="AC70" s="259"/>
      <c r="AD70" s="259"/>
    </row>
    <row r="71" spans="1:30" hidden="1" x14ac:dyDescent="0.25">
      <c r="A71" s="260"/>
      <c r="B71" s="208"/>
      <c r="C71" s="209"/>
      <c r="D71" s="204">
        <f>D58+D60+D62+D64+D66+D68</f>
        <v>5.2500000000000021E-3</v>
      </c>
      <c r="E71" s="204">
        <f t="shared" ref="E71:O71" si="11">E58+E60+E62+E64+E66+E68</f>
        <v>1.1250000000000005E-2</v>
      </c>
      <c r="F71" s="204">
        <f t="shared" si="11"/>
        <v>1.2900000000000002E-2</v>
      </c>
      <c r="G71" s="204">
        <f t="shared" si="11"/>
        <v>1.2400000000000001E-2</v>
      </c>
      <c r="H71" s="204">
        <f t="shared" si="11"/>
        <v>1.3650000000000002E-2</v>
      </c>
      <c r="I71" s="204">
        <f t="shared" si="11"/>
        <v>0</v>
      </c>
      <c r="J71" s="204">
        <f t="shared" si="11"/>
        <v>0</v>
      </c>
      <c r="K71" s="204">
        <f t="shared" si="11"/>
        <v>0</v>
      </c>
      <c r="L71" s="204">
        <f t="shared" si="11"/>
        <v>0</v>
      </c>
      <c r="M71" s="204">
        <f t="shared" si="11"/>
        <v>0</v>
      </c>
      <c r="N71" s="204">
        <f t="shared" si="11"/>
        <v>0</v>
      </c>
      <c r="O71" s="204">
        <f t="shared" si="11"/>
        <v>0</v>
      </c>
      <c r="P71" s="204">
        <f>P58+P60+P62+P64+P66+P68+P70</f>
        <v>5.5450000000000013E-2</v>
      </c>
      <c r="Q71" s="260"/>
      <c r="R71" s="263">
        <f t="shared" si="5"/>
        <v>5.5450000000000013E-2</v>
      </c>
      <c r="S71" s="259"/>
      <c r="T71" s="259"/>
      <c r="U71" s="259"/>
      <c r="V71" s="259"/>
      <c r="W71" s="259"/>
      <c r="X71" s="259"/>
      <c r="Y71" s="259"/>
      <c r="Z71" s="259"/>
      <c r="AA71" s="259"/>
      <c r="AB71" s="259"/>
      <c r="AC71" s="259"/>
      <c r="AD71" s="259"/>
    </row>
    <row r="72" spans="1:30" hidden="1" x14ac:dyDescent="0.25">
      <c r="A72" s="260"/>
      <c r="B72" s="206"/>
      <c r="C72" s="203" t="s">
        <v>62</v>
      </c>
      <c r="D72" s="202">
        <f t="shared" ref="D72:O72" si="12">D71*$W$17/$B$34</f>
        <v>1.6041666666666673E-2</v>
      </c>
      <c r="E72" s="202">
        <f t="shared" si="12"/>
        <v>3.4375000000000017E-2</v>
      </c>
      <c r="F72" s="202">
        <f t="shared" si="12"/>
        <v>3.9416666666666676E-2</v>
      </c>
      <c r="G72" s="202">
        <f t="shared" si="12"/>
        <v>3.7888888888888896E-2</v>
      </c>
      <c r="H72" s="202">
        <f t="shared" si="12"/>
        <v>4.1708333333333347E-2</v>
      </c>
      <c r="I72" s="202">
        <f t="shared" si="12"/>
        <v>0</v>
      </c>
      <c r="J72" s="202">
        <f t="shared" si="12"/>
        <v>0</v>
      </c>
      <c r="K72" s="202">
        <f t="shared" si="12"/>
        <v>0</v>
      </c>
      <c r="L72" s="202">
        <f t="shared" si="12"/>
        <v>0</v>
      </c>
      <c r="M72" s="202">
        <f t="shared" si="12"/>
        <v>0</v>
      </c>
      <c r="N72" s="202">
        <f t="shared" si="12"/>
        <v>0</v>
      </c>
      <c r="O72" s="202">
        <f t="shared" si="12"/>
        <v>0</v>
      </c>
      <c r="P72" s="201">
        <f>SUM(D72:O72)</f>
        <v>0.16943055555555561</v>
      </c>
      <c r="Q72" s="261"/>
      <c r="R72" s="260"/>
      <c r="S72" s="259"/>
      <c r="T72" s="259"/>
      <c r="U72" s="259"/>
      <c r="V72" s="259"/>
      <c r="W72" s="259"/>
      <c r="X72" s="259"/>
      <c r="Y72" s="259"/>
      <c r="Z72" s="259"/>
      <c r="AA72" s="259"/>
      <c r="AB72" s="259"/>
      <c r="AC72" s="259"/>
      <c r="AD72" s="259"/>
    </row>
    <row r="73" spans="1:30" hidden="1" x14ac:dyDescent="0.25">
      <c r="A73" s="261"/>
      <c r="B73" s="205"/>
      <c r="C73" s="205"/>
      <c r="D73" s="205"/>
      <c r="E73" s="205"/>
      <c r="F73" s="205"/>
      <c r="G73" s="205"/>
      <c r="H73" s="205"/>
      <c r="I73" s="205"/>
      <c r="J73" s="205"/>
      <c r="K73" s="205"/>
      <c r="L73" s="205"/>
      <c r="M73" s="205"/>
      <c r="N73" s="205"/>
      <c r="O73" s="205"/>
      <c r="P73" s="205"/>
      <c r="Q73" s="261"/>
      <c r="R73" s="261"/>
      <c r="S73" s="259"/>
      <c r="T73" s="259"/>
      <c r="U73" s="259"/>
      <c r="V73" s="259"/>
      <c r="W73" s="259"/>
      <c r="X73" s="259"/>
      <c r="Y73" s="259"/>
      <c r="Z73" s="259"/>
      <c r="AA73" s="259"/>
      <c r="AB73" s="259"/>
      <c r="AC73" s="259"/>
      <c r="AD73" s="259"/>
    </row>
    <row r="74" spans="1:30" hidden="1" x14ac:dyDescent="0.25">
      <c r="A74" s="262"/>
      <c r="B74" s="108"/>
      <c r="C74" s="108"/>
      <c r="D74" s="204">
        <f>+D57+D59+D61+D63+D65+D67</f>
        <v>5.2500000000000021E-3</v>
      </c>
      <c r="E74" s="204">
        <f t="shared" ref="E74:O74" si="13">+E57+E59+E61+E63+E65+E67</f>
        <v>1.1250000000000005E-2</v>
      </c>
      <c r="F74" s="204">
        <f t="shared" si="13"/>
        <v>1.2900000000000002E-2</v>
      </c>
      <c r="G74" s="204">
        <f t="shared" si="13"/>
        <v>1.3400000000000002E-2</v>
      </c>
      <c r="H74" s="204">
        <f t="shared" si="13"/>
        <v>1.4650000000000003E-2</v>
      </c>
      <c r="I74" s="204">
        <f t="shared" si="13"/>
        <v>1.4650000000000003E-2</v>
      </c>
      <c r="J74" s="204">
        <f t="shared" si="13"/>
        <v>1.4650000000000003E-2</v>
      </c>
      <c r="K74" s="204">
        <f t="shared" si="13"/>
        <v>1.4650000000000003E-2</v>
      </c>
      <c r="L74" s="204">
        <f t="shared" si="13"/>
        <v>2.2650000000000003E-2</v>
      </c>
      <c r="M74" s="204">
        <f t="shared" si="13"/>
        <v>2.2650000000000003E-2</v>
      </c>
      <c r="N74" s="204">
        <f t="shared" si="13"/>
        <v>1.8650000000000003E-2</v>
      </c>
      <c r="O74" s="204">
        <f t="shared" si="13"/>
        <v>1.4650000000000003E-2</v>
      </c>
      <c r="P74" s="204">
        <f>SUM(D74:O74)</f>
        <v>0.18000000000000002</v>
      </c>
      <c r="Q74" s="262"/>
      <c r="R74" s="262"/>
      <c r="S74" s="259"/>
      <c r="T74" s="259"/>
      <c r="U74" s="259"/>
      <c r="V74" s="259"/>
      <c r="W74" s="259"/>
      <c r="X74" s="259"/>
      <c r="Y74" s="259"/>
      <c r="Z74" s="259"/>
      <c r="AA74" s="259"/>
      <c r="AB74" s="259"/>
      <c r="AC74" s="259"/>
      <c r="AD74" s="259"/>
    </row>
    <row r="75" spans="1:30" hidden="1" x14ac:dyDescent="0.25">
      <c r="A75" s="262"/>
      <c r="B75" s="108"/>
      <c r="C75" s="203" t="s">
        <v>61</v>
      </c>
      <c r="D75" s="202">
        <f>D74*$W$17/$B$34</f>
        <v>1.6041666666666673E-2</v>
      </c>
      <c r="E75" s="202">
        <f t="shared" ref="E75:O75" si="14">E74*$W$17/$B$34</f>
        <v>3.4375000000000017E-2</v>
      </c>
      <c r="F75" s="202">
        <f t="shared" si="14"/>
        <v>3.9416666666666676E-2</v>
      </c>
      <c r="G75" s="202">
        <f t="shared" si="14"/>
        <v>4.0944444444444457E-2</v>
      </c>
      <c r="H75" s="202">
        <f t="shared" si="14"/>
        <v>4.4763888888888902E-2</v>
      </c>
      <c r="I75" s="202">
        <f t="shared" si="14"/>
        <v>4.4763888888888902E-2</v>
      </c>
      <c r="J75" s="202">
        <f t="shared" si="14"/>
        <v>4.4763888888888902E-2</v>
      </c>
      <c r="K75" s="202">
        <f t="shared" si="14"/>
        <v>4.4763888888888902E-2</v>
      </c>
      <c r="L75" s="202">
        <f t="shared" si="14"/>
        <v>6.9208333333333358E-2</v>
      </c>
      <c r="M75" s="202">
        <f t="shared" si="14"/>
        <v>6.9208333333333358E-2</v>
      </c>
      <c r="N75" s="202">
        <f t="shared" si="14"/>
        <v>5.6986111111111126E-2</v>
      </c>
      <c r="O75" s="202">
        <f t="shared" si="14"/>
        <v>4.4763888888888902E-2</v>
      </c>
      <c r="P75" s="201">
        <f>SUM(D75:O75)</f>
        <v>0.55000000000000016</v>
      </c>
      <c r="Q75" s="262"/>
      <c r="R75" s="262"/>
      <c r="S75" s="259"/>
      <c r="T75" s="259"/>
      <c r="U75" s="259"/>
      <c r="V75" s="259"/>
      <c r="W75" s="259"/>
      <c r="X75" s="259"/>
      <c r="Y75" s="259"/>
      <c r="Z75" s="259"/>
      <c r="AA75" s="259"/>
      <c r="AB75" s="259"/>
      <c r="AC75" s="259"/>
      <c r="AD75" s="259"/>
    </row>
    <row r="76" spans="1:30" hidden="1" x14ac:dyDescent="0.25">
      <c r="A76" s="259"/>
      <c r="Q76" s="259"/>
      <c r="R76" s="259"/>
      <c r="S76" s="259"/>
      <c r="T76" s="259"/>
      <c r="U76" s="259"/>
      <c r="V76" s="259"/>
      <c r="W76" s="259"/>
      <c r="X76" s="259"/>
      <c r="Y76" s="259"/>
      <c r="Z76" s="259"/>
      <c r="AA76" s="259"/>
      <c r="AB76" s="259"/>
      <c r="AC76" s="259"/>
      <c r="AD76" s="259"/>
    </row>
    <row r="77" spans="1:30" x14ac:dyDescent="0.25">
      <c r="A77" s="259"/>
      <c r="Q77" s="259"/>
      <c r="R77" s="259"/>
      <c r="S77" s="259"/>
      <c r="T77" s="259"/>
      <c r="U77" s="259"/>
      <c r="V77" s="259"/>
      <c r="W77" s="259"/>
      <c r="X77" s="259"/>
      <c r="Y77" s="259"/>
      <c r="Z77" s="259"/>
      <c r="AA77" s="259"/>
      <c r="AB77" s="259"/>
      <c r="AC77" s="259"/>
      <c r="AD77" s="259"/>
    </row>
    <row r="78" spans="1:30" x14ac:dyDescent="0.25">
      <c r="A78" s="259"/>
      <c r="Q78" s="259"/>
      <c r="R78" s="259"/>
      <c r="S78" s="259"/>
      <c r="T78" s="259"/>
      <c r="U78" s="259"/>
      <c r="V78" s="259"/>
      <c r="W78" s="259"/>
      <c r="X78" s="259"/>
      <c r="Y78" s="259"/>
      <c r="Z78" s="259"/>
      <c r="AA78" s="259"/>
      <c r="AB78" s="259"/>
      <c r="AC78" s="259"/>
      <c r="AD78" s="259"/>
    </row>
    <row r="79" spans="1:30" x14ac:dyDescent="0.25">
      <c r="A79" s="259"/>
      <c r="Q79" s="259"/>
      <c r="R79" s="259"/>
      <c r="S79" s="259"/>
      <c r="T79" s="259"/>
      <c r="U79" s="259"/>
      <c r="V79" s="259"/>
      <c r="W79" s="259"/>
      <c r="X79" s="259"/>
      <c r="Y79" s="259"/>
      <c r="Z79" s="259"/>
      <c r="AA79" s="259"/>
      <c r="AB79" s="259"/>
      <c r="AC79" s="259"/>
      <c r="AD79" s="259"/>
    </row>
    <row r="80" spans="1:30" x14ac:dyDescent="0.25">
      <c r="A80" s="259"/>
      <c r="Q80" s="259"/>
      <c r="R80" s="259"/>
      <c r="S80" s="259"/>
      <c r="T80" s="259"/>
      <c r="U80" s="259"/>
      <c r="V80" s="259"/>
      <c r="W80" s="259"/>
      <c r="X80" s="259"/>
      <c r="Y80" s="259"/>
      <c r="Z80" s="259"/>
      <c r="AA80" s="259"/>
      <c r="AB80" s="259"/>
      <c r="AC80" s="259"/>
      <c r="AD80" s="259"/>
    </row>
    <row r="81" spans="1:30" x14ac:dyDescent="0.25">
      <c r="A81" s="259"/>
      <c r="Q81" s="259"/>
      <c r="R81" s="259"/>
      <c r="S81" s="259"/>
      <c r="T81" s="259"/>
      <c r="U81" s="259"/>
      <c r="V81" s="259"/>
      <c r="W81" s="259"/>
      <c r="X81" s="259"/>
      <c r="Y81" s="259"/>
      <c r="Z81" s="259"/>
      <c r="AA81" s="259"/>
      <c r="AB81" s="259"/>
      <c r="AC81" s="259"/>
      <c r="AD81" s="259"/>
    </row>
    <row r="82" spans="1:30" x14ac:dyDescent="0.25">
      <c r="A82" s="259"/>
      <c r="Q82" s="259"/>
      <c r="R82" s="259"/>
      <c r="S82" s="259"/>
      <c r="T82" s="259"/>
      <c r="U82" s="259"/>
      <c r="V82" s="259"/>
      <c r="W82" s="259"/>
      <c r="X82" s="259"/>
      <c r="Y82" s="259"/>
      <c r="Z82" s="259"/>
      <c r="AA82" s="259"/>
      <c r="AB82" s="259"/>
      <c r="AC82" s="259"/>
      <c r="AD82" s="259"/>
    </row>
    <row r="83" spans="1:30" x14ac:dyDescent="0.25">
      <c r="A83" s="259"/>
      <c r="Q83" s="259"/>
      <c r="R83" s="259"/>
      <c r="S83" s="259"/>
      <c r="T83" s="259"/>
      <c r="U83" s="259"/>
      <c r="V83" s="259"/>
      <c r="W83" s="259"/>
      <c r="X83" s="259"/>
      <c r="Y83" s="259"/>
      <c r="Z83" s="259"/>
      <c r="AA83" s="259"/>
      <c r="AB83" s="259"/>
      <c r="AC83" s="259"/>
      <c r="AD83" s="259"/>
    </row>
    <row r="84" spans="1:30" x14ac:dyDescent="0.25">
      <c r="A84" s="259"/>
      <c r="Q84" s="259"/>
      <c r="R84" s="259"/>
      <c r="S84" s="259"/>
      <c r="T84" s="259"/>
      <c r="U84" s="259"/>
      <c r="V84" s="259"/>
      <c r="W84" s="259"/>
      <c r="X84" s="259"/>
      <c r="Y84" s="259"/>
      <c r="Z84" s="259"/>
      <c r="AA84" s="259"/>
      <c r="AB84" s="259"/>
      <c r="AC84" s="259"/>
      <c r="AD84" s="259"/>
    </row>
    <row r="85" spans="1:30" x14ac:dyDescent="0.25">
      <c r="A85" s="259"/>
      <c r="Q85" s="259"/>
      <c r="R85" s="259"/>
      <c r="S85" s="259"/>
      <c r="T85" s="259"/>
      <c r="U85" s="259"/>
      <c r="V85" s="259"/>
      <c r="W85" s="259"/>
      <c r="X85" s="259"/>
      <c r="Y85" s="259"/>
      <c r="Z85" s="259"/>
      <c r="AA85" s="259"/>
      <c r="AB85" s="259"/>
      <c r="AC85" s="259"/>
      <c r="AD85" s="259"/>
    </row>
    <row r="86" spans="1:30" x14ac:dyDescent="0.25">
      <c r="A86" s="259"/>
      <c r="Q86" s="259"/>
      <c r="R86" s="259"/>
      <c r="S86" s="259"/>
      <c r="T86" s="259"/>
      <c r="U86" s="259"/>
      <c r="V86" s="259"/>
      <c r="W86" s="259"/>
      <c r="X86" s="259"/>
      <c r="Y86" s="259"/>
      <c r="Z86" s="259"/>
      <c r="AA86" s="259"/>
      <c r="AB86" s="259"/>
      <c r="AC86" s="259"/>
      <c r="AD86" s="259"/>
    </row>
    <row r="87" spans="1:30" x14ac:dyDescent="0.25">
      <c r="A87" s="259"/>
      <c r="Q87" s="259"/>
      <c r="R87" s="259"/>
      <c r="S87" s="259"/>
      <c r="T87" s="259"/>
      <c r="U87" s="259"/>
      <c r="V87" s="259"/>
      <c r="W87" s="259"/>
      <c r="X87" s="259"/>
      <c r="Y87" s="259"/>
      <c r="Z87" s="259"/>
      <c r="AA87" s="259"/>
      <c r="AB87" s="259"/>
      <c r="AC87" s="259"/>
      <c r="AD87" s="259"/>
    </row>
    <row r="88" spans="1:30" x14ac:dyDescent="0.25">
      <c r="A88" s="259"/>
      <c r="Q88" s="259"/>
      <c r="R88" s="259"/>
      <c r="S88" s="259"/>
      <c r="T88" s="259"/>
      <c r="U88" s="259"/>
      <c r="V88" s="259"/>
      <c r="W88" s="259"/>
      <c r="X88" s="259"/>
      <c r="Y88" s="259"/>
      <c r="Z88" s="259"/>
      <c r="AA88" s="259"/>
      <c r="AB88" s="259"/>
      <c r="AC88" s="259"/>
      <c r="AD88" s="259"/>
    </row>
    <row r="89" spans="1:30" x14ac:dyDescent="0.25">
      <c r="A89" s="259"/>
      <c r="Q89" s="259"/>
      <c r="R89" s="259"/>
      <c r="S89" s="259"/>
      <c r="T89" s="259"/>
      <c r="U89" s="259"/>
      <c r="V89" s="259"/>
      <c r="W89" s="259"/>
      <c r="X89" s="259"/>
      <c r="Y89" s="259"/>
      <c r="Z89" s="259"/>
      <c r="AA89" s="259"/>
      <c r="AB89" s="259"/>
      <c r="AC89" s="259"/>
      <c r="AD89" s="259"/>
    </row>
    <row r="90" spans="1:30" x14ac:dyDescent="0.25">
      <c r="A90" s="259"/>
      <c r="Q90" s="259"/>
      <c r="R90" s="259"/>
      <c r="S90" s="259"/>
      <c r="T90" s="259"/>
      <c r="U90" s="259"/>
      <c r="V90" s="259"/>
      <c r="W90" s="259"/>
      <c r="X90" s="259"/>
      <c r="Y90" s="259"/>
      <c r="Z90" s="259"/>
      <c r="AA90" s="259"/>
      <c r="AB90" s="259"/>
      <c r="AC90" s="259"/>
      <c r="AD90" s="259"/>
    </row>
    <row r="91" spans="1:30" x14ac:dyDescent="0.25">
      <c r="A91" s="259"/>
      <c r="Q91" s="259"/>
      <c r="R91" s="259"/>
      <c r="S91" s="259"/>
      <c r="T91" s="259"/>
      <c r="U91" s="259"/>
      <c r="V91" s="259"/>
      <c r="W91" s="259"/>
      <c r="X91" s="259"/>
      <c r="Y91" s="259"/>
      <c r="Z91" s="259"/>
      <c r="AA91" s="259"/>
      <c r="AB91" s="259"/>
      <c r="AC91" s="259"/>
      <c r="AD91" s="259"/>
    </row>
    <row r="92" spans="1:30" x14ac:dyDescent="0.25">
      <c r="A92" s="259"/>
      <c r="Q92" s="259"/>
      <c r="R92" s="259"/>
      <c r="S92" s="259"/>
      <c r="T92" s="259"/>
      <c r="U92" s="259"/>
      <c r="V92" s="259"/>
      <c r="W92" s="259"/>
      <c r="X92" s="259"/>
      <c r="Y92" s="259"/>
      <c r="Z92" s="259"/>
      <c r="AA92" s="259"/>
      <c r="AB92" s="259"/>
      <c r="AC92" s="259"/>
      <c r="AD92" s="259"/>
    </row>
    <row r="93" spans="1:30" x14ac:dyDescent="0.25">
      <c r="A93" s="259"/>
      <c r="Q93" s="259"/>
      <c r="R93" s="259"/>
      <c r="S93" s="259"/>
      <c r="T93" s="259"/>
      <c r="U93" s="259"/>
      <c r="V93" s="259"/>
      <c r="W93" s="259"/>
      <c r="X93" s="259"/>
      <c r="Y93" s="259"/>
      <c r="Z93" s="259"/>
      <c r="AA93" s="259"/>
      <c r="AB93" s="259"/>
      <c r="AC93" s="259"/>
      <c r="AD93" s="259"/>
    </row>
    <row r="94" spans="1:30" x14ac:dyDescent="0.25">
      <c r="A94" s="259"/>
      <c r="Q94" s="259"/>
      <c r="R94" s="259"/>
      <c r="S94" s="259"/>
      <c r="T94" s="259"/>
      <c r="U94" s="259"/>
      <c r="V94" s="259"/>
      <c r="W94" s="259"/>
      <c r="X94" s="259"/>
      <c r="Y94" s="259"/>
      <c r="Z94" s="259"/>
      <c r="AA94" s="259"/>
      <c r="AB94" s="259"/>
      <c r="AC94" s="259"/>
      <c r="AD94" s="259"/>
    </row>
    <row r="95" spans="1:30" x14ac:dyDescent="0.25">
      <c r="A95" s="259"/>
      <c r="Q95" s="259"/>
      <c r="R95" s="259"/>
      <c r="S95" s="259"/>
      <c r="T95" s="259"/>
      <c r="U95" s="259"/>
      <c r="V95" s="259"/>
      <c r="W95" s="259"/>
      <c r="X95" s="259"/>
      <c r="Y95" s="259"/>
      <c r="Z95" s="259"/>
      <c r="AA95" s="259"/>
      <c r="AB95" s="259"/>
      <c r="AC95" s="259"/>
      <c r="AD95" s="259"/>
    </row>
    <row r="96" spans="1:30" x14ac:dyDescent="0.25">
      <c r="A96" s="259"/>
      <c r="Q96" s="259"/>
      <c r="R96" s="259"/>
      <c r="S96" s="259"/>
      <c r="T96" s="259"/>
      <c r="U96" s="259"/>
      <c r="V96" s="259"/>
      <c r="W96" s="259"/>
      <c r="X96" s="259"/>
      <c r="Y96" s="259"/>
      <c r="Z96" s="259"/>
      <c r="AA96" s="259"/>
      <c r="AB96" s="259"/>
      <c r="AC96" s="259"/>
      <c r="AD96" s="259"/>
    </row>
    <row r="97" spans="1:30" x14ac:dyDescent="0.25">
      <c r="A97" s="259"/>
      <c r="Q97" s="259"/>
      <c r="R97" s="259"/>
      <c r="S97" s="259"/>
      <c r="T97" s="259"/>
      <c r="U97" s="259"/>
      <c r="V97" s="259"/>
      <c r="W97" s="259"/>
      <c r="X97" s="259"/>
      <c r="Y97" s="259"/>
      <c r="Z97" s="259"/>
      <c r="AA97" s="259"/>
      <c r="AB97" s="259"/>
      <c r="AC97" s="259"/>
      <c r="AD97" s="259"/>
    </row>
    <row r="98" spans="1:30" x14ac:dyDescent="0.25">
      <c r="A98" s="259"/>
      <c r="Q98" s="259"/>
      <c r="R98" s="259"/>
      <c r="S98" s="259"/>
      <c r="T98" s="259"/>
      <c r="U98" s="259"/>
      <c r="V98" s="259"/>
      <c r="W98" s="259"/>
      <c r="X98" s="259"/>
      <c r="Y98" s="259"/>
      <c r="Z98" s="259"/>
      <c r="AA98" s="259"/>
      <c r="AB98" s="259"/>
      <c r="AC98" s="259"/>
      <c r="AD98" s="259"/>
    </row>
    <row r="99" spans="1:30" x14ac:dyDescent="0.25">
      <c r="A99" s="259"/>
      <c r="Q99" s="259"/>
      <c r="R99" s="259"/>
      <c r="S99" s="259"/>
      <c r="T99" s="259"/>
      <c r="U99" s="259"/>
      <c r="V99" s="259"/>
      <c r="W99" s="259"/>
      <c r="X99" s="259"/>
      <c r="Y99" s="259"/>
      <c r="Z99" s="259"/>
      <c r="AA99" s="259"/>
      <c r="AB99" s="259"/>
      <c r="AC99" s="259"/>
      <c r="AD99" s="259"/>
    </row>
    <row r="100" spans="1:30" x14ac:dyDescent="0.25">
      <c r="A100" s="259"/>
      <c r="Q100" s="259"/>
      <c r="R100" s="259"/>
      <c r="S100" s="259"/>
      <c r="T100" s="259"/>
      <c r="U100" s="259"/>
      <c r="V100" s="259"/>
      <c r="W100" s="259"/>
      <c r="X100" s="259"/>
      <c r="Y100" s="259"/>
      <c r="Z100" s="259"/>
      <c r="AA100" s="259"/>
      <c r="AB100" s="259"/>
      <c r="AC100" s="259"/>
      <c r="AD100" s="259"/>
    </row>
    <row r="101" spans="1:30" x14ac:dyDescent="0.25">
      <c r="A101" s="259"/>
      <c r="Q101" s="259"/>
      <c r="R101" s="259"/>
      <c r="S101" s="259"/>
      <c r="T101" s="259"/>
      <c r="U101" s="259"/>
      <c r="V101" s="259"/>
      <c r="W101" s="259"/>
      <c r="X101" s="259"/>
      <c r="Y101" s="259"/>
      <c r="Z101" s="259"/>
      <c r="AA101" s="259"/>
      <c r="AB101" s="259"/>
      <c r="AC101" s="259"/>
      <c r="AD101" s="259"/>
    </row>
    <row r="102" spans="1:30" x14ac:dyDescent="0.25">
      <c r="Q102" s="259"/>
      <c r="R102" s="259"/>
      <c r="S102" s="259"/>
      <c r="T102" s="259"/>
      <c r="U102" s="259"/>
      <c r="V102" s="259"/>
      <c r="W102" s="259"/>
      <c r="X102" s="259"/>
      <c r="Y102" s="259"/>
      <c r="Z102" s="259"/>
      <c r="AA102" s="259"/>
      <c r="AB102" s="259"/>
      <c r="AC102" s="259"/>
      <c r="AD102" s="259"/>
    </row>
    <row r="103" spans="1:30" x14ac:dyDescent="0.25">
      <c r="Q103" s="259"/>
      <c r="R103" s="259"/>
      <c r="S103" s="259"/>
      <c r="T103" s="259"/>
      <c r="U103" s="259"/>
      <c r="V103" s="259"/>
      <c r="W103" s="259"/>
      <c r="X103" s="259"/>
      <c r="Y103" s="259"/>
      <c r="Z103" s="259"/>
      <c r="AA103" s="259"/>
      <c r="AB103" s="259"/>
      <c r="AC103" s="259"/>
      <c r="AD103" s="259"/>
    </row>
    <row r="104" spans="1:30" x14ac:dyDescent="0.25">
      <c r="Q104" s="259"/>
      <c r="R104" s="259"/>
      <c r="S104" s="259"/>
      <c r="T104" s="259"/>
      <c r="U104" s="259"/>
      <c r="V104" s="259"/>
      <c r="W104" s="259"/>
      <c r="X104" s="259"/>
      <c r="Y104" s="259"/>
      <c r="Z104" s="259"/>
      <c r="AA104" s="259"/>
      <c r="AB104" s="259"/>
      <c r="AC104" s="259"/>
      <c r="AD104" s="259"/>
    </row>
    <row r="105" spans="1:30" x14ac:dyDescent="0.25">
      <c r="Q105" s="259"/>
      <c r="R105" s="259"/>
      <c r="S105" s="259"/>
      <c r="T105" s="259"/>
      <c r="U105" s="259"/>
      <c r="V105" s="259"/>
      <c r="W105" s="259"/>
      <c r="X105" s="259"/>
      <c r="Y105" s="259"/>
      <c r="Z105" s="259"/>
      <c r="AA105" s="259"/>
      <c r="AB105" s="259"/>
      <c r="AC105" s="259"/>
      <c r="AD105" s="259"/>
    </row>
    <row r="106" spans="1:30" x14ac:dyDescent="0.25">
      <c r="Q106" s="259"/>
      <c r="R106" s="259"/>
      <c r="S106" s="259"/>
      <c r="T106" s="259"/>
      <c r="U106" s="259"/>
      <c r="V106" s="259"/>
      <c r="W106" s="259"/>
      <c r="X106" s="259"/>
      <c r="Y106" s="259"/>
      <c r="Z106" s="259"/>
      <c r="AA106" s="259"/>
      <c r="AB106" s="259"/>
      <c r="AC106" s="259"/>
      <c r="AD106" s="259"/>
    </row>
    <row r="107" spans="1:30" x14ac:dyDescent="0.25">
      <c r="Q107" s="259"/>
      <c r="R107" s="259"/>
      <c r="S107" s="259"/>
      <c r="T107" s="259"/>
      <c r="U107" s="259"/>
      <c r="V107" s="259"/>
      <c r="W107" s="259"/>
      <c r="X107" s="259"/>
      <c r="Y107" s="259"/>
      <c r="Z107" s="259"/>
      <c r="AA107" s="259"/>
      <c r="AB107" s="259"/>
      <c r="AC107" s="259"/>
      <c r="AD107" s="259"/>
    </row>
    <row r="108" spans="1:30" x14ac:dyDescent="0.25">
      <c r="Q108" s="259"/>
      <c r="R108" s="259"/>
      <c r="S108" s="259"/>
      <c r="T108" s="259"/>
      <c r="U108" s="259"/>
      <c r="V108" s="259"/>
      <c r="W108" s="259"/>
      <c r="X108" s="259"/>
      <c r="Y108" s="259"/>
      <c r="Z108" s="259"/>
      <c r="AA108" s="259"/>
      <c r="AB108" s="259"/>
      <c r="AC108" s="259"/>
      <c r="AD108" s="259"/>
    </row>
    <row r="109" spans="1:30" x14ac:dyDescent="0.25">
      <c r="Q109" s="259"/>
      <c r="R109" s="259"/>
      <c r="S109" s="259"/>
      <c r="T109" s="259"/>
      <c r="U109" s="259"/>
      <c r="V109" s="259"/>
      <c r="W109" s="259"/>
      <c r="X109" s="259"/>
      <c r="Y109" s="259"/>
      <c r="Z109" s="259"/>
      <c r="AA109" s="259"/>
      <c r="AB109" s="259"/>
      <c r="AC109" s="259"/>
      <c r="AD109" s="259"/>
    </row>
    <row r="110" spans="1:30" x14ac:dyDescent="0.25">
      <c r="Q110" s="259"/>
      <c r="R110" s="259"/>
      <c r="S110" s="259"/>
      <c r="T110" s="259"/>
      <c r="U110" s="259"/>
      <c r="V110" s="259"/>
      <c r="W110" s="259"/>
      <c r="X110" s="259"/>
      <c r="Y110" s="259"/>
      <c r="Z110" s="259"/>
      <c r="AA110" s="259"/>
      <c r="AB110" s="259"/>
      <c r="AC110" s="259"/>
      <c r="AD110" s="259"/>
    </row>
    <row r="111" spans="1:30" x14ac:dyDescent="0.25">
      <c r="Q111" s="259"/>
      <c r="R111" s="259"/>
      <c r="S111" s="259"/>
      <c r="T111" s="259"/>
      <c r="U111" s="259"/>
      <c r="V111" s="259"/>
      <c r="W111" s="259"/>
      <c r="X111" s="259"/>
      <c r="Y111" s="259"/>
      <c r="Z111" s="259"/>
      <c r="AA111" s="259"/>
      <c r="AB111" s="259"/>
      <c r="AC111" s="259"/>
      <c r="AD111" s="259"/>
    </row>
    <row r="112" spans="1:30" x14ac:dyDescent="0.25">
      <c r="Q112" s="259"/>
      <c r="R112" s="259"/>
      <c r="S112" s="259"/>
      <c r="T112" s="259"/>
      <c r="U112" s="259"/>
      <c r="V112" s="259"/>
      <c r="W112" s="259"/>
      <c r="X112" s="259"/>
      <c r="Y112" s="259"/>
      <c r="Z112" s="259"/>
      <c r="AA112" s="259"/>
      <c r="AB112" s="259"/>
      <c r="AC112" s="259"/>
      <c r="AD112" s="259"/>
    </row>
    <row r="113" spans="17:30" x14ac:dyDescent="0.25">
      <c r="Q113" s="259"/>
      <c r="R113" s="259"/>
      <c r="S113" s="259"/>
      <c r="T113" s="259"/>
      <c r="U113" s="259"/>
      <c r="V113" s="259"/>
      <c r="W113" s="259"/>
      <c r="X113" s="259"/>
      <c r="Y113" s="259"/>
      <c r="Z113" s="259"/>
      <c r="AA113" s="259"/>
      <c r="AB113" s="259"/>
      <c r="AC113" s="259"/>
      <c r="AD113" s="259"/>
    </row>
    <row r="114" spans="17:30" x14ac:dyDescent="0.25">
      <c r="Q114" s="259"/>
      <c r="R114" s="259"/>
      <c r="S114" s="259"/>
      <c r="T114" s="259"/>
      <c r="U114" s="259"/>
      <c r="V114" s="259"/>
      <c r="W114" s="259"/>
      <c r="X114" s="259"/>
      <c r="Y114" s="259"/>
      <c r="Z114" s="259"/>
      <c r="AA114" s="259"/>
      <c r="AB114" s="259"/>
      <c r="AC114" s="259"/>
      <c r="AD114" s="259"/>
    </row>
    <row r="115" spans="17:30" x14ac:dyDescent="0.25">
      <c r="Q115" s="259"/>
      <c r="R115" s="259"/>
      <c r="S115" s="259"/>
      <c r="T115" s="259"/>
      <c r="U115" s="259"/>
      <c r="V115" s="259"/>
      <c r="W115" s="259"/>
      <c r="X115" s="259"/>
      <c r="Y115" s="259"/>
      <c r="Z115" s="259"/>
      <c r="AA115" s="259"/>
      <c r="AB115" s="259"/>
      <c r="AC115" s="259"/>
      <c r="AD115" s="259"/>
    </row>
    <row r="116" spans="17:30" x14ac:dyDescent="0.25">
      <c r="Q116" s="259"/>
      <c r="R116" s="259"/>
      <c r="S116" s="259"/>
      <c r="T116" s="259"/>
      <c r="U116" s="259"/>
      <c r="V116" s="259"/>
      <c r="W116" s="259"/>
      <c r="X116" s="259"/>
      <c r="Y116" s="259"/>
      <c r="Z116" s="259"/>
      <c r="AA116" s="259"/>
      <c r="AB116" s="259"/>
      <c r="AC116" s="259"/>
      <c r="AD116" s="259"/>
    </row>
    <row r="117" spans="17:30" x14ac:dyDescent="0.25">
      <c r="Q117" s="259"/>
      <c r="R117" s="259"/>
      <c r="S117" s="259"/>
      <c r="T117" s="259"/>
      <c r="U117" s="259"/>
      <c r="V117" s="259"/>
      <c r="W117" s="259"/>
      <c r="X117" s="259"/>
      <c r="Y117" s="259"/>
      <c r="Z117" s="259"/>
      <c r="AA117" s="259"/>
      <c r="AB117" s="259"/>
      <c r="AC117" s="259"/>
      <c r="AD117" s="259"/>
    </row>
    <row r="118" spans="17:30" x14ac:dyDescent="0.25">
      <c r="Q118" s="259"/>
      <c r="R118" s="259"/>
      <c r="S118" s="259"/>
      <c r="T118" s="259"/>
      <c r="U118" s="259"/>
      <c r="V118" s="259"/>
      <c r="W118" s="259"/>
      <c r="X118" s="259"/>
      <c r="Y118" s="259"/>
      <c r="Z118" s="259"/>
      <c r="AA118" s="259"/>
      <c r="AB118" s="259"/>
      <c r="AC118" s="259"/>
      <c r="AD118" s="259"/>
    </row>
    <row r="119" spans="17:30" x14ac:dyDescent="0.25">
      <c r="Q119" s="259"/>
      <c r="R119" s="259"/>
      <c r="S119" s="259"/>
      <c r="T119" s="259"/>
      <c r="U119" s="259"/>
      <c r="V119" s="259"/>
      <c r="W119" s="259"/>
      <c r="X119" s="259"/>
      <c r="Y119" s="259"/>
      <c r="Z119" s="259"/>
      <c r="AA119" s="259"/>
      <c r="AB119" s="259"/>
      <c r="AC119" s="259"/>
      <c r="AD119" s="259"/>
    </row>
    <row r="120" spans="17:30" x14ac:dyDescent="0.25">
      <c r="Q120" s="259"/>
      <c r="R120" s="259"/>
      <c r="S120" s="259"/>
      <c r="T120" s="259"/>
      <c r="U120" s="259"/>
      <c r="V120" s="259"/>
      <c r="W120" s="259"/>
      <c r="X120" s="259"/>
      <c r="Y120" s="259"/>
      <c r="Z120" s="259"/>
      <c r="AA120" s="259"/>
      <c r="AB120" s="259"/>
      <c r="AC120" s="259"/>
      <c r="AD120" s="259"/>
    </row>
    <row r="121" spans="17:30" x14ac:dyDescent="0.25">
      <c r="Q121" s="259"/>
      <c r="R121" s="259"/>
      <c r="S121" s="259"/>
      <c r="T121" s="259"/>
      <c r="U121" s="259"/>
      <c r="V121" s="259"/>
      <c r="W121" s="259"/>
      <c r="X121" s="259"/>
      <c r="Y121" s="259"/>
      <c r="Z121" s="259"/>
      <c r="AA121" s="259"/>
      <c r="AB121" s="259"/>
      <c r="AC121" s="259"/>
      <c r="AD121" s="259"/>
    </row>
    <row r="122" spans="17:30" x14ac:dyDescent="0.25">
      <c r="Q122" s="259"/>
      <c r="R122" s="259"/>
      <c r="S122" s="259"/>
      <c r="T122" s="259"/>
      <c r="U122" s="259"/>
      <c r="V122" s="259"/>
      <c r="W122" s="259"/>
      <c r="X122" s="259"/>
      <c r="Y122" s="259"/>
      <c r="Z122" s="259"/>
      <c r="AA122" s="259"/>
      <c r="AB122" s="259"/>
      <c r="AC122" s="259"/>
      <c r="AD122" s="259"/>
    </row>
    <row r="123" spans="17:30" x14ac:dyDescent="0.25">
      <c r="Q123" s="259"/>
      <c r="R123" s="259"/>
      <c r="S123" s="259"/>
      <c r="T123" s="259"/>
      <c r="U123" s="259"/>
      <c r="V123" s="259"/>
      <c r="W123" s="259"/>
      <c r="X123" s="259"/>
      <c r="Y123" s="259"/>
      <c r="Z123" s="259"/>
      <c r="AA123" s="259"/>
      <c r="AB123" s="259"/>
      <c r="AC123" s="259"/>
      <c r="AD123" s="259"/>
    </row>
    <row r="124" spans="17:30" x14ac:dyDescent="0.25">
      <c r="Q124" s="259"/>
      <c r="R124" s="259"/>
      <c r="S124" s="259"/>
      <c r="T124" s="259"/>
      <c r="U124" s="259"/>
      <c r="V124" s="259"/>
      <c r="W124" s="259"/>
      <c r="X124" s="259"/>
      <c r="Y124" s="259"/>
      <c r="Z124" s="259"/>
      <c r="AA124" s="259"/>
      <c r="AB124" s="259"/>
      <c r="AC124" s="259"/>
      <c r="AD124" s="259"/>
    </row>
    <row r="125" spans="17:30" x14ac:dyDescent="0.25">
      <c r="Q125" s="259"/>
      <c r="R125" s="259"/>
      <c r="S125" s="259"/>
      <c r="T125" s="259"/>
      <c r="U125" s="259"/>
      <c r="V125" s="259"/>
      <c r="W125" s="259"/>
      <c r="X125" s="259"/>
      <c r="Y125" s="259"/>
      <c r="Z125" s="259"/>
      <c r="AA125" s="259"/>
      <c r="AB125" s="259"/>
      <c r="AC125" s="259"/>
      <c r="AD125" s="259"/>
    </row>
    <row r="126" spans="17:30" x14ac:dyDescent="0.25">
      <c r="Q126" s="259"/>
      <c r="R126" s="259"/>
      <c r="S126" s="259"/>
      <c r="T126" s="259"/>
      <c r="U126" s="259"/>
      <c r="V126" s="259"/>
      <c r="W126" s="259"/>
      <c r="X126" s="259"/>
      <c r="Y126" s="259"/>
      <c r="Z126" s="259"/>
      <c r="AA126" s="259"/>
      <c r="AB126" s="259"/>
      <c r="AC126" s="259"/>
      <c r="AD126" s="259"/>
    </row>
    <row r="127" spans="17:30" x14ac:dyDescent="0.25">
      <c r="Q127" s="259"/>
      <c r="R127" s="259"/>
      <c r="S127" s="259"/>
      <c r="T127" s="259"/>
      <c r="U127" s="259"/>
      <c r="V127" s="259"/>
      <c r="W127" s="259"/>
      <c r="X127" s="259"/>
      <c r="Y127" s="259"/>
      <c r="Z127" s="259"/>
      <c r="AA127" s="259"/>
      <c r="AB127" s="259"/>
      <c r="AC127" s="259"/>
      <c r="AD127" s="259"/>
    </row>
    <row r="128" spans="17:30" x14ac:dyDescent="0.25">
      <c r="Q128" s="259"/>
      <c r="R128" s="259"/>
      <c r="S128" s="259"/>
      <c r="T128" s="259"/>
      <c r="U128" s="259"/>
      <c r="V128" s="259"/>
      <c r="W128" s="259"/>
      <c r="X128" s="259"/>
      <c r="Y128" s="259"/>
      <c r="Z128" s="259"/>
      <c r="AA128" s="259"/>
      <c r="AB128" s="259"/>
      <c r="AC128" s="259"/>
      <c r="AD128" s="259"/>
    </row>
    <row r="129" spans="17:30" x14ac:dyDescent="0.25">
      <c r="Q129" s="259"/>
      <c r="R129" s="259"/>
      <c r="S129" s="259"/>
      <c r="T129" s="259"/>
      <c r="U129" s="259"/>
      <c r="V129" s="259"/>
      <c r="W129" s="259"/>
      <c r="X129" s="259"/>
      <c r="Y129" s="259"/>
      <c r="Z129" s="259"/>
      <c r="AA129" s="259"/>
      <c r="AB129" s="259"/>
      <c r="AC129" s="259"/>
      <c r="AD129" s="259"/>
    </row>
    <row r="130" spans="17:30" x14ac:dyDescent="0.25">
      <c r="Q130" s="259"/>
      <c r="R130" s="259"/>
      <c r="S130" s="259"/>
      <c r="T130" s="259"/>
      <c r="U130" s="259"/>
      <c r="V130" s="259"/>
      <c r="W130" s="259"/>
      <c r="X130" s="259"/>
      <c r="Y130" s="259"/>
      <c r="Z130" s="259"/>
      <c r="AA130" s="259"/>
      <c r="AB130" s="259"/>
      <c r="AC130" s="259"/>
      <c r="AD130" s="259"/>
    </row>
    <row r="131" spans="17:30" x14ac:dyDescent="0.25">
      <c r="Q131" s="259"/>
      <c r="R131" s="259"/>
      <c r="S131" s="259"/>
      <c r="T131" s="259"/>
      <c r="U131" s="259"/>
      <c r="V131" s="259"/>
      <c r="W131" s="259"/>
      <c r="X131" s="259"/>
      <c r="Y131" s="259"/>
      <c r="Z131" s="259"/>
      <c r="AA131" s="259"/>
      <c r="AB131" s="259"/>
      <c r="AC131" s="259"/>
      <c r="AD131" s="259"/>
    </row>
    <row r="132" spans="17:30" x14ac:dyDescent="0.25">
      <c r="Q132" s="259"/>
      <c r="R132" s="259"/>
      <c r="S132" s="259"/>
      <c r="T132" s="259"/>
      <c r="U132" s="259"/>
      <c r="V132" s="259"/>
      <c r="W132" s="259"/>
      <c r="X132" s="259"/>
      <c r="Y132" s="259"/>
      <c r="Z132" s="259"/>
      <c r="AA132" s="259"/>
      <c r="AB132" s="259"/>
      <c r="AC132" s="259"/>
      <c r="AD132" s="259"/>
    </row>
    <row r="133" spans="17:30" x14ac:dyDescent="0.25">
      <c r="Q133" s="259"/>
      <c r="R133" s="259"/>
      <c r="S133" s="259"/>
      <c r="T133" s="259"/>
      <c r="U133" s="259"/>
      <c r="V133" s="259"/>
      <c r="W133" s="259"/>
      <c r="X133" s="259"/>
      <c r="Y133" s="259"/>
      <c r="Z133" s="259"/>
      <c r="AA133" s="259"/>
      <c r="AB133" s="259"/>
      <c r="AC133" s="259"/>
      <c r="AD133" s="259"/>
    </row>
    <row r="134" spans="17:30" x14ac:dyDescent="0.25">
      <c r="Q134" s="259"/>
      <c r="R134" s="259"/>
      <c r="S134" s="259"/>
      <c r="T134" s="259"/>
      <c r="U134" s="259"/>
      <c r="V134" s="259"/>
      <c r="W134" s="259"/>
      <c r="X134" s="259"/>
      <c r="Y134" s="259"/>
      <c r="Z134" s="259"/>
      <c r="AA134" s="259"/>
      <c r="AB134" s="259"/>
      <c r="AC134" s="259"/>
      <c r="AD134" s="259"/>
    </row>
    <row r="135" spans="17:30" x14ac:dyDescent="0.25">
      <c r="Q135" s="259"/>
      <c r="R135" s="259"/>
      <c r="S135" s="259"/>
      <c r="T135" s="259"/>
      <c r="U135" s="259"/>
      <c r="V135" s="259"/>
      <c r="W135" s="259"/>
      <c r="X135" s="259"/>
      <c r="Y135" s="259"/>
      <c r="Z135" s="259"/>
      <c r="AA135" s="259"/>
      <c r="AB135" s="259"/>
      <c r="AC135" s="259"/>
      <c r="AD135" s="259"/>
    </row>
    <row r="136" spans="17:30" x14ac:dyDescent="0.25">
      <c r="Q136" s="259"/>
      <c r="R136" s="259"/>
      <c r="S136" s="259"/>
      <c r="T136" s="259"/>
      <c r="U136" s="259"/>
      <c r="V136" s="259"/>
      <c r="W136" s="259"/>
      <c r="X136" s="259"/>
      <c r="Y136" s="259"/>
      <c r="Z136" s="259"/>
      <c r="AA136" s="259"/>
      <c r="AB136" s="259"/>
      <c r="AC136" s="259"/>
      <c r="AD136" s="259"/>
    </row>
    <row r="137" spans="17:30" x14ac:dyDescent="0.25">
      <c r="Q137" s="259"/>
      <c r="R137" s="259"/>
      <c r="S137" s="259"/>
      <c r="T137" s="259"/>
      <c r="U137" s="259"/>
      <c r="V137" s="259"/>
      <c r="W137" s="259"/>
      <c r="X137" s="259"/>
      <c r="Y137" s="259"/>
      <c r="Z137" s="259"/>
      <c r="AA137" s="259"/>
      <c r="AB137" s="259"/>
      <c r="AC137" s="259"/>
      <c r="AD137" s="259"/>
    </row>
    <row r="138" spans="17:30" x14ac:dyDescent="0.25">
      <c r="Q138" s="259"/>
      <c r="R138" s="259"/>
      <c r="S138" s="259"/>
      <c r="T138" s="259"/>
      <c r="U138" s="259"/>
      <c r="V138" s="259"/>
      <c r="W138" s="259"/>
      <c r="X138" s="259"/>
      <c r="Y138" s="259"/>
      <c r="Z138" s="259"/>
      <c r="AA138" s="259"/>
      <c r="AB138" s="259"/>
      <c r="AC138" s="259"/>
      <c r="AD138" s="259"/>
    </row>
    <row r="139" spans="17:30" x14ac:dyDescent="0.25">
      <c r="Q139" s="259"/>
      <c r="R139" s="259"/>
      <c r="S139" s="259"/>
      <c r="T139" s="259"/>
      <c r="U139" s="259"/>
      <c r="V139" s="259"/>
      <c r="W139" s="259"/>
      <c r="X139" s="259"/>
      <c r="Y139" s="259"/>
      <c r="Z139" s="259"/>
      <c r="AA139" s="259"/>
      <c r="AB139" s="259"/>
      <c r="AC139" s="259"/>
      <c r="AD139" s="259"/>
    </row>
    <row r="140" spans="17:30" x14ac:dyDescent="0.25">
      <c r="Q140" s="259"/>
      <c r="R140" s="259"/>
      <c r="S140" s="259"/>
      <c r="T140" s="259"/>
      <c r="U140" s="259"/>
      <c r="V140" s="259"/>
      <c r="W140" s="259"/>
      <c r="X140" s="259"/>
      <c r="Y140" s="259"/>
      <c r="Z140" s="259"/>
      <c r="AA140" s="259"/>
      <c r="AB140" s="259"/>
      <c r="AC140" s="259"/>
      <c r="AD140" s="259"/>
    </row>
    <row r="141" spans="17:30" x14ac:dyDescent="0.25">
      <c r="Q141" s="259"/>
      <c r="R141" s="259"/>
      <c r="S141" s="259"/>
      <c r="T141" s="259"/>
      <c r="U141" s="259"/>
      <c r="V141" s="259"/>
      <c r="W141" s="259"/>
      <c r="X141" s="259"/>
      <c r="Y141" s="259"/>
      <c r="Z141" s="259"/>
      <c r="AA141" s="259"/>
      <c r="AB141" s="259"/>
      <c r="AC141" s="259"/>
      <c r="AD141" s="259"/>
    </row>
    <row r="142" spans="17:30" x14ac:dyDescent="0.25">
      <c r="Q142" s="259"/>
      <c r="R142" s="259"/>
      <c r="S142" s="259"/>
      <c r="T142" s="259"/>
      <c r="U142" s="259"/>
      <c r="V142" s="259"/>
      <c r="W142" s="259"/>
      <c r="X142" s="259"/>
      <c r="Y142" s="259"/>
      <c r="Z142" s="259"/>
      <c r="AA142" s="259"/>
      <c r="AB142" s="259"/>
      <c r="AC142" s="259"/>
      <c r="AD142" s="259"/>
    </row>
    <row r="143" spans="17:30" x14ac:dyDescent="0.25">
      <c r="Q143" s="259"/>
      <c r="R143" s="259"/>
      <c r="S143" s="259"/>
      <c r="T143" s="259"/>
      <c r="U143" s="259"/>
      <c r="V143" s="259"/>
      <c r="W143" s="259"/>
      <c r="X143" s="259"/>
      <c r="Y143" s="259"/>
      <c r="Z143" s="259"/>
      <c r="AA143" s="259"/>
      <c r="AB143" s="259"/>
      <c r="AC143" s="259"/>
      <c r="AD143" s="259"/>
    </row>
    <row r="144" spans="17:30" x14ac:dyDescent="0.25">
      <c r="Q144" s="259"/>
      <c r="R144" s="259"/>
      <c r="S144" s="259"/>
      <c r="T144" s="259"/>
      <c r="U144" s="259"/>
      <c r="V144" s="259"/>
      <c r="W144" s="259"/>
      <c r="X144" s="259"/>
      <c r="Y144" s="259"/>
      <c r="Z144" s="259"/>
      <c r="AA144" s="259"/>
      <c r="AB144" s="259"/>
      <c r="AC144" s="259"/>
      <c r="AD144" s="259"/>
    </row>
    <row r="145" spans="17:30" x14ac:dyDescent="0.25">
      <c r="Q145" s="259"/>
      <c r="R145" s="259"/>
      <c r="S145" s="259"/>
      <c r="T145" s="259"/>
      <c r="U145" s="259"/>
      <c r="V145" s="259"/>
      <c r="W145" s="259"/>
      <c r="X145" s="259"/>
      <c r="Y145" s="259"/>
      <c r="Z145" s="259"/>
      <c r="AA145" s="259"/>
      <c r="AB145" s="259"/>
      <c r="AC145" s="259"/>
      <c r="AD145" s="259"/>
    </row>
    <row r="146" spans="17:30" x14ac:dyDescent="0.25">
      <c r="Q146" s="259"/>
      <c r="R146" s="259"/>
      <c r="S146" s="259"/>
      <c r="T146" s="259"/>
      <c r="U146" s="259"/>
      <c r="V146" s="259"/>
      <c r="W146" s="259"/>
      <c r="X146" s="259"/>
      <c r="Y146" s="259"/>
      <c r="Z146" s="259"/>
      <c r="AA146" s="259"/>
      <c r="AB146" s="259"/>
      <c r="AC146" s="259"/>
      <c r="AD146" s="259"/>
    </row>
    <row r="147" spans="17:30" x14ac:dyDescent="0.25">
      <c r="Q147" s="259"/>
      <c r="R147" s="259"/>
      <c r="S147" s="259"/>
      <c r="T147" s="259"/>
      <c r="U147" s="259"/>
      <c r="V147" s="259"/>
      <c r="W147" s="259"/>
      <c r="X147" s="259"/>
      <c r="Y147" s="259"/>
      <c r="Z147" s="259"/>
      <c r="AA147" s="259"/>
      <c r="AB147" s="259"/>
      <c r="AC147" s="259"/>
      <c r="AD147" s="259"/>
    </row>
    <row r="148" spans="17:30" x14ac:dyDescent="0.25">
      <c r="Q148" s="259"/>
      <c r="R148" s="259"/>
      <c r="S148" s="259"/>
      <c r="T148" s="259"/>
      <c r="U148" s="259"/>
      <c r="V148" s="259"/>
      <c r="W148" s="259"/>
      <c r="X148" s="259"/>
      <c r="Y148" s="259"/>
      <c r="Z148" s="259"/>
      <c r="AA148" s="259"/>
      <c r="AB148" s="259"/>
      <c r="AC148" s="259"/>
      <c r="AD148" s="259"/>
    </row>
    <row r="149" spans="17:30" x14ac:dyDescent="0.25">
      <c r="Q149" s="259"/>
      <c r="R149" s="259"/>
      <c r="S149" s="259"/>
      <c r="T149" s="259"/>
      <c r="U149" s="259"/>
      <c r="V149" s="259"/>
      <c r="W149" s="259"/>
      <c r="X149" s="259"/>
      <c r="Y149" s="259"/>
      <c r="Z149" s="259"/>
      <c r="AA149" s="259"/>
      <c r="AB149" s="259"/>
      <c r="AC149" s="259"/>
      <c r="AD149" s="259"/>
    </row>
    <row r="150" spans="17:30" x14ac:dyDescent="0.25">
      <c r="Q150" s="259"/>
      <c r="R150" s="259"/>
      <c r="S150" s="259"/>
      <c r="T150" s="259"/>
      <c r="U150" s="259"/>
      <c r="V150" s="259"/>
      <c r="W150" s="259"/>
      <c r="X150" s="259"/>
      <c r="Y150" s="259"/>
      <c r="Z150" s="259"/>
      <c r="AA150" s="259"/>
      <c r="AB150" s="259"/>
      <c r="AC150" s="259"/>
      <c r="AD150" s="259"/>
    </row>
    <row r="151" spans="17:30" x14ac:dyDescent="0.25">
      <c r="Q151" s="259"/>
      <c r="R151" s="259"/>
      <c r="S151" s="259"/>
      <c r="T151" s="259"/>
      <c r="U151" s="259"/>
      <c r="V151" s="259"/>
      <c r="W151" s="259"/>
      <c r="X151" s="259"/>
      <c r="Y151" s="259"/>
      <c r="Z151" s="259"/>
      <c r="AA151" s="259"/>
      <c r="AB151" s="259"/>
      <c r="AC151" s="259"/>
      <c r="AD151" s="259"/>
    </row>
    <row r="152" spans="17:30" x14ac:dyDescent="0.25">
      <c r="Q152" s="259"/>
      <c r="R152" s="259"/>
      <c r="S152" s="259"/>
      <c r="T152" s="259"/>
      <c r="U152" s="259"/>
      <c r="V152" s="259"/>
      <c r="W152" s="259"/>
      <c r="X152" s="259"/>
      <c r="Y152" s="259"/>
      <c r="Z152" s="259"/>
      <c r="AA152" s="259"/>
      <c r="AB152" s="259"/>
      <c r="AC152" s="259"/>
      <c r="AD152" s="259"/>
    </row>
    <row r="153" spans="17:30" x14ac:dyDescent="0.25">
      <c r="Q153" s="259"/>
      <c r="R153" s="259"/>
      <c r="S153" s="259"/>
      <c r="T153" s="259"/>
      <c r="U153" s="259"/>
      <c r="V153" s="259"/>
      <c r="W153" s="259"/>
      <c r="X153" s="259"/>
      <c r="Y153" s="259"/>
      <c r="Z153" s="259"/>
      <c r="AA153" s="259"/>
      <c r="AB153" s="259"/>
      <c r="AC153" s="259"/>
      <c r="AD153" s="259"/>
    </row>
    <row r="154" spans="17:30" x14ac:dyDescent="0.25">
      <c r="Q154" s="259"/>
      <c r="R154" s="259"/>
      <c r="S154" s="259"/>
      <c r="T154" s="259"/>
      <c r="U154" s="259"/>
      <c r="V154" s="259"/>
      <c r="W154" s="259"/>
      <c r="X154" s="259"/>
      <c r="Y154" s="259"/>
      <c r="Z154" s="259"/>
      <c r="AA154" s="259"/>
      <c r="AB154" s="259"/>
      <c r="AC154" s="259"/>
      <c r="AD154" s="259"/>
    </row>
    <row r="155" spans="17:30" x14ac:dyDescent="0.25">
      <c r="Q155" s="259"/>
      <c r="R155" s="259"/>
      <c r="S155" s="259"/>
      <c r="T155" s="259"/>
      <c r="U155" s="259"/>
      <c r="V155" s="259"/>
      <c r="W155" s="259"/>
      <c r="X155" s="259"/>
      <c r="Y155" s="259"/>
      <c r="Z155" s="259"/>
      <c r="AA155" s="259"/>
      <c r="AB155" s="259"/>
      <c r="AC155" s="259"/>
      <c r="AD155" s="259"/>
    </row>
    <row r="156" spans="17:30" x14ac:dyDescent="0.25">
      <c r="Q156" s="259"/>
      <c r="R156" s="259"/>
      <c r="S156" s="259"/>
      <c r="T156" s="259"/>
      <c r="U156" s="259"/>
      <c r="V156" s="259"/>
      <c r="W156" s="259"/>
      <c r="X156" s="259"/>
      <c r="Y156" s="259"/>
      <c r="Z156" s="259"/>
      <c r="AA156" s="259"/>
      <c r="AB156" s="259"/>
      <c r="AC156" s="259"/>
      <c r="AD156" s="259"/>
    </row>
    <row r="157" spans="17:30" x14ac:dyDescent="0.25">
      <c r="Q157" s="259"/>
      <c r="R157" s="259"/>
      <c r="S157" s="259"/>
      <c r="T157" s="259"/>
      <c r="U157" s="259"/>
      <c r="V157" s="259"/>
      <c r="W157" s="259"/>
      <c r="X157" s="259"/>
      <c r="Y157" s="259"/>
      <c r="Z157" s="259"/>
      <c r="AA157" s="259"/>
      <c r="AB157" s="259"/>
      <c r="AC157" s="259"/>
      <c r="AD157" s="259"/>
    </row>
    <row r="158" spans="17:30" x14ac:dyDescent="0.25">
      <c r="Q158" s="259"/>
      <c r="R158" s="259"/>
      <c r="S158" s="259"/>
      <c r="T158" s="259"/>
      <c r="U158" s="259"/>
      <c r="V158" s="259"/>
      <c r="W158" s="259"/>
      <c r="X158" s="259"/>
      <c r="Y158" s="259"/>
      <c r="Z158" s="259"/>
      <c r="AA158" s="259"/>
      <c r="AB158" s="259"/>
      <c r="AC158" s="259"/>
      <c r="AD158" s="259"/>
    </row>
    <row r="159" spans="17:30" x14ac:dyDescent="0.25">
      <c r="Q159" s="259"/>
      <c r="R159" s="259"/>
      <c r="S159" s="259"/>
      <c r="T159" s="259"/>
      <c r="U159" s="259"/>
      <c r="V159" s="259"/>
      <c r="W159" s="259"/>
      <c r="X159" s="259"/>
      <c r="Y159" s="259"/>
      <c r="Z159" s="259"/>
      <c r="AA159" s="259"/>
      <c r="AB159" s="259"/>
      <c r="AC159" s="259"/>
      <c r="AD159" s="259"/>
    </row>
    <row r="160" spans="17:30" x14ac:dyDescent="0.25">
      <c r="Q160" s="259"/>
      <c r="R160" s="259"/>
      <c r="S160" s="259"/>
      <c r="T160" s="259"/>
      <c r="U160" s="259"/>
      <c r="V160" s="259"/>
      <c r="W160" s="259"/>
      <c r="X160" s="259"/>
      <c r="Y160" s="259"/>
      <c r="Z160" s="259"/>
      <c r="AA160" s="259"/>
      <c r="AB160" s="259"/>
      <c r="AC160" s="259"/>
      <c r="AD160" s="259"/>
    </row>
    <row r="161" spans="17:30" x14ac:dyDescent="0.25">
      <c r="Q161" s="259"/>
      <c r="R161" s="259"/>
      <c r="S161" s="259"/>
      <c r="T161" s="259"/>
      <c r="U161" s="259"/>
      <c r="V161" s="259"/>
      <c r="W161" s="259"/>
      <c r="X161" s="259"/>
      <c r="Y161" s="259"/>
      <c r="Z161" s="259"/>
      <c r="AA161" s="259"/>
      <c r="AB161" s="259"/>
      <c r="AC161" s="259"/>
      <c r="AD161" s="259"/>
    </row>
    <row r="162" spans="17:30" x14ac:dyDescent="0.25">
      <c r="Q162" s="259"/>
      <c r="R162" s="259"/>
      <c r="S162" s="259"/>
      <c r="T162" s="259"/>
      <c r="U162" s="259"/>
      <c r="V162" s="259"/>
      <c r="W162" s="259"/>
      <c r="X162" s="259"/>
      <c r="Y162" s="259"/>
      <c r="Z162" s="259"/>
      <c r="AA162" s="259"/>
      <c r="AB162" s="259"/>
      <c r="AC162" s="259"/>
      <c r="AD162" s="259"/>
    </row>
    <row r="163" spans="17:30" x14ac:dyDescent="0.25">
      <c r="Q163" s="259"/>
      <c r="R163" s="259"/>
      <c r="S163" s="259"/>
      <c r="T163" s="259"/>
      <c r="U163" s="259"/>
      <c r="V163" s="259"/>
      <c r="W163" s="259"/>
      <c r="X163" s="259"/>
      <c r="Y163" s="259"/>
      <c r="Z163" s="259"/>
      <c r="AA163" s="259"/>
      <c r="AB163" s="259"/>
      <c r="AC163" s="259"/>
      <c r="AD163" s="259"/>
    </row>
    <row r="164" spans="17:30" x14ac:dyDescent="0.25">
      <c r="Q164" s="259"/>
      <c r="R164" s="259"/>
      <c r="S164" s="259"/>
      <c r="T164" s="259"/>
      <c r="U164" s="259"/>
      <c r="V164" s="259"/>
      <c r="W164" s="259"/>
      <c r="X164" s="259"/>
      <c r="Y164" s="259"/>
      <c r="Z164" s="259"/>
      <c r="AA164" s="259"/>
      <c r="AB164" s="259"/>
      <c r="AC164" s="259"/>
      <c r="AD164" s="259"/>
    </row>
    <row r="165" spans="17:30" x14ac:dyDescent="0.25">
      <c r="Q165" s="259"/>
      <c r="R165" s="259"/>
      <c r="S165" s="259"/>
      <c r="T165" s="259"/>
      <c r="U165" s="259"/>
      <c r="V165" s="259"/>
      <c r="W165" s="259"/>
      <c r="X165" s="259"/>
      <c r="Y165" s="259"/>
      <c r="Z165" s="259"/>
      <c r="AA165" s="259"/>
      <c r="AB165" s="259"/>
      <c r="AC165" s="259"/>
      <c r="AD165" s="259"/>
    </row>
    <row r="166" spans="17:30" x14ac:dyDescent="0.25">
      <c r="Q166" s="259"/>
      <c r="R166" s="259"/>
      <c r="S166" s="259"/>
      <c r="T166" s="259"/>
      <c r="U166" s="259"/>
      <c r="V166" s="259"/>
      <c r="W166" s="259"/>
      <c r="X166" s="259"/>
      <c r="Y166" s="259"/>
      <c r="Z166" s="259"/>
      <c r="AA166" s="259"/>
      <c r="AB166" s="259"/>
      <c r="AC166" s="259"/>
      <c r="AD166" s="259"/>
    </row>
    <row r="167" spans="17:30" x14ac:dyDescent="0.25">
      <c r="Q167" s="259"/>
      <c r="R167" s="259"/>
      <c r="S167" s="259"/>
      <c r="T167" s="259"/>
      <c r="U167" s="259"/>
      <c r="V167" s="259"/>
      <c r="W167" s="259"/>
      <c r="X167" s="259"/>
      <c r="Y167" s="259"/>
      <c r="Z167" s="259"/>
      <c r="AA167" s="259"/>
      <c r="AB167" s="259"/>
      <c r="AC167" s="259"/>
      <c r="AD167" s="259"/>
    </row>
    <row r="168" spans="17:30" x14ac:dyDescent="0.25">
      <c r="Q168" s="259"/>
      <c r="R168" s="259"/>
      <c r="S168" s="259"/>
      <c r="T168" s="259"/>
      <c r="U168" s="259"/>
      <c r="V168" s="259"/>
      <c r="W168" s="259"/>
      <c r="X168" s="259"/>
      <c r="Y168" s="259"/>
      <c r="Z168" s="259"/>
      <c r="AA168" s="259"/>
      <c r="AB168" s="259"/>
      <c r="AC168" s="259"/>
      <c r="AD168" s="259"/>
    </row>
    <row r="169" spans="17:30" x14ac:dyDescent="0.25">
      <c r="Q169" s="259"/>
      <c r="R169" s="259"/>
      <c r="S169" s="259"/>
      <c r="T169" s="259"/>
      <c r="U169" s="259"/>
      <c r="V169" s="259"/>
      <c r="W169" s="259"/>
      <c r="X169" s="259"/>
      <c r="Y169" s="259"/>
      <c r="Z169" s="259"/>
      <c r="AA169" s="259"/>
      <c r="AB169" s="259"/>
      <c r="AC169" s="259"/>
      <c r="AD169" s="259"/>
    </row>
    <row r="170" spans="17:30" x14ac:dyDescent="0.25">
      <c r="Q170" s="259"/>
      <c r="R170" s="259"/>
      <c r="S170" s="259"/>
      <c r="T170" s="259"/>
      <c r="U170" s="259"/>
      <c r="V170" s="259"/>
      <c r="W170" s="259"/>
      <c r="X170" s="259"/>
      <c r="Y170" s="259"/>
      <c r="Z170" s="259"/>
      <c r="AA170" s="259"/>
      <c r="AB170" s="259"/>
      <c r="AC170" s="259"/>
      <c r="AD170" s="259"/>
    </row>
    <row r="171" spans="17:30" x14ac:dyDescent="0.25">
      <c r="Q171" s="259"/>
      <c r="R171" s="259"/>
      <c r="S171" s="259"/>
      <c r="T171" s="259"/>
      <c r="U171" s="259"/>
      <c r="V171" s="259"/>
      <c r="W171" s="259"/>
      <c r="X171" s="259"/>
      <c r="Y171" s="259"/>
      <c r="Z171" s="259"/>
      <c r="AA171" s="259"/>
      <c r="AB171" s="259"/>
      <c r="AC171" s="259"/>
      <c r="AD171" s="259"/>
    </row>
    <row r="172" spans="17:30" x14ac:dyDescent="0.25">
      <c r="Q172" s="259"/>
      <c r="R172" s="259"/>
      <c r="S172" s="259"/>
      <c r="T172" s="259"/>
      <c r="U172" s="259"/>
      <c r="V172" s="259"/>
      <c r="W172" s="259"/>
      <c r="X172" s="259"/>
      <c r="Y172" s="259"/>
      <c r="Z172" s="259"/>
      <c r="AA172" s="259"/>
      <c r="AB172" s="259"/>
      <c r="AC172" s="259"/>
      <c r="AD172" s="259"/>
    </row>
    <row r="173" spans="17:30" x14ac:dyDescent="0.25">
      <c r="Q173" s="259"/>
      <c r="R173" s="259"/>
      <c r="S173" s="259"/>
      <c r="T173" s="259"/>
      <c r="U173" s="259"/>
      <c r="V173" s="259"/>
      <c r="W173" s="259"/>
      <c r="X173" s="259"/>
      <c r="Y173" s="259"/>
      <c r="Z173" s="259"/>
      <c r="AA173" s="259"/>
      <c r="AB173" s="259"/>
      <c r="AC173" s="259"/>
      <c r="AD173" s="259"/>
    </row>
    <row r="174" spans="17:30" x14ac:dyDescent="0.25">
      <c r="Q174" s="259"/>
      <c r="R174" s="259"/>
      <c r="S174" s="259"/>
      <c r="T174" s="259"/>
      <c r="U174" s="259"/>
      <c r="V174" s="259"/>
      <c r="W174" s="259"/>
      <c r="X174" s="259"/>
      <c r="Y174" s="259"/>
      <c r="Z174" s="259"/>
      <c r="AA174" s="259"/>
      <c r="AB174" s="259"/>
      <c r="AC174" s="259"/>
      <c r="AD174" s="259"/>
    </row>
    <row r="175" spans="17:30" x14ac:dyDescent="0.25">
      <c r="Q175" s="259"/>
      <c r="R175" s="259"/>
      <c r="S175" s="259"/>
      <c r="T175" s="259"/>
      <c r="U175" s="259"/>
      <c r="V175" s="259"/>
      <c r="W175" s="259"/>
      <c r="X175" s="259"/>
      <c r="Y175" s="259"/>
      <c r="Z175" s="259"/>
      <c r="AA175" s="259"/>
      <c r="AB175" s="259"/>
      <c r="AC175" s="259"/>
      <c r="AD175" s="259"/>
    </row>
    <row r="176" spans="17:30" x14ac:dyDescent="0.25">
      <c r="Q176" s="259"/>
      <c r="R176" s="259"/>
      <c r="S176" s="259"/>
      <c r="T176" s="259"/>
      <c r="U176" s="259"/>
      <c r="V176" s="259"/>
      <c r="W176" s="259"/>
      <c r="X176" s="259"/>
      <c r="Y176" s="259"/>
      <c r="Z176" s="259"/>
      <c r="AA176" s="259"/>
      <c r="AB176" s="259"/>
      <c r="AC176" s="259"/>
      <c r="AD176" s="259"/>
    </row>
    <row r="177" spans="17:30" x14ac:dyDescent="0.25">
      <c r="Q177" s="259"/>
      <c r="R177" s="259"/>
      <c r="S177" s="259"/>
      <c r="T177" s="259"/>
      <c r="U177" s="259"/>
      <c r="V177" s="259"/>
      <c r="W177" s="259"/>
      <c r="X177" s="259"/>
      <c r="Y177" s="259"/>
      <c r="Z177" s="259"/>
      <c r="AA177" s="259"/>
      <c r="AB177" s="259"/>
      <c r="AC177" s="259"/>
      <c r="AD177" s="259"/>
    </row>
    <row r="178" spans="17:30" x14ac:dyDescent="0.25">
      <c r="Q178" s="259"/>
      <c r="R178" s="259"/>
      <c r="S178" s="259"/>
      <c r="T178" s="259"/>
      <c r="U178" s="259"/>
      <c r="V178" s="259"/>
      <c r="W178" s="259"/>
      <c r="X178" s="259"/>
      <c r="Y178" s="259"/>
      <c r="Z178" s="259"/>
      <c r="AA178" s="259"/>
      <c r="AB178" s="259"/>
      <c r="AC178" s="259"/>
      <c r="AD178" s="259"/>
    </row>
    <row r="179" spans="17:30" x14ac:dyDescent="0.25">
      <c r="Q179" s="259"/>
      <c r="R179" s="259"/>
      <c r="S179" s="259"/>
      <c r="T179" s="259"/>
      <c r="U179" s="259"/>
      <c r="V179" s="259"/>
      <c r="W179" s="259"/>
      <c r="X179" s="259"/>
      <c r="Y179" s="259"/>
      <c r="Z179" s="259"/>
      <c r="AA179" s="259"/>
      <c r="AB179" s="259"/>
      <c r="AC179" s="259"/>
      <c r="AD179" s="259"/>
    </row>
    <row r="180" spans="17:30" x14ac:dyDescent="0.25">
      <c r="Q180" s="259"/>
      <c r="R180" s="259"/>
      <c r="S180" s="259"/>
      <c r="T180" s="259"/>
      <c r="U180" s="259"/>
      <c r="V180" s="259"/>
      <c r="W180" s="259"/>
      <c r="X180" s="259"/>
      <c r="Y180" s="259"/>
      <c r="Z180" s="259"/>
      <c r="AA180" s="259"/>
      <c r="AB180" s="259"/>
      <c r="AC180" s="259"/>
      <c r="AD180" s="259"/>
    </row>
    <row r="181" spans="17:30" x14ac:dyDescent="0.25">
      <c r="Q181" s="259"/>
      <c r="R181" s="259"/>
      <c r="S181" s="259"/>
      <c r="T181" s="259"/>
      <c r="U181" s="259"/>
      <c r="V181" s="259"/>
      <c r="W181" s="259"/>
      <c r="X181" s="259"/>
      <c r="Y181" s="259"/>
      <c r="Z181" s="259"/>
      <c r="AA181" s="259"/>
      <c r="AB181" s="259"/>
      <c r="AC181" s="259"/>
      <c r="AD181" s="259"/>
    </row>
    <row r="182" spans="17:30" x14ac:dyDescent="0.25">
      <c r="Q182" s="259"/>
      <c r="R182" s="259"/>
      <c r="S182" s="259"/>
      <c r="T182" s="259"/>
      <c r="U182" s="259"/>
      <c r="V182" s="259"/>
      <c r="W182" s="259"/>
      <c r="X182" s="259"/>
      <c r="Y182" s="259"/>
      <c r="Z182" s="259"/>
      <c r="AA182" s="259"/>
      <c r="AB182" s="259"/>
      <c r="AC182" s="259"/>
      <c r="AD182" s="259"/>
    </row>
    <row r="183" spans="17:30" x14ac:dyDescent="0.25">
      <c r="Q183" s="259"/>
      <c r="R183" s="259"/>
      <c r="S183" s="259"/>
      <c r="T183" s="259"/>
      <c r="U183" s="259"/>
      <c r="V183" s="259"/>
      <c r="W183" s="259"/>
      <c r="X183" s="259"/>
      <c r="Y183" s="259"/>
      <c r="Z183" s="259"/>
      <c r="AA183" s="259"/>
      <c r="AB183" s="259"/>
      <c r="AC183" s="259"/>
      <c r="AD183" s="259"/>
    </row>
    <row r="184" spans="17:30" x14ac:dyDescent="0.25">
      <c r="Q184" s="259"/>
      <c r="R184" s="259"/>
      <c r="S184" s="259"/>
      <c r="T184" s="259"/>
      <c r="U184" s="259"/>
      <c r="V184" s="259"/>
      <c r="W184" s="259"/>
      <c r="X184" s="259"/>
      <c r="Y184" s="259"/>
      <c r="Z184" s="259"/>
      <c r="AA184" s="259"/>
      <c r="AB184" s="259"/>
      <c r="AC184" s="259"/>
      <c r="AD184" s="259"/>
    </row>
    <row r="185" spans="17:30" x14ac:dyDescent="0.25">
      <c r="Q185" s="259"/>
      <c r="R185" s="259"/>
      <c r="S185" s="259"/>
      <c r="T185" s="259"/>
      <c r="U185" s="259"/>
      <c r="V185" s="259"/>
      <c r="W185" s="259"/>
      <c r="X185" s="259"/>
      <c r="Y185" s="259"/>
      <c r="Z185" s="259"/>
      <c r="AA185" s="259"/>
      <c r="AB185" s="259"/>
      <c r="AC185" s="259"/>
      <c r="AD185" s="259"/>
    </row>
    <row r="186" spans="17:30" x14ac:dyDescent="0.25">
      <c r="Q186" s="259"/>
      <c r="R186" s="259"/>
      <c r="S186" s="259"/>
      <c r="T186" s="259"/>
      <c r="U186" s="259"/>
      <c r="V186" s="259"/>
      <c r="W186" s="259"/>
      <c r="X186" s="259"/>
      <c r="Y186" s="259"/>
      <c r="Z186" s="259"/>
      <c r="AA186" s="259"/>
      <c r="AB186" s="259"/>
      <c r="AC186" s="259"/>
      <c r="AD186" s="259"/>
    </row>
    <row r="187" spans="17:30" x14ac:dyDescent="0.25">
      <c r="Q187" s="259"/>
      <c r="R187" s="259"/>
      <c r="S187" s="259"/>
      <c r="T187" s="259"/>
      <c r="U187" s="259"/>
      <c r="V187" s="259"/>
      <c r="W187" s="259"/>
      <c r="X187" s="259"/>
      <c r="Y187" s="259"/>
      <c r="Z187" s="259"/>
      <c r="AA187" s="259"/>
      <c r="AB187" s="259"/>
      <c r="AC187" s="259"/>
      <c r="AD187" s="259"/>
    </row>
    <row r="188" spans="17:30" x14ac:dyDescent="0.25">
      <c r="Q188" s="259"/>
      <c r="R188" s="259"/>
      <c r="S188" s="259"/>
      <c r="T188" s="259"/>
      <c r="U188" s="259"/>
      <c r="V188" s="259"/>
      <c r="W188" s="259"/>
      <c r="X188" s="259"/>
      <c r="Y188" s="259"/>
      <c r="Z188" s="259"/>
      <c r="AA188" s="259"/>
      <c r="AB188" s="259"/>
      <c r="AC188" s="259"/>
      <c r="AD188" s="259"/>
    </row>
    <row r="189" spans="17:30" x14ac:dyDescent="0.25">
      <c r="Q189" s="259"/>
      <c r="R189" s="259"/>
      <c r="S189" s="259"/>
      <c r="T189" s="259"/>
      <c r="U189" s="259"/>
      <c r="V189" s="259"/>
      <c r="W189" s="259"/>
      <c r="X189" s="259"/>
      <c r="Y189" s="259"/>
      <c r="Z189" s="259"/>
      <c r="AA189" s="259"/>
      <c r="AB189" s="259"/>
      <c r="AC189" s="259"/>
      <c r="AD189" s="259"/>
    </row>
    <row r="190" spans="17:30" x14ac:dyDescent="0.25">
      <c r="Q190" s="259"/>
      <c r="R190" s="259"/>
      <c r="S190" s="259"/>
      <c r="T190" s="259"/>
      <c r="U190" s="259"/>
      <c r="V190" s="259"/>
      <c r="W190" s="259"/>
      <c r="X190" s="259"/>
      <c r="Y190" s="259"/>
      <c r="Z190" s="259"/>
      <c r="AA190" s="259"/>
      <c r="AB190" s="259"/>
      <c r="AC190" s="259"/>
      <c r="AD190" s="259"/>
    </row>
    <row r="191" spans="17:30" x14ac:dyDescent="0.25">
      <c r="Q191" s="259"/>
      <c r="R191" s="259"/>
      <c r="S191" s="259"/>
      <c r="T191" s="259"/>
      <c r="U191" s="259"/>
      <c r="V191" s="259"/>
      <c r="W191" s="259"/>
      <c r="X191" s="259"/>
      <c r="Y191" s="259"/>
      <c r="Z191" s="259"/>
      <c r="AA191" s="259"/>
      <c r="AB191" s="259"/>
      <c r="AC191" s="259"/>
      <c r="AD191" s="259"/>
    </row>
    <row r="192" spans="17:30" x14ac:dyDescent="0.25">
      <c r="Q192" s="259"/>
      <c r="R192" s="259"/>
      <c r="S192" s="259"/>
      <c r="T192" s="259"/>
      <c r="U192" s="259"/>
      <c r="V192" s="259"/>
      <c r="W192" s="259"/>
      <c r="X192" s="259"/>
      <c r="Y192" s="259"/>
      <c r="Z192" s="259"/>
      <c r="AA192" s="259"/>
      <c r="AB192" s="259"/>
      <c r="AC192" s="259"/>
      <c r="AD192" s="259"/>
    </row>
    <row r="193" spans="17:30" x14ac:dyDescent="0.25">
      <c r="Q193" s="259"/>
      <c r="R193" s="259"/>
      <c r="S193" s="259"/>
      <c r="T193" s="259"/>
      <c r="U193" s="259"/>
      <c r="V193" s="259"/>
      <c r="W193" s="259"/>
      <c r="X193" s="259"/>
      <c r="Y193" s="259"/>
      <c r="Z193" s="259"/>
      <c r="AA193" s="259"/>
      <c r="AB193" s="259"/>
      <c r="AC193" s="259"/>
      <c r="AD193" s="259"/>
    </row>
    <row r="194" spans="17:30" x14ac:dyDescent="0.25">
      <c r="Q194" s="259"/>
      <c r="R194" s="259"/>
      <c r="S194" s="259"/>
      <c r="T194" s="259"/>
      <c r="U194" s="259"/>
      <c r="V194" s="259"/>
      <c r="W194" s="259"/>
      <c r="X194" s="259"/>
      <c r="Y194" s="259"/>
      <c r="Z194" s="259"/>
      <c r="AA194" s="259"/>
      <c r="AB194" s="259"/>
      <c r="AC194" s="259"/>
      <c r="AD194" s="259"/>
    </row>
    <row r="195" spans="17:30" x14ac:dyDescent="0.25">
      <c r="Q195" s="259"/>
      <c r="R195" s="259"/>
      <c r="S195" s="259"/>
      <c r="T195" s="259"/>
      <c r="U195" s="259"/>
      <c r="V195" s="259"/>
      <c r="W195" s="259"/>
      <c r="X195" s="259"/>
      <c r="Y195" s="259"/>
      <c r="Z195" s="259"/>
      <c r="AA195" s="259"/>
      <c r="AB195" s="259"/>
      <c r="AC195" s="259"/>
      <c r="AD195" s="259"/>
    </row>
    <row r="196" spans="17:30" x14ac:dyDescent="0.25">
      <c r="Q196" s="259"/>
      <c r="R196" s="259"/>
      <c r="S196" s="259"/>
      <c r="T196" s="259"/>
      <c r="U196" s="259"/>
      <c r="V196" s="259"/>
      <c r="W196" s="259"/>
      <c r="X196" s="259"/>
      <c r="Y196" s="259"/>
      <c r="Z196" s="259"/>
      <c r="AA196" s="259"/>
      <c r="AB196" s="259"/>
      <c r="AC196" s="259"/>
      <c r="AD196" s="259"/>
    </row>
    <row r="197" spans="17:30" x14ac:dyDescent="0.25">
      <c r="Q197" s="259"/>
      <c r="R197" s="259"/>
      <c r="S197" s="259"/>
      <c r="T197" s="259"/>
      <c r="U197" s="259"/>
      <c r="V197" s="259"/>
      <c r="W197" s="259"/>
      <c r="X197" s="259"/>
      <c r="Y197" s="259"/>
      <c r="Z197" s="259"/>
      <c r="AA197" s="259"/>
      <c r="AB197" s="259"/>
      <c r="AC197" s="259"/>
      <c r="AD197" s="259"/>
    </row>
    <row r="198" spans="17:30" x14ac:dyDescent="0.25">
      <c r="Q198" s="259"/>
      <c r="R198" s="259"/>
      <c r="S198" s="259"/>
      <c r="T198" s="259"/>
      <c r="U198" s="259"/>
      <c r="V198" s="259"/>
      <c r="W198" s="259"/>
      <c r="X198" s="259"/>
      <c r="Y198" s="259"/>
      <c r="Z198" s="259"/>
      <c r="AA198" s="259"/>
      <c r="AB198" s="259"/>
      <c r="AC198" s="259"/>
      <c r="AD198" s="259"/>
    </row>
    <row r="199" spans="17:30" x14ac:dyDescent="0.25">
      <c r="Q199" s="259"/>
      <c r="R199" s="259"/>
      <c r="S199" s="259"/>
      <c r="T199" s="259"/>
      <c r="U199" s="259"/>
      <c r="V199" s="259"/>
      <c r="W199" s="259"/>
      <c r="X199" s="259"/>
      <c r="Y199" s="259"/>
      <c r="Z199" s="259"/>
      <c r="AA199" s="259"/>
      <c r="AB199" s="259"/>
      <c r="AC199" s="259"/>
      <c r="AD199" s="259"/>
    </row>
    <row r="200" spans="17:30" x14ac:dyDescent="0.25">
      <c r="Q200" s="259"/>
      <c r="R200" s="259"/>
      <c r="S200" s="259"/>
      <c r="T200" s="259"/>
      <c r="U200" s="259"/>
      <c r="V200" s="259"/>
      <c r="W200" s="259"/>
      <c r="X200" s="259"/>
      <c r="Y200" s="259"/>
      <c r="Z200" s="259"/>
      <c r="AA200" s="259"/>
      <c r="AB200" s="259"/>
      <c r="AC200" s="259"/>
      <c r="AD200" s="259"/>
    </row>
    <row r="201" spans="17:30" x14ac:dyDescent="0.25">
      <c r="Q201" s="259"/>
      <c r="R201" s="259"/>
      <c r="S201" s="259"/>
      <c r="T201" s="259"/>
      <c r="U201" s="259"/>
      <c r="V201" s="259"/>
      <c r="W201" s="259"/>
      <c r="X201" s="259"/>
      <c r="Y201" s="259"/>
      <c r="Z201" s="259"/>
      <c r="AA201" s="259"/>
      <c r="AB201" s="259"/>
      <c r="AC201" s="259"/>
      <c r="AD201" s="259"/>
    </row>
    <row r="202" spans="17:30" x14ac:dyDescent="0.25">
      <c r="Q202" s="259"/>
      <c r="R202" s="259"/>
      <c r="S202" s="259"/>
      <c r="T202" s="259"/>
      <c r="U202" s="259"/>
      <c r="V202" s="259"/>
      <c r="W202" s="259"/>
      <c r="X202" s="259"/>
      <c r="Y202" s="259"/>
      <c r="Z202" s="259"/>
      <c r="AA202" s="259"/>
      <c r="AB202" s="259"/>
      <c r="AC202" s="259"/>
      <c r="AD202" s="259"/>
    </row>
    <row r="203" spans="17:30" x14ac:dyDescent="0.25">
      <c r="Q203" s="259"/>
      <c r="R203" s="259"/>
      <c r="S203" s="259"/>
      <c r="T203" s="259"/>
      <c r="U203" s="259"/>
      <c r="V203" s="259"/>
      <c r="W203" s="259"/>
      <c r="X203" s="259"/>
      <c r="Y203" s="259"/>
      <c r="Z203" s="259"/>
      <c r="AA203" s="259"/>
      <c r="AB203" s="259"/>
      <c r="AC203" s="259"/>
      <c r="AD203" s="259"/>
    </row>
    <row r="204" spans="17:30" x14ac:dyDescent="0.25">
      <c r="Q204" s="259"/>
      <c r="R204" s="259"/>
      <c r="S204" s="259"/>
      <c r="T204" s="259"/>
      <c r="U204" s="259"/>
      <c r="V204" s="259"/>
      <c r="W204" s="259"/>
      <c r="X204" s="259"/>
      <c r="Y204" s="259"/>
      <c r="Z204" s="259"/>
      <c r="AA204" s="259"/>
      <c r="AB204" s="259"/>
      <c r="AC204" s="259"/>
      <c r="AD204" s="259"/>
    </row>
    <row r="205" spans="17:30" x14ac:dyDescent="0.25">
      <c r="Q205" s="259"/>
      <c r="R205" s="259"/>
      <c r="S205" s="259"/>
      <c r="T205" s="259"/>
      <c r="U205" s="259"/>
      <c r="V205" s="259"/>
      <c r="W205" s="259"/>
      <c r="X205" s="259"/>
      <c r="Y205" s="259"/>
      <c r="Z205" s="259"/>
      <c r="AA205" s="259"/>
      <c r="AB205" s="259"/>
      <c r="AC205" s="259"/>
      <c r="AD205" s="259"/>
    </row>
    <row r="206" spans="17:30" x14ac:dyDescent="0.25">
      <c r="Q206" s="259"/>
      <c r="R206" s="259"/>
      <c r="S206" s="259"/>
      <c r="T206" s="259"/>
      <c r="U206" s="259"/>
      <c r="V206" s="259"/>
      <c r="W206" s="259"/>
      <c r="X206" s="259"/>
      <c r="Y206" s="259"/>
      <c r="Z206" s="259"/>
      <c r="AA206" s="259"/>
      <c r="AB206" s="259"/>
      <c r="AC206" s="259"/>
      <c r="AD206" s="259"/>
    </row>
    <row r="207" spans="17:30" x14ac:dyDescent="0.25">
      <c r="Q207" s="259"/>
      <c r="R207" s="259"/>
      <c r="S207" s="259"/>
      <c r="T207" s="259"/>
      <c r="U207" s="259"/>
      <c r="V207" s="259"/>
      <c r="W207" s="259"/>
      <c r="X207" s="259"/>
      <c r="Y207" s="259"/>
      <c r="Z207" s="259"/>
      <c r="AA207" s="259"/>
      <c r="AB207" s="259"/>
      <c r="AC207" s="259"/>
      <c r="AD207" s="259"/>
    </row>
    <row r="208" spans="17:30" x14ac:dyDescent="0.25">
      <c r="Q208" s="259"/>
      <c r="R208" s="259"/>
      <c r="S208" s="259"/>
      <c r="T208" s="259"/>
      <c r="U208" s="259"/>
      <c r="V208" s="259"/>
      <c r="W208" s="259"/>
      <c r="X208" s="259"/>
      <c r="Y208" s="259"/>
      <c r="Z208" s="259"/>
      <c r="AA208" s="259"/>
      <c r="AB208" s="259"/>
      <c r="AC208" s="259"/>
      <c r="AD208" s="259"/>
    </row>
    <row r="209" spans="17:30" x14ac:dyDescent="0.25">
      <c r="Q209" s="259"/>
      <c r="R209" s="259"/>
      <c r="S209" s="259"/>
      <c r="T209" s="259"/>
      <c r="U209" s="259"/>
      <c r="V209" s="259"/>
      <c r="W209" s="259"/>
      <c r="X209" s="259"/>
      <c r="Y209" s="259"/>
      <c r="Z209" s="259"/>
      <c r="AA209" s="259"/>
      <c r="AB209" s="259"/>
      <c r="AC209" s="259"/>
      <c r="AD209" s="259"/>
    </row>
    <row r="210" spans="17:30" x14ac:dyDescent="0.25">
      <c r="Q210" s="259"/>
      <c r="R210" s="259"/>
      <c r="S210" s="259"/>
      <c r="T210" s="259"/>
      <c r="U210" s="259"/>
      <c r="V210" s="259"/>
      <c r="W210" s="259"/>
      <c r="X210" s="259"/>
      <c r="Y210" s="259"/>
      <c r="Z210" s="259"/>
      <c r="AA210" s="259"/>
      <c r="AB210" s="259"/>
      <c r="AC210" s="259"/>
      <c r="AD210" s="259"/>
    </row>
    <row r="211" spans="17:30" x14ac:dyDescent="0.25">
      <c r="Q211" s="259"/>
      <c r="R211" s="259"/>
      <c r="S211" s="259"/>
      <c r="T211" s="259"/>
      <c r="U211" s="259"/>
      <c r="V211" s="259"/>
      <c r="W211" s="259"/>
      <c r="X211" s="259"/>
      <c r="Y211" s="259"/>
      <c r="Z211" s="259"/>
      <c r="AA211" s="259"/>
      <c r="AB211" s="259"/>
      <c r="AC211" s="259"/>
      <c r="AD211" s="259"/>
    </row>
    <row r="212" spans="17:30" x14ac:dyDescent="0.25">
      <c r="Q212" s="259"/>
      <c r="R212" s="259"/>
      <c r="S212" s="259"/>
      <c r="T212" s="259"/>
      <c r="U212" s="259"/>
      <c r="V212" s="259"/>
      <c r="W212" s="259"/>
      <c r="X212" s="259"/>
      <c r="Y212" s="259"/>
      <c r="Z212" s="259"/>
      <c r="AA212" s="259"/>
      <c r="AB212" s="259"/>
      <c r="AC212" s="259"/>
      <c r="AD212" s="259"/>
    </row>
    <row r="213" spans="17:30" x14ac:dyDescent="0.25">
      <c r="Q213" s="259"/>
      <c r="R213" s="259"/>
      <c r="S213" s="259"/>
      <c r="T213" s="259"/>
      <c r="U213" s="259"/>
      <c r="V213" s="259"/>
      <c r="W213" s="259"/>
      <c r="X213" s="259"/>
      <c r="Y213" s="259"/>
      <c r="Z213" s="259"/>
      <c r="AA213" s="259"/>
      <c r="AB213" s="259"/>
      <c r="AC213" s="259"/>
      <c r="AD213" s="259"/>
    </row>
    <row r="214" spans="17:30" x14ac:dyDescent="0.25">
      <c r="Q214" s="259"/>
      <c r="R214" s="259"/>
      <c r="S214" s="259"/>
      <c r="T214" s="259"/>
      <c r="U214" s="259"/>
      <c r="V214" s="259"/>
      <c r="W214" s="259"/>
      <c r="X214" s="259"/>
      <c r="Y214" s="259"/>
      <c r="Z214" s="259"/>
      <c r="AA214" s="259"/>
      <c r="AB214" s="259"/>
      <c r="AC214" s="259"/>
      <c r="AD214" s="259"/>
    </row>
    <row r="215" spans="17:30" x14ac:dyDescent="0.25">
      <c r="Q215" s="259"/>
      <c r="R215" s="259"/>
      <c r="S215" s="259"/>
      <c r="T215" s="259"/>
      <c r="U215" s="259"/>
      <c r="V215" s="259"/>
      <c r="W215" s="259"/>
      <c r="X215" s="259"/>
      <c r="Y215" s="259"/>
      <c r="Z215" s="259"/>
      <c r="AA215" s="259"/>
      <c r="AB215" s="259"/>
      <c r="AC215" s="259"/>
      <c r="AD215" s="259"/>
    </row>
    <row r="216" spans="17:30" x14ac:dyDescent="0.25">
      <c r="Q216" s="259"/>
      <c r="R216" s="259"/>
      <c r="S216" s="259"/>
      <c r="T216" s="259"/>
      <c r="U216" s="259"/>
      <c r="V216" s="259"/>
      <c r="W216" s="259"/>
      <c r="X216" s="259"/>
      <c r="Y216" s="259"/>
      <c r="Z216" s="259"/>
      <c r="AA216" s="259"/>
      <c r="AB216" s="259"/>
      <c r="AC216" s="259"/>
      <c r="AD216" s="259"/>
    </row>
    <row r="217" spans="17:30" x14ac:dyDescent="0.25">
      <c r="Q217" s="259"/>
      <c r="R217" s="259"/>
      <c r="S217" s="259"/>
      <c r="T217" s="259"/>
      <c r="U217" s="259"/>
      <c r="V217" s="259"/>
      <c r="W217" s="259"/>
      <c r="X217" s="259"/>
      <c r="Y217" s="259"/>
      <c r="Z217" s="259"/>
      <c r="AA217" s="259"/>
      <c r="AB217" s="259"/>
      <c r="AC217" s="259"/>
      <c r="AD217" s="259"/>
    </row>
    <row r="218" spans="17:30" x14ac:dyDescent="0.25">
      <c r="Q218" s="259"/>
      <c r="R218" s="259"/>
      <c r="S218" s="259"/>
      <c r="T218" s="259"/>
      <c r="U218" s="259"/>
      <c r="V218" s="259"/>
      <c r="W218" s="259"/>
      <c r="X218" s="259"/>
      <c r="Y218" s="259"/>
      <c r="Z218" s="259"/>
      <c r="AA218" s="259"/>
      <c r="AB218" s="259"/>
      <c r="AC218" s="259"/>
      <c r="AD218" s="259"/>
    </row>
    <row r="219" spans="17:30" x14ac:dyDescent="0.25">
      <c r="Q219" s="259"/>
      <c r="R219" s="259"/>
      <c r="S219" s="259"/>
      <c r="T219" s="259"/>
      <c r="U219" s="259"/>
      <c r="V219" s="259"/>
      <c r="W219" s="259"/>
      <c r="X219" s="259"/>
      <c r="Y219" s="259"/>
      <c r="Z219" s="259"/>
      <c r="AA219" s="259"/>
      <c r="AB219" s="259"/>
      <c r="AC219" s="259"/>
      <c r="AD219" s="259"/>
    </row>
    <row r="220" spans="17:30" x14ac:dyDescent="0.25">
      <c r="Q220" s="259"/>
      <c r="R220" s="259"/>
      <c r="S220" s="259"/>
      <c r="T220" s="259"/>
      <c r="U220" s="259"/>
      <c r="V220" s="259"/>
      <c r="W220" s="259"/>
      <c r="X220" s="259"/>
      <c r="Y220" s="259"/>
      <c r="Z220" s="259"/>
      <c r="AA220" s="259"/>
      <c r="AB220" s="259"/>
      <c r="AC220" s="259"/>
      <c r="AD220" s="259"/>
    </row>
    <row r="221" spans="17:30" x14ac:dyDescent="0.25">
      <c r="Q221" s="259"/>
      <c r="R221" s="259"/>
      <c r="S221" s="259"/>
      <c r="T221" s="259"/>
      <c r="U221" s="259"/>
      <c r="V221" s="259"/>
      <c r="W221" s="259"/>
      <c r="X221" s="259"/>
      <c r="Y221" s="259"/>
      <c r="Z221" s="259"/>
      <c r="AA221" s="259"/>
      <c r="AB221" s="259"/>
      <c r="AC221" s="259"/>
      <c r="AD221" s="259"/>
    </row>
    <row r="222" spans="17:30" x14ac:dyDescent="0.25">
      <c r="Q222" s="259"/>
      <c r="R222" s="259"/>
      <c r="S222" s="259"/>
      <c r="T222" s="259"/>
      <c r="U222" s="259"/>
      <c r="V222" s="259"/>
      <c r="W222" s="259"/>
      <c r="X222" s="259"/>
      <c r="Y222" s="259"/>
      <c r="Z222" s="259"/>
      <c r="AA222" s="259"/>
      <c r="AB222" s="259"/>
      <c r="AC222" s="259"/>
      <c r="AD222" s="259"/>
    </row>
    <row r="223" spans="17:30" x14ac:dyDescent="0.25">
      <c r="Q223" s="259"/>
      <c r="R223" s="259"/>
      <c r="S223" s="259"/>
      <c r="T223" s="259"/>
      <c r="U223" s="259"/>
      <c r="V223" s="259"/>
      <c r="W223" s="259"/>
      <c r="X223" s="259"/>
      <c r="Y223" s="259"/>
      <c r="Z223" s="259"/>
      <c r="AA223" s="259"/>
      <c r="AB223" s="259"/>
      <c r="AC223" s="259"/>
      <c r="AD223" s="259"/>
    </row>
    <row r="224" spans="17:30" x14ac:dyDescent="0.25">
      <c r="Q224" s="259"/>
      <c r="R224" s="259"/>
      <c r="S224" s="259"/>
      <c r="T224" s="259"/>
      <c r="U224" s="259"/>
      <c r="V224" s="259"/>
      <c r="W224" s="259"/>
      <c r="X224" s="259"/>
      <c r="Y224" s="259"/>
      <c r="Z224" s="259"/>
      <c r="AA224" s="259"/>
      <c r="AB224" s="259"/>
      <c r="AC224" s="259"/>
      <c r="AD224" s="259"/>
    </row>
    <row r="225" spans="17:30" x14ac:dyDescent="0.25">
      <c r="Q225" s="259"/>
      <c r="R225" s="259"/>
      <c r="S225" s="259"/>
      <c r="T225" s="259"/>
      <c r="U225" s="259"/>
      <c r="V225" s="259"/>
      <c r="W225" s="259"/>
      <c r="X225" s="259"/>
      <c r="Y225" s="259"/>
      <c r="Z225" s="259"/>
      <c r="AA225" s="259"/>
      <c r="AB225" s="259"/>
      <c r="AC225" s="259"/>
      <c r="AD225" s="259"/>
    </row>
    <row r="226" spans="17:30" x14ac:dyDescent="0.25">
      <c r="Q226" s="259"/>
      <c r="R226" s="259"/>
      <c r="S226" s="259"/>
      <c r="T226" s="259"/>
      <c r="U226" s="259"/>
      <c r="V226" s="259"/>
      <c r="W226" s="259"/>
      <c r="X226" s="259"/>
      <c r="Y226" s="259"/>
      <c r="Z226" s="259"/>
      <c r="AA226" s="259"/>
      <c r="AB226" s="259"/>
      <c r="AC226" s="259"/>
      <c r="AD226" s="259"/>
    </row>
    <row r="227" spans="17:30" x14ac:dyDescent="0.25">
      <c r="Q227" s="259"/>
      <c r="R227" s="259"/>
      <c r="S227" s="259"/>
      <c r="T227" s="259"/>
      <c r="U227" s="259"/>
      <c r="V227" s="259"/>
      <c r="W227" s="259"/>
      <c r="X227" s="259"/>
      <c r="Y227" s="259"/>
      <c r="Z227" s="259"/>
      <c r="AA227" s="259"/>
      <c r="AB227" s="259"/>
      <c r="AC227" s="259"/>
      <c r="AD227" s="259"/>
    </row>
    <row r="228" spans="17:30" x14ac:dyDescent="0.25">
      <c r="Q228" s="259"/>
      <c r="R228" s="259"/>
      <c r="S228" s="259"/>
      <c r="T228" s="259"/>
      <c r="U228" s="259"/>
      <c r="V228" s="259"/>
      <c r="W228" s="259"/>
      <c r="X228" s="259"/>
      <c r="Y228" s="259"/>
      <c r="Z228" s="259"/>
      <c r="AA228" s="259"/>
      <c r="AB228" s="259"/>
      <c r="AC228" s="259"/>
      <c r="AD228" s="259"/>
    </row>
    <row r="229" spans="17:30" x14ac:dyDescent="0.25">
      <c r="Q229" s="259"/>
      <c r="R229" s="259"/>
      <c r="S229" s="259"/>
      <c r="T229" s="259"/>
      <c r="U229" s="259"/>
      <c r="V229" s="259"/>
      <c r="W229" s="259"/>
      <c r="X229" s="259"/>
      <c r="Y229" s="259"/>
      <c r="Z229" s="259"/>
      <c r="AA229" s="259"/>
      <c r="AB229" s="259"/>
      <c r="AC229" s="259"/>
      <c r="AD229" s="259"/>
    </row>
    <row r="230" spans="17:30" x14ac:dyDescent="0.25">
      <c r="Q230" s="259"/>
      <c r="R230" s="259"/>
      <c r="S230" s="259"/>
      <c r="T230" s="259"/>
      <c r="U230" s="259"/>
      <c r="V230" s="259"/>
      <c r="W230" s="259"/>
      <c r="X230" s="259"/>
      <c r="Y230" s="259"/>
      <c r="Z230" s="259"/>
      <c r="AA230" s="259"/>
      <c r="AB230" s="259"/>
      <c r="AC230" s="259"/>
      <c r="AD230" s="259"/>
    </row>
    <row r="231" spans="17:30" x14ac:dyDescent="0.25">
      <c r="Q231" s="259"/>
      <c r="R231" s="259"/>
      <c r="S231" s="259"/>
      <c r="T231" s="259"/>
      <c r="U231" s="259"/>
      <c r="V231" s="259"/>
      <c r="W231" s="259"/>
      <c r="X231" s="259"/>
      <c r="Y231" s="259"/>
      <c r="Z231" s="259"/>
      <c r="AA231" s="259"/>
      <c r="AB231" s="259"/>
      <c r="AC231" s="259"/>
      <c r="AD231" s="259"/>
    </row>
    <row r="232" spans="17:30" x14ac:dyDescent="0.25">
      <c r="Q232" s="259"/>
      <c r="R232" s="259"/>
      <c r="S232" s="259"/>
      <c r="T232" s="259"/>
      <c r="U232" s="259"/>
      <c r="V232" s="259"/>
      <c r="W232" s="259"/>
      <c r="X232" s="259"/>
      <c r="Y232" s="259"/>
      <c r="Z232" s="259"/>
      <c r="AA232" s="259"/>
      <c r="AB232" s="259"/>
      <c r="AC232" s="259"/>
      <c r="AD232" s="259"/>
    </row>
    <row r="233" spans="17:30" x14ac:dyDescent="0.25">
      <c r="Q233" s="259"/>
      <c r="R233" s="259"/>
      <c r="S233" s="259"/>
      <c r="T233" s="259"/>
      <c r="U233" s="259"/>
      <c r="V233" s="259"/>
      <c r="W233" s="259"/>
      <c r="X233" s="259"/>
      <c r="Y233" s="259"/>
      <c r="Z233" s="259"/>
      <c r="AA233" s="259"/>
      <c r="AB233" s="259"/>
      <c r="AC233" s="259"/>
      <c r="AD233" s="259"/>
    </row>
    <row r="234" spans="17:30" x14ac:dyDescent="0.25">
      <c r="Q234" s="259"/>
      <c r="R234" s="259"/>
      <c r="S234" s="259"/>
      <c r="T234" s="259"/>
      <c r="U234" s="259"/>
      <c r="V234" s="259"/>
      <c r="W234" s="259"/>
      <c r="X234" s="259"/>
      <c r="Y234" s="259"/>
      <c r="Z234" s="259"/>
      <c r="AA234" s="259"/>
      <c r="AB234" s="259"/>
      <c r="AC234" s="259"/>
      <c r="AD234" s="259"/>
    </row>
    <row r="235" spans="17:30" x14ac:dyDescent="0.25">
      <c r="Q235" s="259"/>
      <c r="R235" s="259"/>
      <c r="S235" s="259"/>
      <c r="T235" s="259"/>
      <c r="U235" s="259"/>
      <c r="V235" s="259"/>
      <c r="W235" s="259"/>
      <c r="X235" s="259"/>
      <c r="Y235" s="259"/>
      <c r="Z235" s="259"/>
      <c r="AA235" s="259"/>
      <c r="AB235" s="259"/>
      <c r="AC235" s="259"/>
      <c r="AD235" s="259"/>
    </row>
    <row r="236" spans="17:30" x14ac:dyDescent="0.25">
      <c r="Q236" s="259"/>
      <c r="R236" s="259"/>
      <c r="S236" s="259"/>
      <c r="T236" s="259"/>
      <c r="U236" s="259"/>
      <c r="V236" s="259"/>
      <c r="W236" s="259"/>
      <c r="X236" s="259"/>
      <c r="Y236" s="259"/>
      <c r="Z236" s="259"/>
      <c r="AA236" s="259"/>
      <c r="AB236" s="259"/>
      <c r="AC236" s="259"/>
      <c r="AD236" s="259"/>
    </row>
    <row r="237" spans="17:30" x14ac:dyDescent="0.25">
      <c r="Q237" s="259"/>
      <c r="R237" s="259"/>
      <c r="S237" s="259"/>
      <c r="T237" s="259"/>
      <c r="U237" s="259"/>
      <c r="V237" s="259"/>
      <c r="W237" s="259"/>
      <c r="X237" s="259"/>
      <c r="Y237" s="259"/>
      <c r="Z237" s="259"/>
      <c r="AA237" s="259"/>
      <c r="AB237" s="259"/>
      <c r="AC237" s="259"/>
      <c r="AD237" s="259"/>
    </row>
    <row r="238" spans="17:30" x14ac:dyDescent="0.25">
      <c r="Q238" s="259"/>
      <c r="R238" s="259"/>
      <c r="S238" s="259"/>
      <c r="T238" s="259"/>
      <c r="U238" s="259"/>
      <c r="V238" s="259"/>
      <c r="W238" s="259"/>
      <c r="X238" s="259"/>
      <c r="Y238" s="259"/>
      <c r="Z238" s="259"/>
      <c r="AA238" s="259"/>
      <c r="AB238" s="259"/>
      <c r="AC238" s="259"/>
      <c r="AD238" s="259"/>
    </row>
    <row r="239" spans="17:30" x14ac:dyDescent="0.25">
      <c r="Q239" s="259"/>
      <c r="R239" s="259"/>
      <c r="S239" s="259"/>
      <c r="T239" s="259"/>
      <c r="U239" s="259"/>
      <c r="V239" s="259"/>
      <c r="W239" s="259"/>
      <c r="X239" s="259"/>
      <c r="Y239" s="259"/>
      <c r="Z239" s="259"/>
      <c r="AA239" s="259"/>
      <c r="AB239" s="259"/>
      <c r="AC239" s="259"/>
      <c r="AD239" s="259"/>
    </row>
    <row r="240" spans="17:30" x14ac:dyDescent="0.25">
      <c r="Q240" s="259"/>
      <c r="R240" s="259"/>
      <c r="S240" s="259"/>
      <c r="T240" s="259"/>
      <c r="U240" s="259"/>
      <c r="V240" s="259"/>
      <c r="W240" s="259"/>
      <c r="X240" s="259"/>
      <c r="Y240" s="259"/>
      <c r="Z240" s="259"/>
      <c r="AA240" s="259"/>
      <c r="AB240" s="259"/>
      <c r="AC240" s="259"/>
      <c r="AD240" s="259"/>
    </row>
    <row r="241" spans="17:30" x14ac:dyDescent="0.25">
      <c r="Q241" s="259"/>
      <c r="R241" s="259"/>
      <c r="S241" s="259"/>
      <c r="T241" s="259"/>
      <c r="U241" s="259"/>
      <c r="V241" s="259"/>
      <c r="W241" s="259"/>
      <c r="X241" s="259"/>
      <c r="Y241" s="259"/>
      <c r="Z241" s="259"/>
      <c r="AA241" s="259"/>
      <c r="AB241" s="259"/>
      <c r="AC241" s="259"/>
      <c r="AD241" s="259"/>
    </row>
    <row r="242" spans="17:30" x14ac:dyDescent="0.25">
      <c r="Q242" s="259"/>
      <c r="R242" s="259"/>
      <c r="S242" s="259"/>
      <c r="T242" s="259"/>
      <c r="U242" s="259"/>
      <c r="V242" s="259"/>
      <c r="W242" s="259"/>
      <c r="X242" s="259"/>
      <c r="Y242" s="259"/>
      <c r="Z242" s="259"/>
      <c r="AA242" s="259"/>
      <c r="AB242" s="259"/>
      <c r="AC242" s="259"/>
      <c r="AD242" s="259"/>
    </row>
    <row r="243" spans="17:30" x14ac:dyDescent="0.25">
      <c r="Q243" s="259"/>
      <c r="R243" s="259"/>
      <c r="S243" s="259"/>
      <c r="T243" s="259"/>
      <c r="U243" s="259"/>
      <c r="V243" s="259"/>
      <c r="W243" s="259"/>
      <c r="X243" s="259"/>
      <c r="Y243" s="259"/>
      <c r="Z243" s="259"/>
      <c r="AA243" s="259"/>
      <c r="AB243" s="259"/>
      <c r="AC243" s="259"/>
      <c r="AD243" s="259"/>
    </row>
    <row r="244" spans="17:30" x14ac:dyDescent="0.25">
      <c r="Q244" s="259"/>
      <c r="R244" s="259"/>
      <c r="S244" s="259"/>
      <c r="T244" s="259"/>
      <c r="U244" s="259"/>
      <c r="V244" s="259"/>
      <c r="W244" s="259"/>
      <c r="X244" s="259"/>
      <c r="Y244" s="259"/>
      <c r="Z244" s="259"/>
      <c r="AA244" s="259"/>
      <c r="AB244" s="259"/>
      <c r="AC244" s="259"/>
      <c r="AD244" s="259"/>
    </row>
    <row r="245" spans="17:30" x14ac:dyDescent="0.25">
      <c r="Q245" s="259"/>
      <c r="R245" s="259"/>
      <c r="S245" s="259"/>
      <c r="T245" s="259"/>
      <c r="U245" s="259"/>
      <c r="V245" s="259"/>
      <c r="W245" s="259"/>
      <c r="X245" s="259"/>
      <c r="Y245" s="259"/>
      <c r="Z245" s="259"/>
      <c r="AA245" s="259"/>
      <c r="AB245" s="259"/>
      <c r="AC245" s="259"/>
      <c r="AD245" s="259"/>
    </row>
    <row r="246" spans="17:30" x14ac:dyDescent="0.25">
      <c r="Q246" s="259"/>
      <c r="R246" s="259"/>
      <c r="S246" s="259"/>
      <c r="T246" s="259"/>
      <c r="U246" s="259"/>
      <c r="V246" s="259"/>
      <c r="W246" s="259"/>
      <c r="X246" s="259"/>
      <c r="Y246" s="259"/>
      <c r="Z246" s="259"/>
      <c r="AA246" s="259"/>
      <c r="AB246" s="259"/>
      <c r="AC246" s="259"/>
      <c r="AD246" s="259"/>
    </row>
    <row r="247" spans="17:30" x14ac:dyDescent="0.25">
      <c r="Q247" s="259"/>
      <c r="R247" s="259"/>
      <c r="S247" s="259"/>
      <c r="T247" s="259"/>
      <c r="U247" s="259"/>
      <c r="V247" s="259"/>
      <c r="W247" s="259"/>
      <c r="X247" s="259"/>
      <c r="Y247" s="259"/>
      <c r="Z247" s="259"/>
      <c r="AA247" s="259"/>
      <c r="AB247" s="259"/>
      <c r="AC247" s="259"/>
      <c r="AD247" s="259"/>
    </row>
    <row r="248" spans="17:30" x14ac:dyDescent="0.25">
      <c r="Q248" s="259"/>
      <c r="R248" s="259"/>
      <c r="S248" s="259"/>
      <c r="T248" s="259"/>
      <c r="U248" s="259"/>
      <c r="V248" s="259"/>
      <c r="W248" s="259"/>
      <c r="X248" s="259"/>
      <c r="Y248" s="259"/>
      <c r="Z248" s="259"/>
      <c r="AA248" s="259"/>
      <c r="AB248" s="259"/>
      <c r="AC248" s="259"/>
      <c r="AD248" s="259"/>
    </row>
    <row r="249" spans="17:30" x14ac:dyDescent="0.25">
      <c r="Q249" s="259"/>
      <c r="R249" s="259"/>
      <c r="S249" s="259"/>
      <c r="T249" s="259"/>
      <c r="U249" s="259"/>
      <c r="V249" s="259"/>
      <c r="W249" s="259"/>
      <c r="X249" s="259"/>
      <c r="Y249" s="259"/>
      <c r="Z249" s="259"/>
      <c r="AA249" s="259"/>
      <c r="AB249" s="259"/>
      <c r="AC249" s="259"/>
      <c r="AD249" s="259"/>
    </row>
    <row r="250" spans="17:30" x14ac:dyDescent="0.25">
      <c r="Q250" s="259"/>
      <c r="R250" s="259"/>
      <c r="S250" s="259"/>
      <c r="T250" s="259"/>
      <c r="U250" s="259"/>
      <c r="V250" s="259"/>
      <c r="W250" s="259"/>
      <c r="X250" s="259"/>
      <c r="Y250" s="259"/>
      <c r="Z250" s="259"/>
      <c r="AA250" s="259"/>
      <c r="AB250" s="259"/>
      <c r="AC250" s="259"/>
      <c r="AD250" s="259"/>
    </row>
    <row r="251" spans="17:30" x14ac:dyDescent="0.25">
      <c r="Q251" s="259"/>
      <c r="R251" s="259"/>
      <c r="S251" s="259"/>
      <c r="T251" s="259"/>
      <c r="U251" s="259"/>
      <c r="V251" s="259"/>
      <c r="W251" s="259"/>
      <c r="X251" s="259"/>
      <c r="Y251" s="259"/>
      <c r="Z251" s="259"/>
      <c r="AA251" s="259"/>
      <c r="AB251" s="259"/>
      <c r="AC251" s="259"/>
      <c r="AD251" s="259"/>
    </row>
    <row r="252" spans="17:30" x14ac:dyDescent="0.25">
      <c r="Q252" s="259"/>
      <c r="R252" s="259"/>
      <c r="S252" s="259"/>
      <c r="T252" s="259"/>
      <c r="U252" s="259"/>
      <c r="V252" s="259"/>
      <c r="W252" s="259"/>
      <c r="X252" s="259"/>
      <c r="Y252" s="259"/>
      <c r="Z252" s="259"/>
      <c r="AA252" s="259"/>
      <c r="AB252" s="259"/>
      <c r="AC252" s="259"/>
      <c r="AD252" s="259"/>
    </row>
    <row r="253" spans="17:30" x14ac:dyDescent="0.25">
      <c r="Q253" s="259"/>
      <c r="R253" s="259"/>
      <c r="S253" s="259"/>
      <c r="T253" s="259"/>
      <c r="U253" s="259"/>
      <c r="V253" s="259"/>
      <c r="W253" s="259"/>
      <c r="X253" s="259"/>
      <c r="Y253" s="259"/>
      <c r="Z253" s="259"/>
      <c r="AA253" s="259"/>
      <c r="AB253" s="259"/>
      <c r="AC253" s="259"/>
      <c r="AD253" s="259"/>
    </row>
    <row r="254" spans="17:30" x14ac:dyDescent="0.25">
      <c r="Q254" s="259"/>
      <c r="R254" s="259"/>
      <c r="S254" s="259"/>
      <c r="T254" s="259"/>
      <c r="U254" s="259"/>
      <c r="V254" s="259"/>
      <c r="W254" s="259"/>
      <c r="X254" s="259"/>
      <c r="Y254" s="259"/>
      <c r="Z254" s="259"/>
      <c r="AA254" s="259"/>
      <c r="AB254" s="259"/>
      <c r="AC254" s="259"/>
      <c r="AD254" s="259"/>
    </row>
    <row r="255" spans="17:30" x14ac:dyDescent="0.25">
      <c r="Q255" s="259"/>
      <c r="R255" s="259"/>
      <c r="S255" s="259"/>
      <c r="T255" s="259"/>
      <c r="U255" s="259"/>
      <c r="V255" s="259"/>
      <c r="W255" s="259"/>
      <c r="X255" s="259"/>
      <c r="Y255" s="259"/>
      <c r="Z255" s="259"/>
      <c r="AA255" s="259"/>
      <c r="AB255" s="259"/>
      <c r="AC255" s="259"/>
      <c r="AD255" s="259"/>
    </row>
    <row r="256" spans="17:30" x14ac:dyDescent="0.25">
      <c r="Q256" s="259"/>
      <c r="R256" s="259"/>
      <c r="S256" s="259"/>
      <c r="T256" s="259"/>
      <c r="U256" s="259"/>
      <c r="V256" s="259"/>
      <c r="W256" s="259"/>
      <c r="X256" s="259"/>
      <c r="Y256" s="259"/>
      <c r="Z256" s="259"/>
      <c r="AA256" s="259"/>
      <c r="AB256" s="259"/>
      <c r="AC256" s="259"/>
      <c r="AD256" s="259"/>
    </row>
    <row r="257" spans="17:30" x14ac:dyDescent="0.25">
      <c r="Q257" s="259"/>
      <c r="R257" s="259"/>
      <c r="S257" s="259"/>
      <c r="T257" s="259"/>
      <c r="U257" s="259"/>
      <c r="V257" s="259"/>
      <c r="W257" s="259"/>
      <c r="X257" s="259"/>
      <c r="Y257" s="259"/>
      <c r="Z257" s="259"/>
      <c r="AA257" s="259"/>
      <c r="AB257" s="259"/>
      <c r="AC257" s="259"/>
      <c r="AD257" s="259"/>
    </row>
    <row r="258" spans="17:30" x14ac:dyDescent="0.25">
      <c r="Q258" s="259"/>
      <c r="R258" s="259"/>
      <c r="S258" s="259"/>
      <c r="T258" s="259"/>
      <c r="U258" s="259"/>
      <c r="V258" s="259"/>
      <c r="W258" s="259"/>
      <c r="X258" s="259"/>
      <c r="Y258" s="259"/>
      <c r="Z258" s="259"/>
      <c r="AA258" s="259"/>
      <c r="AB258" s="259"/>
      <c r="AC258" s="259"/>
      <c r="AD258" s="259"/>
    </row>
    <row r="259" spans="17:30" x14ac:dyDescent="0.25">
      <c r="Q259" s="259"/>
      <c r="R259" s="259"/>
      <c r="S259" s="259"/>
      <c r="T259" s="259"/>
      <c r="U259" s="259"/>
      <c r="V259" s="259"/>
      <c r="W259" s="259"/>
      <c r="X259" s="259"/>
      <c r="Y259" s="259"/>
      <c r="Z259" s="259"/>
      <c r="AA259" s="259"/>
      <c r="AB259" s="259"/>
      <c r="AC259" s="259"/>
      <c r="AD259" s="259"/>
    </row>
    <row r="260" spans="17:30" x14ac:dyDescent="0.25">
      <c r="Q260" s="259"/>
      <c r="R260" s="259"/>
      <c r="S260" s="259"/>
      <c r="T260" s="259"/>
      <c r="U260" s="259"/>
      <c r="V260" s="259"/>
      <c r="W260" s="259"/>
      <c r="X260" s="259"/>
      <c r="Y260" s="259"/>
      <c r="Z260" s="259"/>
      <c r="AA260" s="259"/>
      <c r="AB260" s="259"/>
      <c r="AC260" s="259"/>
      <c r="AD260" s="259"/>
    </row>
    <row r="261" spans="17:30" x14ac:dyDescent="0.25">
      <c r="Q261" s="259"/>
      <c r="R261" s="259"/>
      <c r="S261" s="259"/>
      <c r="T261" s="259"/>
      <c r="U261" s="259"/>
      <c r="V261" s="259"/>
      <c r="W261" s="259"/>
      <c r="X261" s="259"/>
      <c r="Y261" s="259"/>
      <c r="Z261" s="259"/>
      <c r="AA261" s="259"/>
      <c r="AB261" s="259"/>
      <c r="AC261" s="259"/>
      <c r="AD261" s="259"/>
    </row>
    <row r="262" spans="17:30" x14ac:dyDescent="0.25">
      <c r="Q262" s="259"/>
      <c r="R262" s="259"/>
      <c r="S262" s="259"/>
      <c r="T262" s="259"/>
      <c r="U262" s="259"/>
      <c r="V262" s="259"/>
      <c r="W262" s="259"/>
      <c r="X262" s="259"/>
      <c r="Y262" s="259"/>
      <c r="Z262" s="259"/>
      <c r="AA262" s="259"/>
      <c r="AB262" s="259"/>
      <c r="AC262" s="259"/>
      <c r="AD262" s="259"/>
    </row>
    <row r="263" spans="17:30" x14ac:dyDescent="0.25">
      <c r="Q263" s="259"/>
      <c r="R263" s="259"/>
      <c r="S263" s="259"/>
      <c r="T263" s="259"/>
      <c r="U263" s="259"/>
      <c r="V263" s="259"/>
      <c r="W263" s="259"/>
      <c r="X263" s="259"/>
      <c r="Y263" s="259"/>
      <c r="Z263" s="259"/>
      <c r="AA263" s="259"/>
      <c r="AB263" s="259"/>
      <c r="AC263" s="259"/>
      <c r="AD263" s="259"/>
    </row>
    <row r="264" spans="17:30" x14ac:dyDescent="0.25">
      <c r="Q264" s="259"/>
      <c r="R264" s="259"/>
      <c r="S264" s="259"/>
      <c r="T264" s="259"/>
      <c r="U264" s="259"/>
      <c r="V264" s="259"/>
      <c r="W264" s="259"/>
      <c r="X264" s="259"/>
      <c r="Y264" s="259"/>
      <c r="Z264" s="259"/>
      <c r="AA264" s="259"/>
      <c r="AB264" s="259"/>
      <c r="AC264" s="259"/>
      <c r="AD264" s="259"/>
    </row>
    <row r="265" spans="17:30" x14ac:dyDescent="0.25">
      <c r="Q265" s="259"/>
      <c r="R265" s="259"/>
      <c r="S265" s="259"/>
      <c r="T265" s="259"/>
      <c r="U265" s="259"/>
      <c r="V265" s="259"/>
      <c r="W265" s="259"/>
      <c r="X265" s="259"/>
      <c r="Y265" s="259"/>
      <c r="Z265" s="259"/>
      <c r="AA265" s="259"/>
      <c r="AB265" s="259"/>
      <c r="AC265" s="259"/>
      <c r="AD265" s="259"/>
    </row>
    <row r="266" spans="17:30" x14ac:dyDescent="0.25">
      <c r="Q266" s="259"/>
      <c r="R266" s="259"/>
      <c r="S266" s="259"/>
      <c r="T266" s="259"/>
      <c r="U266" s="259"/>
      <c r="V266" s="259"/>
      <c r="W266" s="259"/>
      <c r="X266" s="259"/>
      <c r="Y266" s="259"/>
      <c r="Z266" s="259"/>
      <c r="AA266" s="259"/>
      <c r="AB266" s="259"/>
      <c r="AC266" s="259"/>
      <c r="AD266" s="259"/>
    </row>
    <row r="267" spans="17:30" x14ac:dyDescent="0.25">
      <c r="Q267" s="259"/>
      <c r="R267" s="259"/>
      <c r="S267" s="259"/>
      <c r="T267" s="259"/>
      <c r="U267" s="259"/>
      <c r="V267" s="259"/>
      <c r="W267" s="259"/>
      <c r="X267" s="259"/>
      <c r="Y267" s="259"/>
      <c r="Z267" s="259"/>
      <c r="AA267" s="259"/>
      <c r="AB267" s="259"/>
      <c r="AC267" s="259"/>
      <c r="AD267" s="259"/>
    </row>
    <row r="268" spans="17:30" x14ac:dyDescent="0.25">
      <c r="Q268" s="259"/>
      <c r="R268" s="259"/>
      <c r="S268" s="259"/>
      <c r="T268" s="259"/>
      <c r="U268" s="259"/>
      <c r="V268" s="259"/>
      <c r="W268" s="259"/>
      <c r="X268" s="259"/>
      <c r="Y268" s="259"/>
      <c r="Z268" s="259"/>
      <c r="AA268" s="259"/>
      <c r="AB268" s="259"/>
      <c r="AC268" s="259"/>
      <c r="AD268" s="259"/>
    </row>
    <row r="269" spans="17:30" x14ac:dyDescent="0.25">
      <c r="Q269" s="259"/>
      <c r="R269" s="259"/>
      <c r="S269" s="259"/>
      <c r="T269" s="259"/>
      <c r="U269" s="259"/>
      <c r="V269" s="259"/>
      <c r="W269" s="259"/>
      <c r="X269" s="259"/>
      <c r="Y269" s="259"/>
      <c r="Z269" s="259"/>
      <c r="AA269" s="259"/>
      <c r="AB269" s="259"/>
      <c r="AC269" s="259"/>
      <c r="AD269" s="259"/>
    </row>
    <row r="270" spans="17:30" x14ac:dyDescent="0.25">
      <c r="Q270" s="259"/>
      <c r="R270" s="259"/>
      <c r="S270" s="259"/>
      <c r="T270" s="259"/>
      <c r="U270" s="259"/>
      <c r="V270" s="259"/>
      <c r="W270" s="259"/>
      <c r="X270" s="259"/>
      <c r="Y270" s="259"/>
      <c r="Z270" s="259"/>
      <c r="AA270" s="259"/>
      <c r="AB270" s="259"/>
      <c r="AC270" s="259"/>
      <c r="AD270" s="259"/>
    </row>
    <row r="271" spans="17:30" x14ac:dyDescent="0.25">
      <c r="Q271" s="259"/>
      <c r="R271" s="259"/>
      <c r="S271" s="259"/>
      <c r="T271" s="259"/>
      <c r="U271" s="259"/>
      <c r="V271" s="259"/>
      <c r="W271" s="259"/>
      <c r="X271" s="259"/>
      <c r="Y271" s="259"/>
      <c r="Z271" s="259"/>
      <c r="AA271" s="259"/>
      <c r="AB271" s="259"/>
      <c r="AC271" s="259"/>
      <c r="AD271" s="259"/>
    </row>
    <row r="272" spans="17:30" x14ac:dyDescent="0.25">
      <c r="Q272" s="259"/>
      <c r="R272" s="259"/>
      <c r="S272" s="259"/>
      <c r="T272" s="259"/>
      <c r="U272" s="259"/>
      <c r="V272" s="259"/>
      <c r="W272" s="259"/>
      <c r="X272" s="259"/>
      <c r="Y272" s="259"/>
      <c r="Z272" s="259"/>
      <c r="AA272" s="259"/>
      <c r="AB272" s="259"/>
      <c r="AC272" s="259"/>
      <c r="AD272" s="259"/>
    </row>
    <row r="273" spans="17:30" x14ac:dyDescent="0.25">
      <c r="Q273" s="259"/>
      <c r="R273" s="259"/>
      <c r="S273" s="259"/>
      <c r="T273" s="259"/>
      <c r="U273" s="259"/>
      <c r="V273" s="259"/>
      <c r="W273" s="259"/>
      <c r="X273" s="259"/>
      <c r="Y273" s="259"/>
      <c r="Z273" s="259"/>
      <c r="AA273" s="259"/>
      <c r="AB273" s="259"/>
      <c r="AC273" s="259"/>
      <c r="AD273" s="259"/>
    </row>
    <row r="274" spans="17:30" x14ac:dyDescent="0.25">
      <c r="Q274" s="259"/>
      <c r="R274" s="259"/>
      <c r="S274" s="259"/>
      <c r="T274" s="259"/>
      <c r="U274" s="259"/>
      <c r="V274" s="259"/>
      <c r="W274" s="259"/>
      <c r="X274" s="259"/>
      <c r="Y274" s="259"/>
      <c r="Z274" s="259"/>
      <c r="AA274" s="259"/>
      <c r="AB274" s="259"/>
      <c r="AC274" s="259"/>
      <c r="AD274" s="259"/>
    </row>
    <row r="275" spans="17:30" x14ac:dyDescent="0.25">
      <c r="Q275" s="259"/>
      <c r="R275" s="259"/>
      <c r="S275" s="259"/>
      <c r="T275" s="259"/>
      <c r="U275" s="259"/>
      <c r="V275" s="259"/>
      <c r="W275" s="259"/>
      <c r="X275" s="259"/>
      <c r="Y275" s="259"/>
      <c r="Z275" s="259"/>
      <c r="AA275" s="259"/>
      <c r="AB275" s="259"/>
      <c r="AC275" s="259"/>
      <c r="AD275" s="259"/>
    </row>
    <row r="276" spans="17:30" x14ac:dyDescent="0.25">
      <c r="Q276" s="259"/>
      <c r="R276" s="259"/>
      <c r="S276" s="259"/>
      <c r="T276" s="259"/>
      <c r="U276" s="259"/>
      <c r="V276" s="259"/>
      <c r="W276" s="259"/>
      <c r="X276" s="259"/>
      <c r="Y276" s="259"/>
      <c r="Z276" s="259"/>
      <c r="AA276" s="259"/>
      <c r="AB276" s="259"/>
      <c r="AC276" s="259"/>
      <c r="AD276" s="259"/>
    </row>
    <row r="277" spans="17:30" x14ac:dyDescent="0.25">
      <c r="Q277" s="259"/>
      <c r="R277" s="259"/>
      <c r="S277" s="259"/>
      <c r="T277" s="259"/>
      <c r="U277" s="259"/>
      <c r="V277" s="259"/>
      <c r="W277" s="259"/>
      <c r="X277" s="259"/>
      <c r="Y277" s="259"/>
      <c r="Z277" s="259"/>
      <c r="AA277" s="259"/>
      <c r="AB277" s="259"/>
      <c r="AC277" s="259"/>
      <c r="AD277" s="259"/>
    </row>
    <row r="278" spans="17:30" x14ac:dyDescent="0.25">
      <c r="Q278" s="259"/>
      <c r="R278" s="259"/>
      <c r="S278" s="259"/>
      <c r="T278" s="259"/>
      <c r="U278" s="259"/>
      <c r="V278" s="259"/>
      <c r="W278" s="259"/>
      <c r="X278" s="259"/>
      <c r="Y278" s="259"/>
      <c r="Z278" s="259"/>
      <c r="AA278" s="259"/>
      <c r="AB278" s="259"/>
      <c r="AC278" s="259"/>
      <c r="AD278" s="259"/>
    </row>
    <row r="279" spans="17:30" x14ac:dyDescent="0.25">
      <c r="Q279" s="259"/>
      <c r="R279" s="259"/>
      <c r="S279" s="259"/>
      <c r="T279" s="259"/>
      <c r="U279" s="259"/>
      <c r="V279" s="259"/>
      <c r="W279" s="259"/>
      <c r="X279" s="259"/>
      <c r="Y279" s="259"/>
      <c r="Z279" s="259"/>
      <c r="AA279" s="259"/>
      <c r="AB279" s="259"/>
      <c r="AC279" s="259"/>
      <c r="AD279" s="259"/>
    </row>
    <row r="280" spans="17:30" x14ac:dyDescent="0.25">
      <c r="Q280" s="259"/>
      <c r="R280" s="259"/>
      <c r="S280" s="259"/>
      <c r="T280" s="259"/>
      <c r="U280" s="259"/>
      <c r="V280" s="259"/>
      <c r="W280" s="259"/>
      <c r="X280" s="259"/>
      <c r="Y280" s="259"/>
      <c r="Z280" s="259"/>
      <c r="AA280" s="259"/>
      <c r="AB280" s="259"/>
      <c r="AC280" s="259"/>
      <c r="AD280" s="259"/>
    </row>
    <row r="281" spans="17:30" x14ac:dyDescent="0.25">
      <c r="Q281" s="259"/>
      <c r="R281" s="259"/>
      <c r="S281" s="259"/>
      <c r="T281" s="259"/>
      <c r="U281" s="259"/>
      <c r="V281" s="259"/>
      <c r="W281" s="259"/>
      <c r="X281" s="259"/>
      <c r="Y281" s="259"/>
      <c r="Z281" s="259"/>
      <c r="AA281" s="259"/>
      <c r="AB281" s="259"/>
      <c r="AC281" s="259"/>
      <c r="AD281" s="259"/>
    </row>
    <row r="282" spans="17:30" x14ac:dyDescent="0.25">
      <c r="Q282" s="259"/>
      <c r="R282" s="259"/>
      <c r="S282" s="259"/>
      <c r="T282" s="259"/>
      <c r="U282" s="259"/>
      <c r="V282" s="259"/>
      <c r="W282" s="259"/>
      <c r="X282" s="259"/>
      <c r="Y282" s="259"/>
      <c r="Z282" s="259"/>
      <c r="AA282" s="259"/>
      <c r="AB282" s="259"/>
      <c r="AC282" s="259"/>
      <c r="AD282" s="259"/>
    </row>
    <row r="283" spans="17:30" x14ac:dyDescent="0.25">
      <c r="Q283" s="259"/>
      <c r="R283" s="259"/>
      <c r="S283" s="259"/>
      <c r="T283" s="259"/>
      <c r="U283" s="259"/>
      <c r="V283" s="259"/>
      <c r="W283" s="259"/>
      <c r="X283" s="259"/>
      <c r="Y283" s="259"/>
      <c r="Z283" s="259"/>
      <c r="AA283" s="259"/>
      <c r="AB283" s="259"/>
      <c r="AC283" s="259"/>
      <c r="AD283" s="259"/>
    </row>
    <row r="284" spans="17:30" x14ac:dyDescent="0.25">
      <c r="Q284" s="259"/>
      <c r="R284" s="259"/>
      <c r="S284" s="259"/>
      <c r="T284" s="259"/>
      <c r="U284" s="259"/>
      <c r="V284" s="259"/>
      <c r="W284" s="259"/>
      <c r="X284" s="259"/>
      <c r="Y284" s="259"/>
      <c r="Z284" s="259"/>
      <c r="AA284" s="259"/>
      <c r="AB284" s="259"/>
      <c r="AC284" s="259"/>
      <c r="AD284" s="259"/>
    </row>
    <row r="285" spans="17:30" x14ac:dyDescent="0.25">
      <c r="Q285" s="259"/>
      <c r="R285" s="259"/>
      <c r="S285" s="259"/>
      <c r="T285" s="259"/>
      <c r="U285" s="259"/>
      <c r="V285" s="259"/>
      <c r="W285" s="259"/>
      <c r="X285" s="259"/>
      <c r="Y285" s="259"/>
      <c r="Z285" s="259"/>
      <c r="AA285" s="259"/>
      <c r="AB285" s="259"/>
      <c r="AC285" s="259"/>
      <c r="AD285" s="259"/>
    </row>
    <row r="286" spans="17:30" x14ac:dyDescent="0.25">
      <c r="Q286" s="259"/>
      <c r="R286" s="259"/>
      <c r="S286" s="259"/>
      <c r="T286" s="259"/>
      <c r="U286" s="259"/>
      <c r="V286" s="259"/>
      <c r="W286" s="259"/>
      <c r="X286" s="259"/>
      <c r="Y286" s="259"/>
      <c r="Z286" s="259"/>
      <c r="AA286" s="259"/>
      <c r="AB286" s="259"/>
      <c r="AC286" s="259"/>
      <c r="AD286" s="259"/>
    </row>
    <row r="287" spans="17:30" x14ac:dyDescent="0.25">
      <c r="Q287" s="259"/>
      <c r="R287" s="259"/>
      <c r="S287" s="259"/>
      <c r="T287" s="259"/>
      <c r="U287" s="259"/>
      <c r="V287" s="259"/>
      <c r="W287" s="259"/>
      <c r="X287" s="259"/>
      <c r="Y287" s="259"/>
      <c r="Z287" s="259"/>
      <c r="AA287" s="259"/>
      <c r="AB287" s="259"/>
      <c r="AC287" s="259"/>
      <c r="AD287" s="259"/>
    </row>
    <row r="288" spans="17:30" x14ac:dyDescent="0.25">
      <c r="Q288" s="259"/>
      <c r="R288" s="259"/>
      <c r="S288" s="259"/>
      <c r="T288" s="259"/>
      <c r="U288" s="259"/>
      <c r="V288" s="259"/>
      <c r="W288" s="259"/>
      <c r="X288" s="259"/>
      <c r="Y288" s="259"/>
      <c r="Z288" s="259"/>
      <c r="AA288" s="259"/>
      <c r="AB288" s="259"/>
      <c r="AC288" s="259"/>
      <c r="AD288" s="259"/>
    </row>
    <row r="289" spans="17:30" x14ac:dyDescent="0.25">
      <c r="Q289" s="259"/>
      <c r="R289" s="259"/>
      <c r="S289" s="259"/>
      <c r="T289" s="259"/>
      <c r="U289" s="259"/>
      <c r="V289" s="259"/>
      <c r="W289" s="259"/>
      <c r="X289" s="259"/>
      <c r="Y289" s="259"/>
      <c r="Z289" s="259"/>
      <c r="AA289" s="259"/>
      <c r="AB289" s="259"/>
      <c r="AC289" s="259"/>
      <c r="AD289" s="259"/>
    </row>
    <row r="290" spans="17:30" x14ac:dyDescent="0.25">
      <c r="Q290" s="259"/>
      <c r="R290" s="259"/>
      <c r="S290" s="259"/>
      <c r="T290" s="259"/>
      <c r="U290" s="259"/>
      <c r="V290" s="259"/>
      <c r="W290" s="259"/>
      <c r="X290" s="259"/>
      <c r="Y290" s="259"/>
      <c r="Z290" s="259"/>
      <c r="AA290" s="259"/>
      <c r="AB290" s="259"/>
      <c r="AC290" s="259"/>
      <c r="AD290" s="259"/>
    </row>
    <row r="291" spans="17:30" x14ac:dyDescent="0.25">
      <c r="Q291" s="259"/>
      <c r="R291" s="259"/>
      <c r="S291" s="259"/>
      <c r="T291" s="259"/>
      <c r="U291" s="259"/>
      <c r="V291" s="259"/>
      <c r="W291" s="259"/>
      <c r="X291" s="259"/>
      <c r="Y291" s="259"/>
      <c r="Z291" s="259"/>
      <c r="AA291" s="259"/>
      <c r="AB291" s="259"/>
      <c r="AC291" s="259"/>
      <c r="AD291" s="259"/>
    </row>
    <row r="292" spans="17:30" x14ac:dyDescent="0.25">
      <c r="Q292" s="259"/>
      <c r="R292" s="259"/>
      <c r="S292" s="259"/>
      <c r="T292" s="259"/>
      <c r="U292" s="259"/>
      <c r="V292" s="259"/>
      <c r="W292" s="259"/>
      <c r="X292" s="259"/>
      <c r="Y292" s="259"/>
      <c r="Z292" s="259"/>
      <c r="AA292" s="259"/>
      <c r="AB292" s="259"/>
      <c r="AC292" s="259"/>
      <c r="AD292" s="259"/>
    </row>
    <row r="293" spans="17:30" x14ac:dyDescent="0.25">
      <c r="Q293" s="259"/>
      <c r="R293" s="259"/>
      <c r="S293" s="259"/>
      <c r="T293" s="259"/>
      <c r="U293" s="259"/>
      <c r="V293" s="259"/>
      <c r="W293" s="259"/>
      <c r="X293" s="259"/>
      <c r="Y293" s="259"/>
      <c r="Z293" s="259"/>
      <c r="AA293" s="259"/>
      <c r="AB293" s="259"/>
      <c r="AC293" s="259"/>
      <c r="AD293" s="259"/>
    </row>
    <row r="294" spans="17:30" x14ac:dyDescent="0.25">
      <c r="Q294" s="259"/>
      <c r="R294" s="259"/>
      <c r="S294" s="259"/>
      <c r="T294" s="259"/>
      <c r="U294" s="259"/>
      <c r="V294" s="259"/>
      <c r="W294" s="259"/>
      <c r="X294" s="259"/>
      <c r="Y294" s="259"/>
      <c r="Z294" s="259"/>
      <c r="AA294" s="259"/>
      <c r="AB294" s="259"/>
      <c r="AC294" s="259"/>
      <c r="AD294" s="259"/>
    </row>
    <row r="295" spans="17:30" x14ac:dyDescent="0.25">
      <c r="Q295" s="259"/>
      <c r="R295" s="259"/>
      <c r="S295" s="259"/>
      <c r="T295" s="259"/>
      <c r="U295" s="259"/>
      <c r="V295" s="259"/>
      <c r="W295" s="259"/>
      <c r="X295" s="259"/>
      <c r="Y295" s="259"/>
      <c r="Z295" s="259"/>
      <c r="AA295" s="259"/>
      <c r="AB295" s="259"/>
      <c r="AC295" s="259"/>
      <c r="AD295" s="259"/>
    </row>
    <row r="296" spans="17:30" x14ac:dyDescent="0.25">
      <c r="Q296" s="259"/>
      <c r="R296" s="259"/>
      <c r="S296" s="259"/>
      <c r="T296" s="259"/>
      <c r="U296" s="259"/>
      <c r="V296" s="259"/>
      <c r="W296" s="259"/>
      <c r="X296" s="259"/>
      <c r="Y296" s="259"/>
      <c r="Z296" s="259"/>
      <c r="AA296" s="259"/>
      <c r="AB296" s="259"/>
      <c r="AC296" s="259"/>
      <c r="AD296" s="259"/>
    </row>
    <row r="297" spans="17:30" x14ac:dyDescent="0.25">
      <c r="Q297" s="259"/>
      <c r="R297" s="259"/>
      <c r="S297" s="259"/>
      <c r="T297" s="259"/>
      <c r="U297" s="259"/>
      <c r="V297" s="259"/>
      <c r="W297" s="259"/>
      <c r="X297" s="259"/>
      <c r="Y297" s="259"/>
      <c r="Z297" s="259"/>
      <c r="AA297" s="259"/>
      <c r="AB297" s="259"/>
      <c r="AC297" s="259"/>
      <c r="AD297" s="259"/>
    </row>
    <row r="298" spans="17:30" x14ac:dyDescent="0.25">
      <c r="Q298" s="259"/>
      <c r="R298" s="259"/>
      <c r="S298" s="259"/>
      <c r="T298" s="259"/>
      <c r="U298" s="259"/>
      <c r="V298" s="259"/>
      <c r="W298" s="259"/>
      <c r="X298" s="259"/>
      <c r="Y298" s="259"/>
      <c r="Z298" s="259"/>
      <c r="AA298" s="259"/>
      <c r="AB298" s="259"/>
      <c r="AC298" s="259"/>
      <c r="AD298" s="259"/>
    </row>
    <row r="299" spans="17:30" x14ac:dyDescent="0.25">
      <c r="Q299" s="259"/>
      <c r="R299" s="259"/>
      <c r="S299" s="259"/>
      <c r="T299" s="259"/>
      <c r="U299" s="259"/>
      <c r="V299" s="259"/>
      <c r="W299" s="259"/>
      <c r="X299" s="259"/>
      <c r="Y299" s="259"/>
      <c r="Z299" s="259"/>
      <c r="AA299" s="259"/>
      <c r="AB299" s="259"/>
      <c r="AC299" s="259"/>
      <c r="AD299" s="259"/>
    </row>
    <row r="300" spans="17:30" x14ac:dyDescent="0.25">
      <c r="Q300" s="259"/>
      <c r="R300" s="259"/>
      <c r="S300" s="259"/>
      <c r="T300" s="259"/>
      <c r="U300" s="259"/>
      <c r="V300" s="259"/>
      <c r="W300" s="259"/>
      <c r="X300" s="259"/>
      <c r="Y300" s="259"/>
      <c r="Z300" s="259"/>
      <c r="AA300" s="259"/>
      <c r="AB300" s="259"/>
      <c r="AC300" s="259"/>
      <c r="AD300" s="259"/>
    </row>
    <row r="301" spans="17:30" x14ac:dyDescent="0.25">
      <c r="Q301" s="259"/>
      <c r="R301" s="259"/>
      <c r="S301" s="259"/>
      <c r="T301" s="259"/>
      <c r="U301" s="259"/>
      <c r="V301" s="259"/>
      <c r="W301" s="259"/>
      <c r="X301" s="259"/>
      <c r="Y301" s="259"/>
      <c r="Z301" s="259"/>
      <c r="AA301" s="259"/>
      <c r="AB301" s="259"/>
      <c r="AC301" s="259"/>
      <c r="AD301" s="259"/>
    </row>
    <row r="302" spans="17:30" x14ac:dyDescent="0.25">
      <c r="Q302" s="259"/>
      <c r="R302" s="259"/>
      <c r="S302" s="259"/>
      <c r="T302" s="259"/>
      <c r="U302" s="259"/>
      <c r="V302" s="259"/>
      <c r="W302" s="259"/>
      <c r="X302" s="259"/>
      <c r="Y302" s="259"/>
      <c r="Z302" s="259"/>
      <c r="AA302" s="259"/>
      <c r="AB302" s="259"/>
      <c r="AC302" s="259"/>
      <c r="AD302" s="259"/>
    </row>
    <row r="303" spans="17:30" x14ac:dyDescent="0.25">
      <c r="Q303" s="259"/>
      <c r="R303" s="259"/>
      <c r="S303" s="259"/>
      <c r="T303" s="259"/>
      <c r="U303" s="259"/>
      <c r="V303" s="259"/>
      <c r="W303" s="259"/>
      <c r="X303" s="259"/>
      <c r="Y303" s="259"/>
      <c r="Z303" s="259"/>
      <c r="AA303" s="259"/>
      <c r="AB303" s="259"/>
      <c r="AC303" s="259"/>
      <c r="AD303" s="259"/>
    </row>
  </sheetData>
  <mergeCells count="105">
    <mergeCell ref="B48:B49"/>
    <mergeCell ref="A40:A41"/>
    <mergeCell ref="B40:B41"/>
    <mergeCell ref="A44:A45"/>
    <mergeCell ref="Q40:AD41"/>
    <mergeCell ref="A42:A43"/>
    <mergeCell ref="B42:B43"/>
    <mergeCell ref="Q42:AD43"/>
    <mergeCell ref="A36:A37"/>
    <mergeCell ref="B36:B37"/>
    <mergeCell ref="C36:P36"/>
    <mergeCell ref="Q36:AD36"/>
    <mergeCell ref="Q37:AD37"/>
    <mergeCell ref="A38:A39"/>
    <mergeCell ref="B38:B39"/>
    <mergeCell ref="Q38:AD39"/>
    <mergeCell ref="A34:A35"/>
    <mergeCell ref="B34:B35"/>
    <mergeCell ref="W34:Z35"/>
    <mergeCell ref="AA34:AD35"/>
    <mergeCell ref="Q34:S35"/>
    <mergeCell ref="T34:V35"/>
    <mergeCell ref="D32:P32"/>
    <mergeCell ref="Q32:AD32"/>
    <mergeCell ref="W33:Z33"/>
    <mergeCell ref="AA33:AD33"/>
    <mergeCell ref="Q33:S33"/>
    <mergeCell ref="T33:V33"/>
    <mergeCell ref="A27:AD27"/>
    <mergeCell ref="A23:B23"/>
    <mergeCell ref="A25:B25"/>
    <mergeCell ref="AA15:AD15"/>
    <mergeCell ref="A28:A29"/>
    <mergeCell ref="B28:C29"/>
    <mergeCell ref="D28:O28"/>
    <mergeCell ref="P28:P29"/>
    <mergeCell ref="Q28:AD29"/>
    <mergeCell ref="A22:B22"/>
    <mergeCell ref="AC17:AD17"/>
    <mergeCell ref="C16:AB16"/>
    <mergeCell ref="A17:B17"/>
    <mergeCell ref="C17:Q17"/>
    <mergeCell ref="B30:C30"/>
    <mergeCell ref="Q30:AD30"/>
    <mergeCell ref="A31:AD31"/>
    <mergeCell ref="A32:A33"/>
    <mergeCell ref="B32:B33"/>
    <mergeCell ref="C32:C33"/>
    <mergeCell ref="O8:P8"/>
    <mergeCell ref="M7:N7"/>
    <mergeCell ref="A7:B9"/>
    <mergeCell ref="C7:C9"/>
    <mergeCell ref="R15:X15"/>
    <mergeCell ref="Y15:Z15"/>
    <mergeCell ref="W17:X17"/>
    <mergeCell ref="Y17:AB17"/>
    <mergeCell ref="A15:B15"/>
    <mergeCell ref="M9:N9"/>
    <mergeCell ref="O9:P9"/>
    <mergeCell ref="R17:V17"/>
    <mergeCell ref="C11:AD13"/>
    <mergeCell ref="L15:Q15"/>
    <mergeCell ref="A24:B24"/>
    <mergeCell ref="A19:AD19"/>
    <mergeCell ref="Q20:AD20"/>
    <mergeCell ref="C20:P20"/>
    <mergeCell ref="A1:A4"/>
    <mergeCell ref="B1:AA1"/>
    <mergeCell ref="AB1:AD1"/>
    <mergeCell ref="B2:AA2"/>
    <mergeCell ref="AB2:AD2"/>
    <mergeCell ref="C15:K15"/>
    <mergeCell ref="B3:AA4"/>
    <mergeCell ref="AB3:AD3"/>
    <mergeCell ref="AB4:AD4"/>
    <mergeCell ref="A11:B13"/>
    <mergeCell ref="D7:H9"/>
    <mergeCell ref="I7:J9"/>
    <mergeCell ref="K7:L9"/>
    <mergeCell ref="O7:P7"/>
    <mergeCell ref="M8:N8"/>
    <mergeCell ref="A67:A68"/>
    <mergeCell ref="B67:B68"/>
    <mergeCell ref="A69:A70"/>
    <mergeCell ref="B69:B70"/>
    <mergeCell ref="Q44:AD45"/>
    <mergeCell ref="Q46:AD47"/>
    <mergeCell ref="Q48:AD49"/>
    <mergeCell ref="A61:A62"/>
    <mergeCell ref="B61:B62"/>
    <mergeCell ref="A63:A64"/>
    <mergeCell ref="B63:B64"/>
    <mergeCell ref="A65:A66"/>
    <mergeCell ref="B65:B66"/>
    <mergeCell ref="A55:A56"/>
    <mergeCell ref="B55:B56"/>
    <mergeCell ref="C55:P55"/>
    <mergeCell ref="A57:A58"/>
    <mergeCell ref="B57:B58"/>
    <mergeCell ref="A59:A60"/>
    <mergeCell ref="B59:B60"/>
    <mergeCell ref="B44:B45"/>
    <mergeCell ref="A46:A47"/>
    <mergeCell ref="B46:B47"/>
    <mergeCell ref="A48:A49"/>
  </mergeCells>
  <dataValidations count="4">
    <dataValidation type="textLength" operator="lessThanOrEqual" allowBlank="1" showInputMessage="1" showErrorMessage="1" errorTitle="Máximo 2.000 caracteres" error="Máximo 2.000 caracteres" sqref="W34 Q46:AD49 AA34 Q34 Q38:AD43"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 type="textLength" operator="lessThanOrEqual" allowBlank="1" showInputMessage="1" showErrorMessage="1" errorTitle="Máximo 2.000 caracteres" error="Máximo 2.000 caracteres" sqref="Q44:AD45 T34:V35" xr:uid="{00000000-0002-0000-0000-000003000000}">
      <formula1>20000</formula1>
    </dataValidation>
  </dataValidations>
  <pageMargins left="0.25" right="0.25" top="1" bottom="1" header="0.3" footer="0.3"/>
  <pageSetup paperSize="9" scale="24"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K58"/>
  <sheetViews>
    <sheetView zoomScale="60" zoomScaleNormal="60" workbookViewId="0">
      <selection sqref="A1:BK58"/>
    </sheetView>
  </sheetViews>
  <sheetFormatPr baseColWidth="10" defaultColWidth="19.42578125" defaultRowHeight="15" x14ac:dyDescent="0.25"/>
  <cols>
    <col min="1" max="1" width="29.42578125" style="108" bestFit="1" customWidth="1"/>
    <col min="2" max="17" width="11" style="108" customWidth="1"/>
    <col min="18" max="19" width="12.140625" style="108" customWidth="1"/>
    <col min="20" max="23" width="8.140625" style="108" customWidth="1"/>
    <col min="24" max="24" width="9.42578125" style="108" customWidth="1"/>
    <col min="25" max="25" width="8.140625" style="108" customWidth="1"/>
    <col min="26" max="30" width="7.7109375" style="108" customWidth="1"/>
    <col min="31" max="31" width="11.28515625" style="108" customWidth="1"/>
    <col min="32" max="32" width="2.28515625" style="108" customWidth="1"/>
    <col min="33" max="33" width="19.42578125" style="108" customWidth="1"/>
    <col min="34" max="51" width="11.28515625" style="108" customWidth="1"/>
    <col min="52" max="63" width="8.7109375" style="108" customWidth="1"/>
    <col min="64" max="16384" width="19.42578125" style="108"/>
  </cols>
  <sheetData>
    <row r="1" spans="1:63" ht="15.75" customHeight="1" x14ac:dyDescent="0.25">
      <c r="A1" s="871" t="s">
        <v>0</v>
      </c>
      <c r="B1" s="871"/>
      <c r="C1" s="871"/>
      <c r="D1" s="871"/>
      <c r="E1" s="871"/>
      <c r="F1" s="871"/>
      <c r="G1" s="871"/>
      <c r="H1" s="871"/>
      <c r="I1" s="871"/>
      <c r="J1" s="871"/>
      <c r="K1" s="871"/>
      <c r="L1" s="871"/>
      <c r="M1" s="871"/>
      <c r="N1" s="871"/>
      <c r="O1" s="871"/>
      <c r="P1" s="871"/>
      <c r="Q1" s="871"/>
      <c r="R1" s="871"/>
      <c r="S1" s="871"/>
      <c r="T1" s="871"/>
      <c r="U1" s="871"/>
      <c r="V1" s="871"/>
      <c r="W1" s="871"/>
      <c r="X1" s="871"/>
      <c r="Y1" s="871"/>
      <c r="Z1" s="871"/>
      <c r="AA1" s="871"/>
      <c r="AB1" s="871"/>
      <c r="AC1" s="871"/>
      <c r="AD1" s="871"/>
      <c r="AE1" s="871"/>
      <c r="AF1" s="871"/>
      <c r="AG1" s="871"/>
      <c r="AH1" s="871"/>
      <c r="AI1" s="871"/>
      <c r="AJ1" s="871"/>
      <c r="AK1" s="871"/>
      <c r="AL1" s="871"/>
      <c r="AM1" s="871"/>
      <c r="AN1" s="871"/>
      <c r="AO1" s="871"/>
      <c r="AP1" s="871"/>
      <c r="AQ1" s="871"/>
      <c r="AR1" s="871"/>
      <c r="AS1" s="871"/>
      <c r="AT1" s="871"/>
      <c r="AU1" s="871"/>
      <c r="AV1" s="871"/>
      <c r="AW1" s="871"/>
      <c r="AX1" s="871"/>
      <c r="AY1" s="871"/>
      <c r="AZ1" s="871"/>
      <c r="BA1" s="871"/>
      <c r="BB1" s="871"/>
      <c r="BC1" s="871"/>
      <c r="BD1" s="871"/>
      <c r="BE1" s="871"/>
      <c r="BF1" s="871"/>
      <c r="BG1" s="871"/>
      <c r="BH1" s="871"/>
      <c r="BI1" s="872" t="s">
        <v>90</v>
      </c>
      <c r="BJ1" s="872"/>
      <c r="BK1" s="872"/>
    </row>
    <row r="2" spans="1:63" ht="15.75" customHeight="1" x14ac:dyDescent="0.25">
      <c r="A2" s="871" t="s">
        <v>2</v>
      </c>
      <c r="B2" s="871"/>
      <c r="C2" s="871"/>
      <c r="D2" s="871"/>
      <c r="E2" s="871"/>
      <c r="F2" s="871"/>
      <c r="G2" s="871"/>
      <c r="H2" s="871"/>
      <c r="I2" s="871"/>
      <c r="J2" s="871"/>
      <c r="K2" s="871"/>
      <c r="L2" s="871"/>
      <c r="M2" s="871"/>
      <c r="N2" s="871"/>
      <c r="O2" s="871"/>
      <c r="P2" s="871"/>
      <c r="Q2" s="871"/>
      <c r="R2" s="871"/>
      <c r="S2" s="871"/>
      <c r="T2" s="871"/>
      <c r="U2" s="871"/>
      <c r="V2" s="871"/>
      <c r="W2" s="871"/>
      <c r="X2" s="871"/>
      <c r="Y2" s="871"/>
      <c r="Z2" s="871"/>
      <c r="AA2" s="871"/>
      <c r="AB2" s="871"/>
      <c r="AC2" s="871"/>
      <c r="AD2" s="871"/>
      <c r="AE2" s="871"/>
      <c r="AF2" s="871"/>
      <c r="AG2" s="871"/>
      <c r="AH2" s="871"/>
      <c r="AI2" s="871"/>
      <c r="AJ2" s="871"/>
      <c r="AK2" s="871"/>
      <c r="AL2" s="871"/>
      <c r="AM2" s="871"/>
      <c r="AN2" s="871"/>
      <c r="AO2" s="871"/>
      <c r="AP2" s="871"/>
      <c r="AQ2" s="871"/>
      <c r="AR2" s="871"/>
      <c r="AS2" s="871"/>
      <c r="AT2" s="871"/>
      <c r="AU2" s="871"/>
      <c r="AV2" s="871"/>
      <c r="AW2" s="871"/>
      <c r="AX2" s="871"/>
      <c r="AY2" s="871"/>
      <c r="AZ2" s="871"/>
      <c r="BA2" s="871"/>
      <c r="BB2" s="871"/>
      <c r="BC2" s="871"/>
      <c r="BD2" s="871"/>
      <c r="BE2" s="871"/>
      <c r="BF2" s="871"/>
      <c r="BG2" s="871"/>
      <c r="BH2" s="871"/>
      <c r="BI2" s="872" t="s">
        <v>3</v>
      </c>
      <c r="BJ2" s="872"/>
      <c r="BK2" s="872"/>
    </row>
    <row r="3" spans="1:63" ht="26.1" customHeight="1" x14ac:dyDescent="0.25">
      <c r="A3" s="871" t="s">
        <v>245</v>
      </c>
      <c r="B3" s="871"/>
      <c r="C3" s="871"/>
      <c r="D3" s="871"/>
      <c r="E3" s="871"/>
      <c r="F3" s="871"/>
      <c r="G3" s="871"/>
      <c r="H3" s="871"/>
      <c r="I3" s="871"/>
      <c r="J3" s="871"/>
      <c r="K3" s="871"/>
      <c r="L3" s="871"/>
      <c r="M3" s="871"/>
      <c r="N3" s="871"/>
      <c r="O3" s="871"/>
      <c r="P3" s="871"/>
      <c r="Q3" s="871"/>
      <c r="R3" s="871"/>
      <c r="S3" s="871"/>
      <c r="T3" s="871"/>
      <c r="U3" s="871"/>
      <c r="V3" s="871"/>
      <c r="W3" s="871"/>
      <c r="X3" s="871"/>
      <c r="Y3" s="871"/>
      <c r="Z3" s="871"/>
      <c r="AA3" s="871"/>
      <c r="AB3" s="871"/>
      <c r="AC3" s="871"/>
      <c r="AD3" s="871"/>
      <c r="AE3" s="871"/>
      <c r="AF3" s="871"/>
      <c r="AG3" s="871"/>
      <c r="AH3" s="871"/>
      <c r="AI3" s="871"/>
      <c r="AJ3" s="871"/>
      <c r="AK3" s="871"/>
      <c r="AL3" s="871"/>
      <c r="AM3" s="871"/>
      <c r="AN3" s="871"/>
      <c r="AO3" s="871"/>
      <c r="AP3" s="871"/>
      <c r="AQ3" s="871"/>
      <c r="AR3" s="871"/>
      <c r="AS3" s="871"/>
      <c r="AT3" s="871"/>
      <c r="AU3" s="871"/>
      <c r="AV3" s="871"/>
      <c r="AW3" s="871"/>
      <c r="AX3" s="871"/>
      <c r="AY3" s="871"/>
      <c r="AZ3" s="871"/>
      <c r="BA3" s="871"/>
      <c r="BB3" s="871"/>
      <c r="BC3" s="871"/>
      <c r="BD3" s="871"/>
      <c r="BE3" s="871"/>
      <c r="BF3" s="871"/>
      <c r="BG3" s="871"/>
      <c r="BH3" s="871"/>
      <c r="BI3" s="872" t="s">
        <v>5</v>
      </c>
      <c r="BJ3" s="872"/>
      <c r="BK3" s="872"/>
    </row>
    <row r="4" spans="1:63" ht="15.75" customHeight="1" x14ac:dyDescent="0.25">
      <c r="A4" s="871" t="s">
        <v>246</v>
      </c>
      <c r="B4" s="871"/>
      <c r="C4" s="871"/>
      <c r="D4" s="871"/>
      <c r="E4" s="871"/>
      <c r="F4" s="871"/>
      <c r="G4" s="871"/>
      <c r="H4" s="871"/>
      <c r="I4" s="871"/>
      <c r="J4" s="871"/>
      <c r="K4" s="871"/>
      <c r="L4" s="871"/>
      <c r="M4" s="871"/>
      <c r="N4" s="871"/>
      <c r="O4" s="871"/>
      <c r="P4" s="871"/>
      <c r="Q4" s="871"/>
      <c r="R4" s="871"/>
      <c r="S4" s="871"/>
      <c r="T4" s="871"/>
      <c r="U4" s="871"/>
      <c r="V4" s="871"/>
      <c r="W4" s="871"/>
      <c r="X4" s="871"/>
      <c r="Y4" s="871"/>
      <c r="Z4" s="871"/>
      <c r="AA4" s="871"/>
      <c r="AB4" s="871"/>
      <c r="AC4" s="871"/>
      <c r="AD4" s="871"/>
      <c r="AE4" s="871"/>
      <c r="AF4" s="871"/>
      <c r="AG4" s="871"/>
      <c r="AH4" s="871"/>
      <c r="AI4" s="871"/>
      <c r="AJ4" s="871"/>
      <c r="AK4" s="871"/>
      <c r="AL4" s="871"/>
      <c r="AM4" s="871"/>
      <c r="AN4" s="871"/>
      <c r="AO4" s="871"/>
      <c r="AP4" s="871"/>
      <c r="AQ4" s="871"/>
      <c r="AR4" s="871"/>
      <c r="AS4" s="871"/>
      <c r="AT4" s="871"/>
      <c r="AU4" s="871"/>
      <c r="AV4" s="871"/>
      <c r="AW4" s="871"/>
      <c r="AX4" s="871"/>
      <c r="AY4" s="871"/>
      <c r="AZ4" s="871"/>
      <c r="BA4" s="871"/>
      <c r="BB4" s="871"/>
      <c r="BC4" s="871"/>
      <c r="BD4" s="871"/>
      <c r="BE4" s="871"/>
      <c r="BF4" s="871"/>
      <c r="BG4" s="871"/>
      <c r="BH4" s="871"/>
      <c r="BI4" s="868" t="s">
        <v>247</v>
      </c>
      <c r="BJ4" s="869"/>
      <c r="BK4" s="870"/>
    </row>
    <row r="5" spans="1:63" ht="26.1" customHeight="1" x14ac:dyDescent="0.25">
      <c r="A5" s="865" t="s">
        <v>248</v>
      </c>
      <c r="B5" s="865"/>
      <c r="C5" s="865"/>
      <c r="D5" s="865"/>
      <c r="E5" s="865"/>
      <c r="F5" s="865"/>
      <c r="G5" s="865"/>
      <c r="H5" s="865"/>
      <c r="I5" s="865"/>
      <c r="J5" s="865"/>
      <c r="K5" s="865"/>
      <c r="L5" s="865"/>
      <c r="M5" s="865"/>
      <c r="N5" s="865"/>
      <c r="O5" s="865"/>
      <c r="P5" s="865"/>
      <c r="Q5" s="865"/>
      <c r="R5" s="865"/>
      <c r="S5" s="865"/>
      <c r="T5" s="865"/>
      <c r="U5" s="865"/>
      <c r="V5" s="865"/>
      <c r="W5" s="865"/>
      <c r="X5" s="865"/>
      <c r="Y5" s="865"/>
      <c r="Z5" s="865"/>
      <c r="AA5" s="865"/>
      <c r="AB5" s="865"/>
      <c r="AC5" s="865"/>
      <c r="AD5" s="865"/>
      <c r="AE5" s="865"/>
      <c r="AF5" s="277"/>
      <c r="AG5" s="865" t="s">
        <v>249</v>
      </c>
      <c r="AH5" s="865"/>
      <c r="AI5" s="865"/>
      <c r="AJ5" s="865"/>
      <c r="AK5" s="865"/>
      <c r="AL5" s="865"/>
      <c r="AM5" s="865"/>
      <c r="AN5" s="865"/>
      <c r="AO5" s="865"/>
      <c r="AP5" s="865"/>
      <c r="AQ5" s="865"/>
      <c r="AR5" s="865"/>
      <c r="AS5" s="865"/>
      <c r="AT5" s="865"/>
      <c r="AU5" s="865"/>
      <c r="AV5" s="865"/>
      <c r="AW5" s="865"/>
      <c r="AX5" s="865"/>
      <c r="AY5" s="865"/>
      <c r="AZ5" s="865"/>
      <c r="BA5" s="865"/>
      <c r="BB5" s="865"/>
      <c r="BC5" s="865"/>
      <c r="BD5" s="865"/>
      <c r="BE5" s="865"/>
      <c r="BF5" s="865"/>
      <c r="BG5" s="865"/>
      <c r="BH5" s="865"/>
      <c r="BI5" s="866"/>
      <c r="BJ5" s="866"/>
      <c r="BK5" s="866"/>
    </row>
    <row r="6" spans="1:63" ht="31.5" customHeight="1" x14ac:dyDescent="0.25">
      <c r="A6" s="278" t="s">
        <v>250</v>
      </c>
      <c r="B6" s="867"/>
      <c r="C6" s="867"/>
      <c r="D6" s="867"/>
      <c r="E6" s="867"/>
      <c r="F6" s="867"/>
      <c r="G6" s="867"/>
      <c r="H6" s="867"/>
      <c r="I6" s="867"/>
      <c r="J6" s="867"/>
      <c r="K6" s="867"/>
      <c r="L6" s="867"/>
      <c r="M6" s="867"/>
      <c r="N6" s="867"/>
      <c r="O6" s="867"/>
      <c r="P6" s="867"/>
      <c r="Q6" s="867"/>
      <c r="R6" s="867"/>
      <c r="S6" s="867"/>
      <c r="T6" s="867"/>
      <c r="U6" s="867"/>
      <c r="V6" s="867"/>
      <c r="W6" s="867"/>
      <c r="X6" s="867"/>
      <c r="Y6" s="867"/>
      <c r="Z6" s="867"/>
      <c r="AA6" s="867"/>
      <c r="AB6" s="867"/>
      <c r="AC6" s="867"/>
      <c r="AD6" s="867"/>
      <c r="AE6" s="867"/>
      <c r="AF6" s="867"/>
      <c r="AG6" s="867"/>
      <c r="AH6" s="867"/>
      <c r="AI6" s="867"/>
      <c r="AJ6" s="867"/>
      <c r="AK6" s="867"/>
      <c r="AL6" s="867"/>
      <c r="AM6" s="867"/>
      <c r="AN6" s="867"/>
      <c r="AO6" s="867"/>
      <c r="AP6" s="867"/>
      <c r="AQ6" s="867"/>
      <c r="AR6" s="867"/>
      <c r="AS6" s="867"/>
      <c r="AT6" s="867"/>
      <c r="AU6" s="867"/>
      <c r="AV6" s="867"/>
      <c r="AW6" s="867"/>
      <c r="AX6" s="867"/>
      <c r="AY6" s="867"/>
      <c r="AZ6" s="867"/>
      <c r="BA6" s="867"/>
      <c r="BB6" s="867"/>
      <c r="BC6" s="867"/>
      <c r="BD6" s="867"/>
      <c r="BE6" s="867"/>
      <c r="BF6" s="867"/>
      <c r="BG6" s="867"/>
      <c r="BH6" s="867"/>
      <c r="BI6" s="867"/>
      <c r="BJ6" s="867"/>
      <c r="BK6" s="867"/>
    </row>
    <row r="7" spans="1:63" ht="31.5" customHeight="1" x14ac:dyDescent="0.25">
      <c r="A7" s="279" t="s">
        <v>251</v>
      </c>
      <c r="B7" s="860"/>
      <c r="C7" s="862"/>
      <c r="D7" s="862"/>
      <c r="E7" s="862"/>
      <c r="F7" s="862"/>
      <c r="G7" s="862"/>
      <c r="H7" s="862"/>
      <c r="I7" s="862"/>
      <c r="J7" s="862"/>
      <c r="K7" s="862"/>
      <c r="L7" s="862"/>
      <c r="M7" s="862"/>
      <c r="N7" s="862"/>
      <c r="O7" s="862"/>
      <c r="P7" s="862"/>
      <c r="Q7" s="862"/>
      <c r="R7" s="862"/>
      <c r="S7" s="862"/>
      <c r="T7" s="862"/>
      <c r="U7" s="862"/>
      <c r="V7" s="862"/>
      <c r="W7" s="862"/>
      <c r="X7" s="862"/>
      <c r="Y7" s="862"/>
      <c r="Z7" s="862"/>
      <c r="AA7" s="862"/>
      <c r="AB7" s="862"/>
      <c r="AC7" s="862"/>
      <c r="AD7" s="862"/>
      <c r="AE7" s="862"/>
      <c r="AF7" s="862"/>
      <c r="AG7" s="862"/>
      <c r="AH7" s="862"/>
      <c r="AI7" s="862"/>
      <c r="AJ7" s="862"/>
      <c r="AK7" s="862"/>
      <c r="AL7" s="862"/>
      <c r="AM7" s="862"/>
      <c r="AN7" s="862"/>
      <c r="AO7" s="862"/>
      <c r="AP7" s="862"/>
      <c r="AQ7" s="862"/>
      <c r="AR7" s="862"/>
      <c r="AS7" s="862"/>
      <c r="AT7" s="862"/>
      <c r="AU7" s="862"/>
      <c r="AV7" s="862"/>
      <c r="AW7" s="862"/>
      <c r="AX7" s="862"/>
      <c r="AY7" s="862"/>
      <c r="AZ7" s="862"/>
      <c r="BA7" s="862"/>
      <c r="BB7" s="862"/>
      <c r="BC7" s="862"/>
      <c r="BD7" s="862"/>
      <c r="BE7" s="862"/>
      <c r="BF7" s="862"/>
      <c r="BG7" s="862"/>
      <c r="BH7" s="862"/>
      <c r="BI7" s="862"/>
      <c r="BJ7" s="862"/>
      <c r="BK7" s="861"/>
    </row>
    <row r="8" spans="1:63" ht="18.75" customHeight="1" x14ac:dyDescent="0.25">
      <c r="A8" s="280"/>
      <c r="B8" s="280"/>
      <c r="C8" s="280"/>
      <c r="D8" s="280"/>
      <c r="E8" s="280"/>
      <c r="F8" s="280"/>
      <c r="G8" s="280"/>
      <c r="H8" s="280"/>
      <c r="I8" s="280"/>
      <c r="J8" s="280"/>
      <c r="K8" s="281"/>
      <c r="L8" s="281"/>
      <c r="M8" s="281"/>
      <c r="N8" s="281"/>
      <c r="O8" s="281"/>
      <c r="P8" s="281"/>
      <c r="Q8" s="281"/>
      <c r="R8" s="281"/>
      <c r="S8" s="281"/>
      <c r="T8" s="281"/>
      <c r="U8" s="281"/>
      <c r="V8" s="281"/>
      <c r="W8" s="281"/>
      <c r="X8" s="281"/>
      <c r="Y8" s="281"/>
      <c r="Z8" s="281"/>
      <c r="AA8" s="281"/>
      <c r="AB8" s="281"/>
      <c r="AC8" s="281"/>
      <c r="AD8" s="281"/>
      <c r="AE8" s="281"/>
      <c r="AF8" s="277"/>
      <c r="AG8" s="280"/>
      <c r="AH8" s="281"/>
      <c r="AI8" s="281"/>
      <c r="AJ8" s="281"/>
      <c r="AK8" s="281"/>
      <c r="AL8" s="281"/>
      <c r="AM8" s="281"/>
      <c r="AN8" s="281"/>
      <c r="AO8" s="281"/>
      <c r="AP8" s="277"/>
      <c r="AQ8" s="277"/>
      <c r="AR8" s="277"/>
      <c r="AS8" s="277"/>
      <c r="AT8" s="277"/>
      <c r="AU8" s="277"/>
      <c r="AV8" s="277"/>
      <c r="AW8" s="277"/>
      <c r="AX8" s="277"/>
      <c r="AY8" s="277"/>
      <c r="AZ8" s="277"/>
      <c r="BA8" s="277"/>
      <c r="BB8" s="277"/>
      <c r="BC8" s="277"/>
      <c r="BD8" s="277"/>
      <c r="BE8" s="277"/>
      <c r="BF8" s="277"/>
      <c r="BG8" s="277"/>
      <c r="BH8" s="277"/>
      <c r="BI8" s="277"/>
      <c r="BJ8" s="277"/>
      <c r="BK8" s="277"/>
    </row>
    <row r="9" spans="1:63" ht="30" customHeight="1" x14ac:dyDescent="0.25">
      <c r="A9" s="863" t="s">
        <v>252</v>
      </c>
      <c r="B9" s="282" t="s">
        <v>29</v>
      </c>
      <c r="C9" s="282" t="s">
        <v>30</v>
      </c>
      <c r="D9" s="860" t="s">
        <v>31</v>
      </c>
      <c r="E9" s="861"/>
      <c r="F9" s="282" t="s">
        <v>8</v>
      </c>
      <c r="G9" s="282" t="s">
        <v>32</v>
      </c>
      <c r="H9" s="860" t="s">
        <v>33</v>
      </c>
      <c r="I9" s="861"/>
      <c r="J9" s="282" t="s">
        <v>34</v>
      </c>
      <c r="K9" s="282" t="s">
        <v>35</v>
      </c>
      <c r="L9" s="860" t="s">
        <v>36</v>
      </c>
      <c r="M9" s="861"/>
      <c r="N9" s="282" t="s">
        <v>37</v>
      </c>
      <c r="O9" s="282" t="s">
        <v>38</v>
      </c>
      <c r="P9" s="860" t="s">
        <v>39</v>
      </c>
      <c r="Q9" s="861"/>
      <c r="R9" s="860" t="s">
        <v>253</v>
      </c>
      <c r="S9" s="861"/>
      <c r="T9" s="860" t="s">
        <v>254</v>
      </c>
      <c r="U9" s="862"/>
      <c r="V9" s="862"/>
      <c r="W9" s="862"/>
      <c r="X9" s="862"/>
      <c r="Y9" s="861"/>
      <c r="Z9" s="860" t="s">
        <v>255</v>
      </c>
      <c r="AA9" s="862"/>
      <c r="AB9" s="862"/>
      <c r="AC9" s="862"/>
      <c r="AD9" s="862"/>
      <c r="AE9" s="861"/>
      <c r="AF9" s="277"/>
      <c r="AG9" s="863" t="s">
        <v>252</v>
      </c>
      <c r="AH9" s="282" t="s">
        <v>29</v>
      </c>
      <c r="AI9" s="282" t="s">
        <v>30</v>
      </c>
      <c r="AJ9" s="860" t="s">
        <v>31</v>
      </c>
      <c r="AK9" s="861"/>
      <c r="AL9" s="282" t="s">
        <v>8</v>
      </c>
      <c r="AM9" s="282" t="s">
        <v>32</v>
      </c>
      <c r="AN9" s="860" t="s">
        <v>33</v>
      </c>
      <c r="AO9" s="861"/>
      <c r="AP9" s="282" t="s">
        <v>34</v>
      </c>
      <c r="AQ9" s="282" t="s">
        <v>35</v>
      </c>
      <c r="AR9" s="860" t="s">
        <v>36</v>
      </c>
      <c r="AS9" s="861"/>
      <c r="AT9" s="282" t="s">
        <v>37</v>
      </c>
      <c r="AU9" s="282" t="s">
        <v>38</v>
      </c>
      <c r="AV9" s="860" t="s">
        <v>39</v>
      </c>
      <c r="AW9" s="861"/>
      <c r="AX9" s="860" t="s">
        <v>253</v>
      </c>
      <c r="AY9" s="861"/>
      <c r="AZ9" s="860" t="s">
        <v>254</v>
      </c>
      <c r="BA9" s="862"/>
      <c r="BB9" s="862"/>
      <c r="BC9" s="862"/>
      <c r="BD9" s="862"/>
      <c r="BE9" s="861"/>
      <c r="BF9" s="860" t="s">
        <v>255</v>
      </c>
      <c r="BG9" s="862"/>
      <c r="BH9" s="862"/>
      <c r="BI9" s="862"/>
      <c r="BJ9" s="862"/>
      <c r="BK9" s="861"/>
    </row>
    <row r="10" spans="1:63" ht="36" customHeight="1" x14ac:dyDescent="0.25">
      <c r="A10" s="864"/>
      <c r="B10" s="283" t="s">
        <v>256</v>
      </c>
      <c r="C10" s="283" t="s">
        <v>256</v>
      </c>
      <c r="D10" s="283" t="s">
        <v>256</v>
      </c>
      <c r="E10" s="283" t="s">
        <v>257</v>
      </c>
      <c r="F10" s="283" t="s">
        <v>256</v>
      </c>
      <c r="G10" s="283" t="s">
        <v>256</v>
      </c>
      <c r="H10" s="283" t="s">
        <v>256</v>
      </c>
      <c r="I10" s="283" t="s">
        <v>257</v>
      </c>
      <c r="J10" s="283" t="s">
        <v>256</v>
      </c>
      <c r="K10" s="283" t="s">
        <v>256</v>
      </c>
      <c r="L10" s="283" t="s">
        <v>256</v>
      </c>
      <c r="M10" s="283" t="s">
        <v>257</v>
      </c>
      <c r="N10" s="283" t="s">
        <v>256</v>
      </c>
      <c r="O10" s="283" t="s">
        <v>256</v>
      </c>
      <c r="P10" s="283" t="s">
        <v>256</v>
      </c>
      <c r="Q10" s="283" t="s">
        <v>257</v>
      </c>
      <c r="R10" s="283" t="s">
        <v>256</v>
      </c>
      <c r="S10" s="283" t="s">
        <v>257</v>
      </c>
      <c r="T10" s="284" t="s">
        <v>258</v>
      </c>
      <c r="U10" s="284" t="s">
        <v>259</v>
      </c>
      <c r="V10" s="284" t="s">
        <v>260</v>
      </c>
      <c r="W10" s="284" t="s">
        <v>261</v>
      </c>
      <c r="X10" s="285" t="s">
        <v>262</v>
      </c>
      <c r="Y10" s="284" t="s">
        <v>263</v>
      </c>
      <c r="Z10" s="283" t="s">
        <v>264</v>
      </c>
      <c r="AA10" s="286" t="s">
        <v>265</v>
      </c>
      <c r="AB10" s="283" t="s">
        <v>266</v>
      </c>
      <c r="AC10" s="283" t="s">
        <v>267</v>
      </c>
      <c r="AD10" s="283" t="s">
        <v>268</v>
      </c>
      <c r="AE10" s="283" t="s">
        <v>269</v>
      </c>
      <c r="AF10" s="277"/>
      <c r="AG10" s="864"/>
      <c r="AH10" s="283" t="s">
        <v>256</v>
      </c>
      <c r="AI10" s="283" t="s">
        <v>256</v>
      </c>
      <c r="AJ10" s="283" t="s">
        <v>256</v>
      </c>
      <c r="AK10" s="283" t="s">
        <v>257</v>
      </c>
      <c r="AL10" s="283" t="s">
        <v>256</v>
      </c>
      <c r="AM10" s="283" t="s">
        <v>256</v>
      </c>
      <c r="AN10" s="283" t="s">
        <v>256</v>
      </c>
      <c r="AO10" s="283" t="s">
        <v>257</v>
      </c>
      <c r="AP10" s="283" t="s">
        <v>256</v>
      </c>
      <c r="AQ10" s="283" t="s">
        <v>256</v>
      </c>
      <c r="AR10" s="283" t="s">
        <v>256</v>
      </c>
      <c r="AS10" s="283" t="s">
        <v>257</v>
      </c>
      <c r="AT10" s="283" t="s">
        <v>256</v>
      </c>
      <c r="AU10" s="283" t="s">
        <v>256</v>
      </c>
      <c r="AV10" s="283" t="s">
        <v>256</v>
      </c>
      <c r="AW10" s="283" t="s">
        <v>257</v>
      </c>
      <c r="AX10" s="283" t="s">
        <v>256</v>
      </c>
      <c r="AY10" s="283" t="s">
        <v>257</v>
      </c>
      <c r="AZ10" s="284" t="s">
        <v>258</v>
      </c>
      <c r="BA10" s="284" t="s">
        <v>259</v>
      </c>
      <c r="BB10" s="284" t="s">
        <v>260</v>
      </c>
      <c r="BC10" s="284" t="s">
        <v>261</v>
      </c>
      <c r="BD10" s="285" t="s">
        <v>262</v>
      </c>
      <c r="BE10" s="284" t="s">
        <v>263</v>
      </c>
      <c r="BF10" s="283" t="s">
        <v>264</v>
      </c>
      <c r="BG10" s="286" t="s">
        <v>265</v>
      </c>
      <c r="BH10" s="283" t="s">
        <v>266</v>
      </c>
      <c r="BI10" s="283" t="s">
        <v>267</v>
      </c>
      <c r="BJ10" s="283" t="s">
        <v>268</v>
      </c>
      <c r="BK10" s="283" t="s">
        <v>269</v>
      </c>
    </row>
    <row r="11" spans="1:63" ht="18.75" x14ac:dyDescent="0.25">
      <c r="A11" s="287" t="s">
        <v>270</v>
      </c>
      <c r="B11" s="287"/>
      <c r="C11" s="287"/>
      <c r="D11" s="287"/>
      <c r="E11" s="288"/>
      <c r="F11" s="287"/>
      <c r="G11" s="287"/>
      <c r="H11" s="287"/>
      <c r="I11" s="288"/>
      <c r="J11" s="287"/>
      <c r="K11" s="287"/>
      <c r="L11" s="287"/>
      <c r="M11" s="288"/>
      <c r="N11" s="287"/>
      <c r="O11" s="287"/>
      <c r="P11" s="287"/>
      <c r="Q11" s="288"/>
      <c r="R11" s="289">
        <f t="shared" ref="R11:R31" si="0">B11+C11+D11+F11+G11+H11+J11+K11+L11+N11+O11+P11</f>
        <v>0</v>
      </c>
      <c r="S11" s="290">
        <f>+E11+I11+M11+Q11</f>
        <v>0</v>
      </c>
      <c r="T11" s="291"/>
      <c r="U11" s="291"/>
      <c r="V11" s="291"/>
      <c r="W11" s="291"/>
      <c r="X11" s="291"/>
      <c r="Y11" s="292"/>
      <c r="Z11" s="292"/>
      <c r="AA11" s="292"/>
      <c r="AB11" s="292"/>
      <c r="AC11" s="292"/>
      <c r="AD11" s="292"/>
      <c r="AE11" s="293"/>
      <c r="AF11" s="277"/>
      <c r="AG11" s="287" t="s">
        <v>270</v>
      </c>
      <c r="AH11" s="287"/>
      <c r="AI11" s="287"/>
      <c r="AJ11" s="287"/>
      <c r="AK11" s="288"/>
      <c r="AL11" s="287"/>
      <c r="AM11" s="287"/>
      <c r="AN11" s="287"/>
      <c r="AO11" s="288"/>
      <c r="AP11" s="287"/>
      <c r="AQ11" s="287"/>
      <c r="AR11" s="287"/>
      <c r="AS11" s="288"/>
      <c r="AT11" s="287"/>
      <c r="AU11" s="287"/>
      <c r="AV11" s="287"/>
      <c r="AW11" s="288"/>
      <c r="AX11" s="289">
        <f t="shared" ref="AX11:AX31" si="1">AH11+AI11+AJ11+AL11+AM11+AN11+AP11+AQ11+AR11+AT11+AU11+AV11</f>
        <v>0</v>
      </c>
      <c r="AY11" s="290">
        <f>+AK11+AO11+AS11+AW11</f>
        <v>0</v>
      </c>
      <c r="AZ11" s="292"/>
      <c r="BA11" s="292"/>
      <c r="BB11" s="292"/>
      <c r="BC11" s="292"/>
      <c r="BD11" s="292"/>
      <c r="BE11" s="292"/>
      <c r="BF11" s="292"/>
      <c r="BG11" s="292"/>
      <c r="BH11" s="292"/>
      <c r="BI11" s="292"/>
      <c r="BJ11" s="292"/>
      <c r="BK11" s="293"/>
    </row>
    <row r="12" spans="1:63" ht="18.75" x14ac:dyDescent="0.25">
      <c r="A12" s="287" t="s">
        <v>271</v>
      </c>
      <c r="B12" s="287"/>
      <c r="C12" s="287"/>
      <c r="D12" s="287"/>
      <c r="E12" s="288"/>
      <c r="F12" s="287"/>
      <c r="G12" s="287"/>
      <c r="H12" s="287"/>
      <c r="I12" s="288"/>
      <c r="J12" s="287"/>
      <c r="K12" s="287"/>
      <c r="L12" s="287"/>
      <c r="M12" s="288"/>
      <c r="N12" s="287"/>
      <c r="O12" s="287"/>
      <c r="P12" s="287"/>
      <c r="Q12" s="288"/>
      <c r="R12" s="289">
        <f t="shared" si="0"/>
        <v>0</v>
      </c>
      <c r="S12" s="290">
        <f t="shared" ref="S12:S31" si="2">+E12+I12+M12+Q12</f>
        <v>0</v>
      </c>
      <c r="T12" s="291"/>
      <c r="U12" s="291"/>
      <c r="V12" s="291"/>
      <c r="W12" s="291"/>
      <c r="X12" s="291"/>
      <c r="Y12" s="292"/>
      <c r="Z12" s="292"/>
      <c r="AA12" s="292"/>
      <c r="AB12" s="292"/>
      <c r="AC12" s="292"/>
      <c r="AD12" s="292"/>
      <c r="AE12" s="292"/>
      <c r="AF12" s="277"/>
      <c r="AG12" s="287" t="s">
        <v>271</v>
      </c>
      <c r="AH12" s="287"/>
      <c r="AI12" s="287"/>
      <c r="AJ12" s="287"/>
      <c r="AK12" s="288"/>
      <c r="AL12" s="287"/>
      <c r="AM12" s="287"/>
      <c r="AN12" s="287"/>
      <c r="AO12" s="288"/>
      <c r="AP12" s="287"/>
      <c r="AQ12" s="287"/>
      <c r="AR12" s="287"/>
      <c r="AS12" s="288"/>
      <c r="AT12" s="287"/>
      <c r="AU12" s="287"/>
      <c r="AV12" s="287"/>
      <c r="AW12" s="288"/>
      <c r="AX12" s="289">
        <f t="shared" si="1"/>
        <v>0</v>
      </c>
      <c r="AY12" s="290">
        <f t="shared" ref="AY12:AY31" si="3">+AK12+AO12+AS12+AW12</f>
        <v>0</v>
      </c>
      <c r="AZ12" s="292"/>
      <c r="BA12" s="292"/>
      <c r="BB12" s="292"/>
      <c r="BC12" s="292"/>
      <c r="BD12" s="292"/>
      <c r="BE12" s="292"/>
      <c r="BF12" s="292"/>
      <c r="BG12" s="292"/>
      <c r="BH12" s="292"/>
      <c r="BI12" s="292"/>
      <c r="BJ12" s="292"/>
      <c r="BK12" s="292"/>
    </row>
    <row r="13" spans="1:63" ht="18.75" x14ac:dyDescent="0.25">
      <c r="A13" s="287" t="s">
        <v>272</v>
      </c>
      <c r="B13" s="287"/>
      <c r="C13" s="287"/>
      <c r="D13" s="287"/>
      <c r="E13" s="288"/>
      <c r="F13" s="287"/>
      <c r="G13" s="287"/>
      <c r="H13" s="287"/>
      <c r="I13" s="288"/>
      <c r="J13" s="287"/>
      <c r="K13" s="287"/>
      <c r="L13" s="287"/>
      <c r="M13" s="288"/>
      <c r="N13" s="287"/>
      <c r="O13" s="287"/>
      <c r="P13" s="287"/>
      <c r="Q13" s="288"/>
      <c r="R13" s="289">
        <f t="shared" si="0"/>
        <v>0</v>
      </c>
      <c r="S13" s="290">
        <f t="shared" si="2"/>
        <v>0</v>
      </c>
      <c r="T13" s="291"/>
      <c r="U13" s="291"/>
      <c r="V13" s="291"/>
      <c r="W13" s="291"/>
      <c r="X13" s="291"/>
      <c r="Y13" s="292"/>
      <c r="Z13" s="292"/>
      <c r="AA13" s="292"/>
      <c r="AB13" s="292"/>
      <c r="AC13" s="292"/>
      <c r="AD13" s="292"/>
      <c r="AE13" s="292"/>
      <c r="AF13" s="277"/>
      <c r="AG13" s="287" t="s">
        <v>272</v>
      </c>
      <c r="AH13" s="287"/>
      <c r="AI13" s="287"/>
      <c r="AJ13" s="287"/>
      <c r="AK13" s="288"/>
      <c r="AL13" s="287"/>
      <c r="AM13" s="287"/>
      <c r="AN13" s="287"/>
      <c r="AO13" s="288"/>
      <c r="AP13" s="287"/>
      <c r="AQ13" s="287"/>
      <c r="AR13" s="287"/>
      <c r="AS13" s="288"/>
      <c r="AT13" s="287"/>
      <c r="AU13" s="287"/>
      <c r="AV13" s="287"/>
      <c r="AW13" s="288"/>
      <c r="AX13" s="289">
        <f t="shared" si="1"/>
        <v>0</v>
      </c>
      <c r="AY13" s="290">
        <f t="shared" si="3"/>
        <v>0</v>
      </c>
      <c r="AZ13" s="292"/>
      <c r="BA13" s="292"/>
      <c r="BB13" s="292"/>
      <c r="BC13" s="292"/>
      <c r="BD13" s="292"/>
      <c r="BE13" s="292"/>
      <c r="BF13" s="292"/>
      <c r="BG13" s="292"/>
      <c r="BH13" s="292"/>
      <c r="BI13" s="292"/>
      <c r="BJ13" s="292"/>
      <c r="BK13" s="292"/>
    </row>
    <row r="14" spans="1:63" ht="18.75" x14ac:dyDescent="0.25">
      <c r="A14" s="287" t="s">
        <v>273</v>
      </c>
      <c r="B14" s="287"/>
      <c r="C14" s="287"/>
      <c r="D14" s="287"/>
      <c r="E14" s="288"/>
      <c r="F14" s="287"/>
      <c r="G14" s="287"/>
      <c r="H14" s="287"/>
      <c r="I14" s="288"/>
      <c r="J14" s="287"/>
      <c r="K14" s="287"/>
      <c r="L14" s="287"/>
      <c r="M14" s="288"/>
      <c r="N14" s="287"/>
      <c r="O14" s="287"/>
      <c r="P14" s="287"/>
      <c r="Q14" s="288"/>
      <c r="R14" s="289">
        <f t="shared" si="0"/>
        <v>0</v>
      </c>
      <c r="S14" s="290">
        <f t="shared" si="2"/>
        <v>0</v>
      </c>
      <c r="T14" s="291"/>
      <c r="U14" s="291"/>
      <c r="V14" s="291"/>
      <c r="W14" s="291"/>
      <c r="X14" s="291"/>
      <c r="Y14" s="292"/>
      <c r="Z14" s="292"/>
      <c r="AA14" s="292"/>
      <c r="AB14" s="292"/>
      <c r="AC14" s="292"/>
      <c r="AD14" s="292"/>
      <c r="AE14" s="292"/>
      <c r="AF14" s="277"/>
      <c r="AG14" s="287" t="s">
        <v>273</v>
      </c>
      <c r="AH14" s="287"/>
      <c r="AI14" s="287"/>
      <c r="AJ14" s="287"/>
      <c r="AK14" s="288"/>
      <c r="AL14" s="287"/>
      <c r="AM14" s="287"/>
      <c r="AN14" s="287"/>
      <c r="AO14" s="288"/>
      <c r="AP14" s="287"/>
      <c r="AQ14" s="287"/>
      <c r="AR14" s="287"/>
      <c r="AS14" s="288"/>
      <c r="AT14" s="287"/>
      <c r="AU14" s="287"/>
      <c r="AV14" s="287"/>
      <c r="AW14" s="288"/>
      <c r="AX14" s="289">
        <f t="shared" si="1"/>
        <v>0</v>
      </c>
      <c r="AY14" s="290">
        <f t="shared" si="3"/>
        <v>0</v>
      </c>
      <c r="AZ14" s="292"/>
      <c r="BA14" s="292"/>
      <c r="BB14" s="292"/>
      <c r="BC14" s="292"/>
      <c r="BD14" s="292"/>
      <c r="BE14" s="292"/>
      <c r="BF14" s="292"/>
      <c r="BG14" s="292"/>
      <c r="BH14" s="292"/>
      <c r="BI14" s="292"/>
      <c r="BJ14" s="292"/>
      <c r="BK14" s="292"/>
    </row>
    <row r="15" spans="1:63" ht="18.75" x14ac:dyDescent="0.25">
      <c r="A15" s="287" t="s">
        <v>274</v>
      </c>
      <c r="B15" s="287"/>
      <c r="C15" s="287"/>
      <c r="D15" s="287"/>
      <c r="E15" s="288"/>
      <c r="F15" s="287"/>
      <c r="G15" s="287"/>
      <c r="H15" s="287"/>
      <c r="I15" s="288"/>
      <c r="J15" s="287"/>
      <c r="K15" s="287"/>
      <c r="L15" s="287"/>
      <c r="M15" s="288"/>
      <c r="N15" s="287"/>
      <c r="O15" s="287"/>
      <c r="P15" s="287"/>
      <c r="Q15" s="288"/>
      <c r="R15" s="289">
        <f t="shared" si="0"/>
        <v>0</v>
      </c>
      <c r="S15" s="290">
        <f t="shared" si="2"/>
        <v>0</v>
      </c>
      <c r="T15" s="291"/>
      <c r="U15" s="291"/>
      <c r="V15" s="291"/>
      <c r="W15" s="291"/>
      <c r="X15" s="291"/>
      <c r="Y15" s="292"/>
      <c r="Z15" s="292"/>
      <c r="AA15" s="292"/>
      <c r="AB15" s="292"/>
      <c r="AC15" s="292"/>
      <c r="AD15" s="292"/>
      <c r="AE15" s="292"/>
      <c r="AF15" s="277"/>
      <c r="AG15" s="287" t="s">
        <v>274</v>
      </c>
      <c r="AH15" s="287"/>
      <c r="AI15" s="287"/>
      <c r="AJ15" s="287"/>
      <c r="AK15" s="288"/>
      <c r="AL15" s="287"/>
      <c r="AM15" s="287"/>
      <c r="AN15" s="287"/>
      <c r="AO15" s="288"/>
      <c r="AP15" s="287"/>
      <c r="AQ15" s="287"/>
      <c r="AR15" s="287"/>
      <c r="AS15" s="288"/>
      <c r="AT15" s="287"/>
      <c r="AU15" s="287"/>
      <c r="AV15" s="287"/>
      <c r="AW15" s="288"/>
      <c r="AX15" s="289">
        <f t="shared" si="1"/>
        <v>0</v>
      </c>
      <c r="AY15" s="290">
        <f t="shared" si="3"/>
        <v>0</v>
      </c>
      <c r="AZ15" s="292"/>
      <c r="BA15" s="292"/>
      <c r="BB15" s="292"/>
      <c r="BC15" s="292"/>
      <c r="BD15" s="292"/>
      <c r="BE15" s="292"/>
      <c r="BF15" s="292"/>
      <c r="BG15" s="292"/>
      <c r="BH15" s="292"/>
      <c r="BI15" s="292"/>
      <c r="BJ15" s="292"/>
      <c r="BK15" s="292"/>
    </row>
    <row r="16" spans="1:63" ht="18.75" x14ac:dyDescent="0.25">
      <c r="A16" s="287" t="s">
        <v>275</v>
      </c>
      <c r="B16" s="287"/>
      <c r="C16" s="287"/>
      <c r="D16" s="287"/>
      <c r="E16" s="288"/>
      <c r="F16" s="287"/>
      <c r="G16" s="287"/>
      <c r="H16" s="287"/>
      <c r="I16" s="288"/>
      <c r="J16" s="287"/>
      <c r="K16" s="287"/>
      <c r="L16" s="287"/>
      <c r="M16" s="288"/>
      <c r="N16" s="287"/>
      <c r="O16" s="287"/>
      <c r="P16" s="287"/>
      <c r="Q16" s="288"/>
      <c r="R16" s="289">
        <f t="shared" si="0"/>
        <v>0</v>
      </c>
      <c r="S16" s="290">
        <f t="shared" si="2"/>
        <v>0</v>
      </c>
      <c r="T16" s="291"/>
      <c r="U16" s="291"/>
      <c r="V16" s="291"/>
      <c r="W16" s="291"/>
      <c r="X16" s="291"/>
      <c r="Y16" s="292"/>
      <c r="Z16" s="292"/>
      <c r="AA16" s="292"/>
      <c r="AB16" s="292"/>
      <c r="AC16" s="292"/>
      <c r="AD16" s="292"/>
      <c r="AE16" s="292"/>
      <c r="AF16" s="277"/>
      <c r="AG16" s="287" t="s">
        <v>275</v>
      </c>
      <c r="AH16" s="287"/>
      <c r="AI16" s="287"/>
      <c r="AJ16" s="287"/>
      <c r="AK16" s="288"/>
      <c r="AL16" s="287"/>
      <c r="AM16" s="287"/>
      <c r="AN16" s="287"/>
      <c r="AO16" s="288"/>
      <c r="AP16" s="287"/>
      <c r="AQ16" s="287"/>
      <c r="AR16" s="287"/>
      <c r="AS16" s="288"/>
      <c r="AT16" s="287"/>
      <c r="AU16" s="287"/>
      <c r="AV16" s="287"/>
      <c r="AW16" s="288"/>
      <c r="AX16" s="289">
        <f t="shared" si="1"/>
        <v>0</v>
      </c>
      <c r="AY16" s="290">
        <f t="shared" si="3"/>
        <v>0</v>
      </c>
      <c r="AZ16" s="292"/>
      <c r="BA16" s="292"/>
      <c r="BB16" s="292"/>
      <c r="BC16" s="292"/>
      <c r="BD16" s="292"/>
      <c r="BE16" s="292"/>
      <c r="BF16" s="292"/>
      <c r="BG16" s="292"/>
      <c r="BH16" s="292"/>
      <c r="BI16" s="292"/>
      <c r="BJ16" s="292"/>
      <c r="BK16" s="292"/>
    </row>
    <row r="17" spans="1:63" ht="18.75" x14ac:dyDescent="0.25">
      <c r="A17" s="287" t="s">
        <v>276</v>
      </c>
      <c r="B17" s="287"/>
      <c r="C17" s="287"/>
      <c r="D17" s="287"/>
      <c r="E17" s="288"/>
      <c r="F17" s="287"/>
      <c r="G17" s="287"/>
      <c r="H17" s="287"/>
      <c r="I17" s="288"/>
      <c r="J17" s="287"/>
      <c r="K17" s="287"/>
      <c r="L17" s="287"/>
      <c r="M17" s="288"/>
      <c r="N17" s="287"/>
      <c r="O17" s="287"/>
      <c r="P17" s="287"/>
      <c r="Q17" s="288"/>
      <c r="R17" s="289">
        <f t="shared" si="0"/>
        <v>0</v>
      </c>
      <c r="S17" s="290">
        <f t="shared" si="2"/>
        <v>0</v>
      </c>
      <c r="T17" s="291"/>
      <c r="U17" s="291"/>
      <c r="V17" s="291"/>
      <c r="W17" s="291"/>
      <c r="X17" s="291"/>
      <c r="Y17" s="292"/>
      <c r="Z17" s="292"/>
      <c r="AA17" s="292"/>
      <c r="AB17" s="292"/>
      <c r="AC17" s="292"/>
      <c r="AD17" s="292"/>
      <c r="AE17" s="292"/>
      <c r="AF17" s="277"/>
      <c r="AG17" s="287" t="s">
        <v>276</v>
      </c>
      <c r="AH17" s="287"/>
      <c r="AI17" s="287"/>
      <c r="AJ17" s="287"/>
      <c r="AK17" s="288"/>
      <c r="AL17" s="287"/>
      <c r="AM17" s="287"/>
      <c r="AN17" s="287"/>
      <c r="AO17" s="288"/>
      <c r="AP17" s="287"/>
      <c r="AQ17" s="287"/>
      <c r="AR17" s="287"/>
      <c r="AS17" s="288"/>
      <c r="AT17" s="287"/>
      <c r="AU17" s="287"/>
      <c r="AV17" s="287"/>
      <c r="AW17" s="288"/>
      <c r="AX17" s="289">
        <f t="shared" si="1"/>
        <v>0</v>
      </c>
      <c r="AY17" s="290">
        <f t="shared" si="3"/>
        <v>0</v>
      </c>
      <c r="AZ17" s="292"/>
      <c r="BA17" s="292"/>
      <c r="BB17" s="292"/>
      <c r="BC17" s="292"/>
      <c r="BD17" s="292"/>
      <c r="BE17" s="292"/>
      <c r="BF17" s="292"/>
      <c r="BG17" s="292"/>
      <c r="BH17" s="292"/>
      <c r="BI17" s="292"/>
      <c r="BJ17" s="292"/>
      <c r="BK17" s="292"/>
    </row>
    <row r="18" spans="1:63" ht="18.75" x14ac:dyDescent="0.25">
      <c r="A18" s="287" t="s">
        <v>277</v>
      </c>
      <c r="B18" s="287"/>
      <c r="C18" s="287"/>
      <c r="D18" s="287"/>
      <c r="E18" s="288"/>
      <c r="F18" s="287"/>
      <c r="G18" s="287"/>
      <c r="H18" s="287"/>
      <c r="I18" s="288"/>
      <c r="J18" s="287"/>
      <c r="K18" s="287"/>
      <c r="L18" s="287"/>
      <c r="M18" s="288"/>
      <c r="N18" s="287"/>
      <c r="O18" s="287"/>
      <c r="P18" s="287"/>
      <c r="Q18" s="288"/>
      <c r="R18" s="289">
        <f t="shared" si="0"/>
        <v>0</v>
      </c>
      <c r="S18" s="290">
        <f t="shared" si="2"/>
        <v>0</v>
      </c>
      <c r="T18" s="291"/>
      <c r="U18" s="291"/>
      <c r="V18" s="291"/>
      <c r="W18" s="291"/>
      <c r="X18" s="291"/>
      <c r="Y18" s="292"/>
      <c r="Z18" s="292"/>
      <c r="AA18" s="292"/>
      <c r="AB18" s="292"/>
      <c r="AC18" s="292"/>
      <c r="AD18" s="292"/>
      <c r="AE18" s="292"/>
      <c r="AF18" s="277"/>
      <c r="AG18" s="287" t="s">
        <v>277</v>
      </c>
      <c r="AH18" s="287"/>
      <c r="AI18" s="287"/>
      <c r="AJ18" s="287"/>
      <c r="AK18" s="288"/>
      <c r="AL18" s="287"/>
      <c r="AM18" s="287"/>
      <c r="AN18" s="287"/>
      <c r="AO18" s="288"/>
      <c r="AP18" s="287"/>
      <c r="AQ18" s="287"/>
      <c r="AR18" s="287"/>
      <c r="AS18" s="288"/>
      <c r="AT18" s="287"/>
      <c r="AU18" s="287"/>
      <c r="AV18" s="287"/>
      <c r="AW18" s="288"/>
      <c r="AX18" s="289">
        <f t="shared" si="1"/>
        <v>0</v>
      </c>
      <c r="AY18" s="290">
        <f t="shared" si="3"/>
        <v>0</v>
      </c>
      <c r="AZ18" s="292"/>
      <c r="BA18" s="292"/>
      <c r="BB18" s="292"/>
      <c r="BC18" s="292"/>
      <c r="BD18" s="292"/>
      <c r="BE18" s="292"/>
      <c r="BF18" s="292"/>
      <c r="BG18" s="292"/>
      <c r="BH18" s="292"/>
      <c r="BI18" s="292"/>
      <c r="BJ18" s="292"/>
      <c r="BK18" s="292"/>
    </row>
    <row r="19" spans="1:63" ht="18.75" x14ac:dyDescent="0.25">
      <c r="A19" s="287" t="s">
        <v>278</v>
      </c>
      <c r="B19" s="287"/>
      <c r="C19" s="287"/>
      <c r="D19" s="287"/>
      <c r="E19" s="288"/>
      <c r="F19" s="287"/>
      <c r="G19" s="287"/>
      <c r="H19" s="287"/>
      <c r="I19" s="288"/>
      <c r="J19" s="287"/>
      <c r="K19" s="287"/>
      <c r="L19" s="287"/>
      <c r="M19" s="288"/>
      <c r="N19" s="287"/>
      <c r="O19" s="287"/>
      <c r="P19" s="287"/>
      <c r="Q19" s="288"/>
      <c r="R19" s="289">
        <f t="shared" si="0"/>
        <v>0</v>
      </c>
      <c r="S19" s="290">
        <f t="shared" si="2"/>
        <v>0</v>
      </c>
      <c r="T19" s="291"/>
      <c r="U19" s="291"/>
      <c r="V19" s="291"/>
      <c r="W19" s="291"/>
      <c r="X19" s="291"/>
      <c r="Y19" s="292"/>
      <c r="Z19" s="292"/>
      <c r="AA19" s="292"/>
      <c r="AB19" s="292"/>
      <c r="AC19" s="292"/>
      <c r="AD19" s="292"/>
      <c r="AE19" s="292"/>
      <c r="AF19" s="277"/>
      <c r="AG19" s="287" t="s">
        <v>278</v>
      </c>
      <c r="AH19" s="287"/>
      <c r="AI19" s="287"/>
      <c r="AJ19" s="287"/>
      <c r="AK19" s="288"/>
      <c r="AL19" s="287"/>
      <c r="AM19" s="287"/>
      <c r="AN19" s="287"/>
      <c r="AO19" s="288"/>
      <c r="AP19" s="287"/>
      <c r="AQ19" s="287"/>
      <c r="AR19" s="287"/>
      <c r="AS19" s="288"/>
      <c r="AT19" s="287"/>
      <c r="AU19" s="287"/>
      <c r="AV19" s="287"/>
      <c r="AW19" s="288"/>
      <c r="AX19" s="289">
        <f t="shared" si="1"/>
        <v>0</v>
      </c>
      <c r="AY19" s="290">
        <f t="shared" si="3"/>
        <v>0</v>
      </c>
      <c r="AZ19" s="292"/>
      <c r="BA19" s="292"/>
      <c r="BB19" s="292"/>
      <c r="BC19" s="292"/>
      <c r="BD19" s="292"/>
      <c r="BE19" s="292"/>
      <c r="BF19" s="292"/>
      <c r="BG19" s="292"/>
      <c r="BH19" s="292"/>
      <c r="BI19" s="287"/>
      <c r="BJ19" s="287"/>
      <c r="BK19" s="287"/>
    </row>
    <row r="20" spans="1:63" ht="18.75" x14ac:dyDescent="0.25">
      <c r="A20" s="287" t="s">
        <v>279</v>
      </c>
      <c r="B20" s="287"/>
      <c r="C20" s="287"/>
      <c r="D20" s="287"/>
      <c r="E20" s="288"/>
      <c r="F20" s="287"/>
      <c r="G20" s="287"/>
      <c r="H20" s="287"/>
      <c r="I20" s="288"/>
      <c r="J20" s="287"/>
      <c r="K20" s="287"/>
      <c r="L20" s="287"/>
      <c r="M20" s="288"/>
      <c r="N20" s="287"/>
      <c r="O20" s="287"/>
      <c r="P20" s="287"/>
      <c r="Q20" s="288"/>
      <c r="R20" s="289">
        <f t="shared" si="0"/>
        <v>0</v>
      </c>
      <c r="S20" s="290">
        <f t="shared" si="2"/>
        <v>0</v>
      </c>
      <c r="T20" s="291"/>
      <c r="U20" s="291"/>
      <c r="V20" s="291"/>
      <c r="W20" s="291"/>
      <c r="X20" s="291"/>
      <c r="Y20" s="292"/>
      <c r="Z20" s="292"/>
      <c r="AA20" s="292"/>
      <c r="AB20" s="292"/>
      <c r="AC20" s="292"/>
      <c r="AD20" s="292"/>
      <c r="AE20" s="292"/>
      <c r="AF20" s="277"/>
      <c r="AG20" s="287" t="s">
        <v>279</v>
      </c>
      <c r="AH20" s="287"/>
      <c r="AI20" s="287"/>
      <c r="AJ20" s="287"/>
      <c r="AK20" s="288"/>
      <c r="AL20" s="287"/>
      <c r="AM20" s="287"/>
      <c r="AN20" s="287"/>
      <c r="AO20" s="288"/>
      <c r="AP20" s="287"/>
      <c r="AQ20" s="287"/>
      <c r="AR20" s="287"/>
      <c r="AS20" s="288"/>
      <c r="AT20" s="287"/>
      <c r="AU20" s="287"/>
      <c r="AV20" s="287"/>
      <c r="AW20" s="288"/>
      <c r="AX20" s="289">
        <f t="shared" si="1"/>
        <v>0</v>
      </c>
      <c r="AY20" s="290">
        <f t="shared" si="3"/>
        <v>0</v>
      </c>
      <c r="AZ20" s="292"/>
      <c r="BA20" s="292"/>
      <c r="BB20" s="292"/>
      <c r="BC20" s="292"/>
      <c r="BD20" s="292"/>
      <c r="BE20" s="292"/>
      <c r="BF20" s="292"/>
      <c r="BG20" s="292"/>
      <c r="BH20" s="292"/>
      <c r="BI20" s="287"/>
      <c r="BJ20" s="287"/>
      <c r="BK20" s="287"/>
    </row>
    <row r="21" spans="1:63" ht="18.75" x14ac:dyDescent="0.25">
      <c r="A21" s="287" t="s">
        <v>280</v>
      </c>
      <c r="B21" s="287"/>
      <c r="C21" s="287"/>
      <c r="D21" s="287"/>
      <c r="E21" s="288"/>
      <c r="F21" s="287"/>
      <c r="G21" s="287"/>
      <c r="H21" s="287"/>
      <c r="I21" s="288"/>
      <c r="J21" s="287"/>
      <c r="K21" s="287"/>
      <c r="L21" s="287"/>
      <c r="M21" s="288"/>
      <c r="N21" s="287"/>
      <c r="O21" s="287"/>
      <c r="P21" s="287"/>
      <c r="Q21" s="288"/>
      <c r="R21" s="289">
        <f t="shared" si="0"/>
        <v>0</v>
      </c>
      <c r="S21" s="290">
        <f t="shared" si="2"/>
        <v>0</v>
      </c>
      <c r="T21" s="291"/>
      <c r="U21" s="291"/>
      <c r="V21" s="291"/>
      <c r="W21" s="291"/>
      <c r="X21" s="291"/>
      <c r="Y21" s="292"/>
      <c r="Z21" s="292"/>
      <c r="AA21" s="292"/>
      <c r="AB21" s="292"/>
      <c r="AC21" s="292"/>
      <c r="AD21" s="292"/>
      <c r="AE21" s="292"/>
      <c r="AF21" s="277"/>
      <c r="AG21" s="287" t="s">
        <v>280</v>
      </c>
      <c r="AH21" s="287"/>
      <c r="AI21" s="287"/>
      <c r="AJ21" s="287"/>
      <c r="AK21" s="288"/>
      <c r="AL21" s="287"/>
      <c r="AM21" s="287"/>
      <c r="AN21" s="287"/>
      <c r="AO21" s="288"/>
      <c r="AP21" s="287"/>
      <c r="AQ21" s="287"/>
      <c r="AR21" s="287"/>
      <c r="AS21" s="288"/>
      <c r="AT21" s="287"/>
      <c r="AU21" s="287"/>
      <c r="AV21" s="287"/>
      <c r="AW21" s="288"/>
      <c r="AX21" s="289">
        <f t="shared" si="1"/>
        <v>0</v>
      </c>
      <c r="AY21" s="290">
        <f t="shared" si="3"/>
        <v>0</v>
      </c>
      <c r="AZ21" s="292"/>
      <c r="BA21" s="292"/>
      <c r="BB21" s="292"/>
      <c r="BC21" s="292"/>
      <c r="BD21" s="292"/>
      <c r="BE21" s="292"/>
      <c r="BF21" s="292"/>
      <c r="BG21" s="292"/>
      <c r="BH21" s="292"/>
      <c r="BI21" s="287"/>
      <c r="BJ21" s="287"/>
      <c r="BK21" s="287"/>
    </row>
    <row r="22" spans="1:63" ht="18.75" x14ac:dyDescent="0.25">
      <c r="A22" s="287" t="s">
        <v>281</v>
      </c>
      <c r="B22" s="287"/>
      <c r="C22" s="287"/>
      <c r="D22" s="287"/>
      <c r="E22" s="288"/>
      <c r="F22" s="287"/>
      <c r="G22" s="287"/>
      <c r="H22" s="287"/>
      <c r="I22" s="288"/>
      <c r="J22" s="287"/>
      <c r="K22" s="287"/>
      <c r="L22" s="287"/>
      <c r="M22" s="288"/>
      <c r="N22" s="287"/>
      <c r="O22" s="287"/>
      <c r="P22" s="287"/>
      <c r="Q22" s="288"/>
      <c r="R22" s="289">
        <f t="shared" si="0"/>
        <v>0</v>
      </c>
      <c r="S22" s="290">
        <f t="shared" si="2"/>
        <v>0</v>
      </c>
      <c r="T22" s="291"/>
      <c r="U22" s="291"/>
      <c r="V22" s="291"/>
      <c r="W22" s="291"/>
      <c r="X22" s="291"/>
      <c r="Y22" s="292"/>
      <c r="Z22" s="292"/>
      <c r="AA22" s="292"/>
      <c r="AB22" s="292"/>
      <c r="AC22" s="292"/>
      <c r="AD22" s="292"/>
      <c r="AE22" s="292"/>
      <c r="AF22" s="277"/>
      <c r="AG22" s="287" t="s">
        <v>281</v>
      </c>
      <c r="AH22" s="287"/>
      <c r="AI22" s="287"/>
      <c r="AJ22" s="287"/>
      <c r="AK22" s="288"/>
      <c r="AL22" s="287"/>
      <c r="AM22" s="287"/>
      <c r="AN22" s="287"/>
      <c r="AO22" s="288"/>
      <c r="AP22" s="287"/>
      <c r="AQ22" s="287"/>
      <c r="AR22" s="287"/>
      <c r="AS22" s="288"/>
      <c r="AT22" s="287"/>
      <c r="AU22" s="287"/>
      <c r="AV22" s="287"/>
      <c r="AW22" s="288"/>
      <c r="AX22" s="289">
        <f t="shared" si="1"/>
        <v>0</v>
      </c>
      <c r="AY22" s="290">
        <f t="shared" si="3"/>
        <v>0</v>
      </c>
      <c r="AZ22" s="292"/>
      <c r="BA22" s="292"/>
      <c r="BB22" s="292"/>
      <c r="BC22" s="292"/>
      <c r="BD22" s="292"/>
      <c r="BE22" s="292"/>
      <c r="BF22" s="292"/>
      <c r="BG22" s="292"/>
      <c r="BH22" s="292"/>
      <c r="BI22" s="292"/>
      <c r="BJ22" s="292"/>
      <c r="BK22" s="292"/>
    </row>
    <row r="23" spans="1:63" ht="18.75" x14ac:dyDescent="0.25">
      <c r="A23" s="287" t="s">
        <v>282</v>
      </c>
      <c r="B23" s="287"/>
      <c r="C23" s="287"/>
      <c r="D23" s="287"/>
      <c r="E23" s="288"/>
      <c r="F23" s="287"/>
      <c r="G23" s="287"/>
      <c r="H23" s="287"/>
      <c r="I23" s="288"/>
      <c r="J23" s="287"/>
      <c r="K23" s="287"/>
      <c r="L23" s="287"/>
      <c r="M23" s="288"/>
      <c r="N23" s="287"/>
      <c r="O23" s="287"/>
      <c r="P23" s="287"/>
      <c r="Q23" s="288"/>
      <c r="R23" s="289">
        <f t="shared" si="0"/>
        <v>0</v>
      </c>
      <c r="S23" s="290">
        <f t="shared" si="2"/>
        <v>0</v>
      </c>
      <c r="T23" s="291"/>
      <c r="U23" s="291"/>
      <c r="V23" s="291"/>
      <c r="W23" s="291"/>
      <c r="X23" s="291"/>
      <c r="Y23" s="292"/>
      <c r="Z23" s="292"/>
      <c r="AA23" s="292"/>
      <c r="AB23" s="292"/>
      <c r="AC23" s="292"/>
      <c r="AD23" s="292"/>
      <c r="AE23" s="292"/>
      <c r="AF23" s="277"/>
      <c r="AG23" s="287" t="s">
        <v>282</v>
      </c>
      <c r="AH23" s="287"/>
      <c r="AI23" s="287"/>
      <c r="AJ23" s="287"/>
      <c r="AK23" s="288"/>
      <c r="AL23" s="287"/>
      <c r="AM23" s="287"/>
      <c r="AN23" s="287"/>
      <c r="AO23" s="288"/>
      <c r="AP23" s="287"/>
      <c r="AQ23" s="287"/>
      <c r="AR23" s="287"/>
      <c r="AS23" s="288"/>
      <c r="AT23" s="287"/>
      <c r="AU23" s="287"/>
      <c r="AV23" s="287"/>
      <c r="AW23" s="288"/>
      <c r="AX23" s="289">
        <f t="shared" si="1"/>
        <v>0</v>
      </c>
      <c r="AY23" s="290">
        <f t="shared" si="3"/>
        <v>0</v>
      </c>
      <c r="AZ23" s="292"/>
      <c r="BA23" s="292"/>
      <c r="BB23" s="292"/>
      <c r="BC23" s="292"/>
      <c r="BD23" s="292"/>
      <c r="BE23" s="292"/>
      <c r="BF23" s="292"/>
      <c r="BG23" s="292"/>
      <c r="BH23" s="292"/>
      <c r="BI23" s="292"/>
      <c r="BJ23" s="292"/>
      <c r="BK23" s="292"/>
    </row>
    <row r="24" spans="1:63" ht="18.75" x14ac:dyDescent="0.25">
      <c r="A24" s="287" t="s">
        <v>283</v>
      </c>
      <c r="B24" s="287"/>
      <c r="C24" s="287"/>
      <c r="D24" s="287"/>
      <c r="E24" s="288"/>
      <c r="F24" s="287"/>
      <c r="G24" s="287"/>
      <c r="H24" s="287"/>
      <c r="I24" s="288"/>
      <c r="J24" s="287"/>
      <c r="K24" s="287"/>
      <c r="L24" s="287"/>
      <c r="M24" s="288"/>
      <c r="N24" s="287"/>
      <c r="O24" s="287"/>
      <c r="P24" s="287"/>
      <c r="Q24" s="288"/>
      <c r="R24" s="289">
        <f t="shared" si="0"/>
        <v>0</v>
      </c>
      <c r="S24" s="290">
        <f t="shared" si="2"/>
        <v>0</v>
      </c>
      <c r="T24" s="291"/>
      <c r="U24" s="291"/>
      <c r="V24" s="291"/>
      <c r="W24" s="291"/>
      <c r="X24" s="291"/>
      <c r="Y24" s="292"/>
      <c r="Z24" s="292"/>
      <c r="AA24" s="292"/>
      <c r="AB24" s="292"/>
      <c r="AC24" s="292"/>
      <c r="AD24" s="292"/>
      <c r="AE24" s="292"/>
      <c r="AF24" s="277"/>
      <c r="AG24" s="287" t="s">
        <v>283</v>
      </c>
      <c r="AH24" s="287"/>
      <c r="AI24" s="287"/>
      <c r="AJ24" s="287"/>
      <c r="AK24" s="288"/>
      <c r="AL24" s="287"/>
      <c r="AM24" s="287"/>
      <c r="AN24" s="287"/>
      <c r="AO24" s="288"/>
      <c r="AP24" s="287"/>
      <c r="AQ24" s="287"/>
      <c r="AR24" s="287"/>
      <c r="AS24" s="288"/>
      <c r="AT24" s="287"/>
      <c r="AU24" s="287"/>
      <c r="AV24" s="287"/>
      <c r="AW24" s="288"/>
      <c r="AX24" s="289">
        <f t="shared" si="1"/>
        <v>0</v>
      </c>
      <c r="AY24" s="290">
        <f t="shared" si="3"/>
        <v>0</v>
      </c>
      <c r="AZ24" s="292"/>
      <c r="BA24" s="292"/>
      <c r="BB24" s="292"/>
      <c r="BC24" s="292"/>
      <c r="BD24" s="292"/>
      <c r="BE24" s="292"/>
      <c r="BF24" s="292"/>
      <c r="BG24" s="292"/>
      <c r="BH24" s="292"/>
      <c r="BI24" s="292"/>
      <c r="BJ24" s="292"/>
      <c r="BK24" s="292"/>
    </row>
    <row r="25" spans="1:63" ht="18.75" x14ac:dyDescent="0.25">
      <c r="A25" s="287" t="s">
        <v>284</v>
      </c>
      <c r="B25" s="287"/>
      <c r="C25" s="287"/>
      <c r="D25" s="287"/>
      <c r="E25" s="288"/>
      <c r="F25" s="287"/>
      <c r="G25" s="287"/>
      <c r="H25" s="287"/>
      <c r="I25" s="288"/>
      <c r="J25" s="287"/>
      <c r="K25" s="287"/>
      <c r="L25" s="287"/>
      <c r="M25" s="288"/>
      <c r="N25" s="287"/>
      <c r="O25" s="287"/>
      <c r="P25" s="287"/>
      <c r="Q25" s="288"/>
      <c r="R25" s="289">
        <f t="shared" si="0"/>
        <v>0</v>
      </c>
      <c r="S25" s="290">
        <f t="shared" si="2"/>
        <v>0</v>
      </c>
      <c r="T25" s="291"/>
      <c r="U25" s="291"/>
      <c r="V25" s="291"/>
      <c r="W25" s="291"/>
      <c r="X25" s="291"/>
      <c r="Y25" s="292"/>
      <c r="Z25" s="292"/>
      <c r="AA25" s="292"/>
      <c r="AB25" s="292"/>
      <c r="AC25" s="292"/>
      <c r="AD25" s="292"/>
      <c r="AE25" s="292"/>
      <c r="AF25" s="277"/>
      <c r="AG25" s="287" t="s">
        <v>284</v>
      </c>
      <c r="AH25" s="287"/>
      <c r="AI25" s="287"/>
      <c r="AJ25" s="287"/>
      <c r="AK25" s="288"/>
      <c r="AL25" s="287"/>
      <c r="AM25" s="287"/>
      <c r="AN25" s="287"/>
      <c r="AO25" s="288"/>
      <c r="AP25" s="287"/>
      <c r="AQ25" s="287"/>
      <c r="AR25" s="287"/>
      <c r="AS25" s="288"/>
      <c r="AT25" s="287"/>
      <c r="AU25" s="287"/>
      <c r="AV25" s="287"/>
      <c r="AW25" s="288"/>
      <c r="AX25" s="289">
        <f t="shared" si="1"/>
        <v>0</v>
      </c>
      <c r="AY25" s="290">
        <f t="shared" si="3"/>
        <v>0</v>
      </c>
      <c r="AZ25" s="292"/>
      <c r="BA25" s="292"/>
      <c r="BB25" s="292"/>
      <c r="BC25" s="292"/>
      <c r="BD25" s="292"/>
      <c r="BE25" s="292"/>
      <c r="BF25" s="292"/>
      <c r="BG25" s="292"/>
      <c r="BH25" s="292"/>
      <c r="BI25" s="292"/>
      <c r="BJ25" s="292"/>
      <c r="BK25" s="292"/>
    </row>
    <row r="26" spans="1:63" ht="18.75" x14ac:dyDescent="0.25">
      <c r="A26" s="287" t="s">
        <v>285</v>
      </c>
      <c r="B26" s="287"/>
      <c r="C26" s="287"/>
      <c r="D26" s="287"/>
      <c r="E26" s="288"/>
      <c r="F26" s="287"/>
      <c r="G26" s="287"/>
      <c r="H26" s="287"/>
      <c r="I26" s="288"/>
      <c r="J26" s="287"/>
      <c r="K26" s="287"/>
      <c r="L26" s="287"/>
      <c r="M26" s="288"/>
      <c r="N26" s="287"/>
      <c r="O26" s="287"/>
      <c r="P26" s="287"/>
      <c r="Q26" s="288"/>
      <c r="R26" s="289">
        <f t="shared" si="0"/>
        <v>0</v>
      </c>
      <c r="S26" s="290">
        <f t="shared" si="2"/>
        <v>0</v>
      </c>
      <c r="T26" s="291"/>
      <c r="U26" s="291"/>
      <c r="V26" s="291"/>
      <c r="W26" s="291"/>
      <c r="X26" s="291"/>
      <c r="Y26" s="292"/>
      <c r="Z26" s="292"/>
      <c r="AA26" s="292"/>
      <c r="AB26" s="292"/>
      <c r="AC26" s="292"/>
      <c r="AD26" s="292"/>
      <c r="AE26" s="292"/>
      <c r="AF26" s="277"/>
      <c r="AG26" s="287" t="s">
        <v>285</v>
      </c>
      <c r="AH26" s="287"/>
      <c r="AI26" s="287"/>
      <c r="AJ26" s="287"/>
      <c r="AK26" s="288"/>
      <c r="AL26" s="287"/>
      <c r="AM26" s="287"/>
      <c r="AN26" s="287"/>
      <c r="AO26" s="288"/>
      <c r="AP26" s="287"/>
      <c r="AQ26" s="287"/>
      <c r="AR26" s="287"/>
      <c r="AS26" s="288"/>
      <c r="AT26" s="287"/>
      <c r="AU26" s="287"/>
      <c r="AV26" s="287"/>
      <c r="AW26" s="288"/>
      <c r="AX26" s="289">
        <f t="shared" si="1"/>
        <v>0</v>
      </c>
      <c r="AY26" s="290">
        <f t="shared" si="3"/>
        <v>0</v>
      </c>
      <c r="AZ26" s="292"/>
      <c r="BA26" s="292"/>
      <c r="BB26" s="292"/>
      <c r="BC26" s="292"/>
      <c r="BD26" s="292"/>
      <c r="BE26" s="292"/>
      <c r="BF26" s="292"/>
      <c r="BG26" s="292"/>
      <c r="BH26" s="292"/>
      <c r="BI26" s="292"/>
      <c r="BJ26" s="292"/>
      <c r="BK26" s="292"/>
    </row>
    <row r="27" spans="1:63" ht="18.75" x14ac:dyDescent="0.25">
      <c r="A27" s="287" t="s">
        <v>286</v>
      </c>
      <c r="B27" s="287"/>
      <c r="C27" s="287"/>
      <c r="D27" s="287"/>
      <c r="E27" s="288"/>
      <c r="F27" s="287"/>
      <c r="G27" s="287"/>
      <c r="H27" s="287"/>
      <c r="I27" s="288"/>
      <c r="J27" s="287"/>
      <c r="K27" s="287"/>
      <c r="L27" s="287"/>
      <c r="M27" s="288"/>
      <c r="N27" s="287"/>
      <c r="O27" s="287"/>
      <c r="P27" s="287"/>
      <c r="Q27" s="288"/>
      <c r="R27" s="289">
        <f t="shared" si="0"/>
        <v>0</v>
      </c>
      <c r="S27" s="290">
        <f t="shared" si="2"/>
        <v>0</v>
      </c>
      <c r="T27" s="291"/>
      <c r="U27" s="291"/>
      <c r="V27" s="291"/>
      <c r="W27" s="291"/>
      <c r="X27" s="291"/>
      <c r="Y27" s="292"/>
      <c r="Z27" s="292"/>
      <c r="AA27" s="292"/>
      <c r="AB27" s="292"/>
      <c r="AC27" s="292"/>
      <c r="AD27" s="292"/>
      <c r="AE27" s="292"/>
      <c r="AF27" s="277"/>
      <c r="AG27" s="287" t="s">
        <v>286</v>
      </c>
      <c r="AH27" s="287"/>
      <c r="AI27" s="287"/>
      <c r="AJ27" s="287"/>
      <c r="AK27" s="288"/>
      <c r="AL27" s="287"/>
      <c r="AM27" s="287"/>
      <c r="AN27" s="287"/>
      <c r="AO27" s="288"/>
      <c r="AP27" s="287"/>
      <c r="AQ27" s="287"/>
      <c r="AR27" s="287"/>
      <c r="AS27" s="288"/>
      <c r="AT27" s="287"/>
      <c r="AU27" s="287"/>
      <c r="AV27" s="287"/>
      <c r="AW27" s="288"/>
      <c r="AX27" s="289">
        <f t="shared" si="1"/>
        <v>0</v>
      </c>
      <c r="AY27" s="290">
        <f t="shared" si="3"/>
        <v>0</v>
      </c>
      <c r="AZ27" s="292"/>
      <c r="BA27" s="292"/>
      <c r="BB27" s="292"/>
      <c r="BC27" s="292"/>
      <c r="BD27" s="292"/>
      <c r="BE27" s="292"/>
      <c r="BF27" s="292"/>
      <c r="BG27" s="292"/>
      <c r="BH27" s="292"/>
      <c r="BI27" s="292"/>
      <c r="BJ27" s="292"/>
      <c r="BK27" s="292"/>
    </row>
    <row r="28" spans="1:63" ht="18.75" x14ac:dyDescent="0.25">
      <c r="A28" s="287" t="s">
        <v>287</v>
      </c>
      <c r="B28" s="287"/>
      <c r="C28" s="287"/>
      <c r="D28" s="287"/>
      <c r="E28" s="288"/>
      <c r="F28" s="287"/>
      <c r="G28" s="287"/>
      <c r="H28" s="287"/>
      <c r="I28" s="288"/>
      <c r="J28" s="287"/>
      <c r="K28" s="287"/>
      <c r="L28" s="287"/>
      <c r="M28" s="288"/>
      <c r="N28" s="287"/>
      <c r="O28" s="287"/>
      <c r="P28" s="287"/>
      <c r="Q28" s="288"/>
      <c r="R28" s="289">
        <f t="shared" si="0"/>
        <v>0</v>
      </c>
      <c r="S28" s="290">
        <f t="shared" si="2"/>
        <v>0</v>
      </c>
      <c r="T28" s="291"/>
      <c r="U28" s="291"/>
      <c r="V28" s="291"/>
      <c r="W28" s="291"/>
      <c r="X28" s="291"/>
      <c r="Y28" s="292"/>
      <c r="Z28" s="292"/>
      <c r="AA28" s="292"/>
      <c r="AB28" s="292"/>
      <c r="AC28" s="292"/>
      <c r="AD28" s="292"/>
      <c r="AE28" s="292"/>
      <c r="AF28" s="277"/>
      <c r="AG28" s="287" t="s">
        <v>287</v>
      </c>
      <c r="AH28" s="287"/>
      <c r="AI28" s="287"/>
      <c r="AJ28" s="287"/>
      <c r="AK28" s="288"/>
      <c r="AL28" s="287"/>
      <c r="AM28" s="287"/>
      <c r="AN28" s="287"/>
      <c r="AO28" s="288"/>
      <c r="AP28" s="287"/>
      <c r="AQ28" s="287"/>
      <c r="AR28" s="287"/>
      <c r="AS28" s="288"/>
      <c r="AT28" s="287"/>
      <c r="AU28" s="287"/>
      <c r="AV28" s="287"/>
      <c r="AW28" s="288"/>
      <c r="AX28" s="289">
        <f t="shared" si="1"/>
        <v>0</v>
      </c>
      <c r="AY28" s="290">
        <f t="shared" si="3"/>
        <v>0</v>
      </c>
      <c r="AZ28" s="292"/>
      <c r="BA28" s="292"/>
      <c r="BB28" s="292"/>
      <c r="BC28" s="292"/>
      <c r="BD28" s="292"/>
      <c r="BE28" s="292"/>
      <c r="BF28" s="292"/>
      <c r="BG28" s="292"/>
      <c r="BH28" s="292"/>
      <c r="BI28" s="292"/>
      <c r="BJ28" s="292"/>
      <c r="BK28" s="292"/>
    </row>
    <row r="29" spans="1:63" ht="18.75" x14ac:dyDescent="0.25">
      <c r="A29" s="287" t="s">
        <v>288</v>
      </c>
      <c r="B29" s="287"/>
      <c r="C29" s="287"/>
      <c r="D29" s="287"/>
      <c r="E29" s="288"/>
      <c r="F29" s="287"/>
      <c r="G29" s="287"/>
      <c r="H29" s="287"/>
      <c r="I29" s="288"/>
      <c r="J29" s="287"/>
      <c r="K29" s="287"/>
      <c r="L29" s="287"/>
      <c r="M29" s="288"/>
      <c r="N29" s="287"/>
      <c r="O29" s="287"/>
      <c r="P29" s="287"/>
      <c r="Q29" s="288"/>
      <c r="R29" s="289">
        <f t="shared" si="0"/>
        <v>0</v>
      </c>
      <c r="S29" s="290">
        <f t="shared" si="2"/>
        <v>0</v>
      </c>
      <c r="T29" s="291"/>
      <c r="U29" s="291"/>
      <c r="V29" s="291"/>
      <c r="W29" s="291"/>
      <c r="X29" s="291"/>
      <c r="Y29" s="292"/>
      <c r="Z29" s="292"/>
      <c r="AA29" s="292"/>
      <c r="AB29" s="292"/>
      <c r="AC29" s="292"/>
      <c r="AD29" s="292"/>
      <c r="AE29" s="292"/>
      <c r="AF29" s="277"/>
      <c r="AG29" s="287" t="s">
        <v>288</v>
      </c>
      <c r="AH29" s="287"/>
      <c r="AI29" s="287"/>
      <c r="AJ29" s="287"/>
      <c r="AK29" s="288"/>
      <c r="AL29" s="287"/>
      <c r="AM29" s="287"/>
      <c r="AN29" s="287"/>
      <c r="AO29" s="288"/>
      <c r="AP29" s="287"/>
      <c r="AQ29" s="287"/>
      <c r="AR29" s="287"/>
      <c r="AS29" s="288"/>
      <c r="AT29" s="287"/>
      <c r="AU29" s="287"/>
      <c r="AV29" s="287"/>
      <c r="AW29" s="288"/>
      <c r="AX29" s="289">
        <f t="shared" si="1"/>
        <v>0</v>
      </c>
      <c r="AY29" s="290">
        <f t="shared" si="3"/>
        <v>0</v>
      </c>
      <c r="AZ29" s="292"/>
      <c r="BA29" s="292"/>
      <c r="BB29" s="292"/>
      <c r="BC29" s="292"/>
      <c r="BD29" s="292"/>
      <c r="BE29" s="292"/>
      <c r="BF29" s="292"/>
      <c r="BG29" s="292"/>
      <c r="BH29" s="292"/>
      <c r="BI29" s="292"/>
      <c r="BJ29" s="292"/>
      <c r="BK29" s="292"/>
    </row>
    <row r="30" spans="1:63" ht="18.75" x14ac:dyDescent="0.25">
      <c r="A30" s="287" t="s">
        <v>289</v>
      </c>
      <c r="B30" s="287"/>
      <c r="C30" s="287"/>
      <c r="D30" s="287"/>
      <c r="E30" s="288"/>
      <c r="F30" s="287"/>
      <c r="G30" s="287"/>
      <c r="H30" s="287"/>
      <c r="I30" s="288"/>
      <c r="J30" s="287"/>
      <c r="K30" s="287"/>
      <c r="L30" s="287"/>
      <c r="M30" s="288"/>
      <c r="N30" s="287"/>
      <c r="O30" s="287"/>
      <c r="P30" s="287"/>
      <c r="Q30" s="288"/>
      <c r="R30" s="289">
        <f t="shared" si="0"/>
        <v>0</v>
      </c>
      <c r="S30" s="290">
        <f t="shared" si="2"/>
        <v>0</v>
      </c>
      <c r="T30" s="291"/>
      <c r="U30" s="291"/>
      <c r="V30" s="291"/>
      <c r="W30" s="291"/>
      <c r="X30" s="291"/>
      <c r="Y30" s="292"/>
      <c r="Z30" s="292"/>
      <c r="AA30" s="292"/>
      <c r="AB30" s="292"/>
      <c r="AC30" s="292"/>
      <c r="AD30" s="292"/>
      <c r="AE30" s="292"/>
      <c r="AF30" s="277"/>
      <c r="AG30" s="287" t="s">
        <v>289</v>
      </c>
      <c r="AH30" s="287"/>
      <c r="AI30" s="287"/>
      <c r="AJ30" s="287"/>
      <c r="AK30" s="288"/>
      <c r="AL30" s="287"/>
      <c r="AM30" s="287"/>
      <c r="AN30" s="287"/>
      <c r="AO30" s="288"/>
      <c r="AP30" s="287"/>
      <c r="AQ30" s="287"/>
      <c r="AR30" s="287"/>
      <c r="AS30" s="288"/>
      <c r="AT30" s="287"/>
      <c r="AU30" s="287"/>
      <c r="AV30" s="287"/>
      <c r="AW30" s="288"/>
      <c r="AX30" s="289">
        <f t="shared" si="1"/>
        <v>0</v>
      </c>
      <c r="AY30" s="290">
        <f t="shared" si="3"/>
        <v>0</v>
      </c>
      <c r="AZ30" s="292"/>
      <c r="BA30" s="292"/>
      <c r="BB30" s="292"/>
      <c r="BC30" s="292"/>
      <c r="BD30" s="292"/>
      <c r="BE30" s="292"/>
      <c r="BF30" s="292"/>
      <c r="BG30" s="292"/>
      <c r="BH30" s="292"/>
      <c r="BI30" s="292"/>
      <c r="BJ30" s="292"/>
      <c r="BK30" s="292"/>
    </row>
    <row r="31" spans="1:63" ht="18.75" x14ac:dyDescent="0.25">
      <c r="A31" s="287" t="s">
        <v>290</v>
      </c>
      <c r="B31" s="287"/>
      <c r="C31" s="287"/>
      <c r="D31" s="287"/>
      <c r="E31" s="288"/>
      <c r="F31" s="287"/>
      <c r="G31" s="287"/>
      <c r="H31" s="287"/>
      <c r="I31" s="288"/>
      <c r="J31" s="287"/>
      <c r="K31" s="287"/>
      <c r="L31" s="287"/>
      <c r="M31" s="288"/>
      <c r="N31" s="287"/>
      <c r="O31" s="287"/>
      <c r="P31" s="287"/>
      <c r="Q31" s="288"/>
      <c r="R31" s="289">
        <f t="shared" si="0"/>
        <v>0</v>
      </c>
      <c r="S31" s="290">
        <f t="shared" si="2"/>
        <v>0</v>
      </c>
      <c r="T31" s="291"/>
      <c r="U31" s="291"/>
      <c r="V31" s="291"/>
      <c r="W31" s="291"/>
      <c r="X31" s="291"/>
      <c r="Y31" s="292"/>
      <c r="Z31" s="292"/>
      <c r="AA31" s="292"/>
      <c r="AB31" s="292"/>
      <c r="AC31" s="292"/>
      <c r="AD31" s="292"/>
      <c r="AE31" s="292"/>
      <c r="AF31" s="277"/>
      <c r="AG31" s="287" t="s">
        <v>290</v>
      </c>
      <c r="AH31" s="287"/>
      <c r="AI31" s="287"/>
      <c r="AJ31" s="287"/>
      <c r="AK31" s="288"/>
      <c r="AL31" s="287"/>
      <c r="AM31" s="287"/>
      <c r="AN31" s="287"/>
      <c r="AO31" s="288"/>
      <c r="AP31" s="287"/>
      <c r="AQ31" s="287"/>
      <c r="AR31" s="287"/>
      <c r="AS31" s="288"/>
      <c r="AT31" s="287"/>
      <c r="AU31" s="287"/>
      <c r="AV31" s="287"/>
      <c r="AW31" s="288"/>
      <c r="AX31" s="289">
        <f t="shared" si="1"/>
        <v>0</v>
      </c>
      <c r="AY31" s="290">
        <f t="shared" si="3"/>
        <v>0</v>
      </c>
      <c r="AZ31" s="292"/>
      <c r="BA31" s="292"/>
      <c r="BB31" s="292"/>
      <c r="BC31" s="292"/>
      <c r="BD31" s="292"/>
      <c r="BE31" s="292"/>
      <c r="BF31" s="292"/>
      <c r="BG31" s="292"/>
      <c r="BH31" s="292"/>
      <c r="BI31" s="292"/>
      <c r="BJ31" s="292"/>
      <c r="BK31" s="292"/>
    </row>
    <row r="32" spans="1:63" ht="18.75" x14ac:dyDescent="0.25">
      <c r="A32" s="294" t="s">
        <v>291</v>
      </c>
      <c r="B32" s="295">
        <f>SUM(B11:B31)</f>
        <v>0</v>
      </c>
      <c r="C32" s="295">
        <f t="shared" ref="C32:AE32" si="4">SUM(C11:C31)</f>
        <v>0</v>
      </c>
      <c r="D32" s="295">
        <f t="shared" si="4"/>
        <v>0</v>
      </c>
      <c r="E32" s="296">
        <f>SUM(E11:E31)</f>
        <v>0</v>
      </c>
      <c r="F32" s="295">
        <f t="shared" si="4"/>
        <v>0</v>
      </c>
      <c r="G32" s="295">
        <f t="shared" si="4"/>
        <v>0</v>
      </c>
      <c r="H32" s="295">
        <f t="shared" si="4"/>
        <v>0</v>
      </c>
      <c r="I32" s="296">
        <f>SUM(I11:I31)</f>
        <v>0</v>
      </c>
      <c r="J32" s="295">
        <f t="shared" si="4"/>
        <v>0</v>
      </c>
      <c r="K32" s="295">
        <f t="shared" si="4"/>
        <v>0</v>
      </c>
      <c r="L32" s="295">
        <f t="shared" si="4"/>
        <v>0</v>
      </c>
      <c r="M32" s="296">
        <f>SUM(M11:M31)</f>
        <v>0</v>
      </c>
      <c r="N32" s="295">
        <f t="shared" si="4"/>
        <v>0</v>
      </c>
      <c r="O32" s="295">
        <f t="shared" si="4"/>
        <v>0</v>
      </c>
      <c r="P32" s="295">
        <f t="shared" si="4"/>
        <v>0</v>
      </c>
      <c r="Q32" s="296">
        <f>SUM(Q11:Q31)</f>
        <v>0</v>
      </c>
      <c r="R32" s="295">
        <f t="shared" si="4"/>
        <v>0</v>
      </c>
      <c r="S32" s="290">
        <f t="shared" si="4"/>
        <v>0</v>
      </c>
      <c r="T32" s="295">
        <f t="shared" si="4"/>
        <v>0</v>
      </c>
      <c r="U32" s="295">
        <f t="shared" si="4"/>
        <v>0</v>
      </c>
      <c r="V32" s="295">
        <f t="shared" si="4"/>
        <v>0</v>
      </c>
      <c r="W32" s="295">
        <f t="shared" si="4"/>
        <v>0</v>
      </c>
      <c r="X32" s="295">
        <f t="shared" si="4"/>
        <v>0</v>
      </c>
      <c r="Y32" s="295">
        <f t="shared" si="4"/>
        <v>0</v>
      </c>
      <c r="Z32" s="295">
        <f t="shared" si="4"/>
        <v>0</v>
      </c>
      <c r="AA32" s="295">
        <f t="shared" si="4"/>
        <v>0</v>
      </c>
      <c r="AB32" s="295">
        <f t="shared" si="4"/>
        <v>0</v>
      </c>
      <c r="AC32" s="295">
        <f t="shared" si="4"/>
        <v>0</v>
      </c>
      <c r="AD32" s="295">
        <f t="shared" si="4"/>
        <v>0</v>
      </c>
      <c r="AE32" s="295">
        <f t="shared" si="4"/>
        <v>0</v>
      </c>
      <c r="AF32" s="277"/>
      <c r="AG32" s="294" t="s">
        <v>291</v>
      </c>
      <c r="AH32" s="295">
        <f t="shared" ref="AH32:AW32" si="5">SUM(AH11:AH31)</f>
        <v>0</v>
      </c>
      <c r="AI32" s="295">
        <f t="shared" si="5"/>
        <v>0</v>
      </c>
      <c r="AJ32" s="295">
        <f t="shared" si="5"/>
        <v>0</v>
      </c>
      <c r="AK32" s="296">
        <f t="shared" si="5"/>
        <v>0</v>
      </c>
      <c r="AL32" s="295">
        <f t="shared" si="5"/>
        <v>0</v>
      </c>
      <c r="AM32" s="295">
        <f t="shared" si="5"/>
        <v>0</v>
      </c>
      <c r="AN32" s="295">
        <f t="shared" si="5"/>
        <v>0</v>
      </c>
      <c r="AO32" s="296">
        <f t="shared" si="5"/>
        <v>0</v>
      </c>
      <c r="AP32" s="295">
        <f t="shared" si="5"/>
        <v>0</v>
      </c>
      <c r="AQ32" s="295">
        <f t="shared" si="5"/>
        <v>0</v>
      </c>
      <c r="AR32" s="295">
        <f t="shared" si="5"/>
        <v>0</v>
      </c>
      <c r="AS32" s="296">
        <f t="shared" si="5"/>
        <v>0</v>
      </c>
      <c r="AT32" s="295">
        <f t="shared" si="5"/>
        <v>0</v>
      </c>
      <c r="AU32" s="295">
        <f t="shared" si="5"/>
        <v>0</v>
      </c>
      <c r="AV32" s="295">
        <f t="shared" si="5"/>
        <v>0</v>
      </c>
      <c r="AW32" s="296">
        <f t="shared" si="5"/>
        <v>0</v>
      </c>
      <c r="AX32" s="297">
        <f t="shared" ref="AX32:BK32" si="6">SUM(AX11:AX31)</f>
        <v>0</v>
      </c>
      <c r="AY32" s="298">
        <f t="shared" si="6"/>
        <v>0</v>
      </c>
      <c r="AZ32" s="295">
        <f t="shared" si="6"/>
        <v>0</v>
      </c>
      <c r="BA32" s="295">
        <f t="shared" si="6"/>
        <v>0</v>
      </c>
      <c r="BB32" s="295">
        <f t="shared" si="6"/>
        <v>0</v>
      </c>
      <c r="BC32" s="295">
        <f t="shared" si="6"/>
        <v>0</v>
      </c>
      <c r="BD32" s="295">
        <f t="shared" si="6"/>
        <v>0</v>
      </c>
      <c r="BE32" s="295">
        <f t="shared" si="6"/>
        <v>0</v>
      </c>
      <c r="BF32" s="295">
        <f t="shared" si="6"/>
        <v>0</v>
      </c>
      <c r="BG32" s="295">
        <f t="shared" si="6"/>
        <v>0</v>
      </c>
      <c r="BH32" s="295">
        <f t="shared" si="6"/>
        <v>0</v>
      </c>
      <c r="BI32" s="295">
        <f t="shared" si="6"/>
        <v>0</v>
      </c>
      <c r="BJ32" s="295">
        <f t="shared" si="6"/>
        <v>0</v>
      </c>
      <c r="BK32" s="295">
        <f t="shared" si="6"/>
        <v>0</v>
      </c>
    </row>
    <row r="33" spans="1:63" ht="18.75" x14ac:dyDescent="0.25">
      <c r="A33" s="277"/>
      <c r="B33" s="277"/>
      <c r="C33" s="277"/>
      <c r="D33" s="277"/>
      <c r="E33" s="277"/>
      <c r="F33" s="277"/>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277"/>
      <c r="AP33" s="277"/>
      <c r="AQ33" s="277"/>
      <c r="AR33" s="277"/>
      <c r="AS33" s="277"/>
      <c r="AT33" s="277"/>
      <c r="AU33" s="277"/>
      <c r="AV33" s="277"/>
      <c r="AW33" s="277"/>
      <c r="AX33" s="277"/>
      <c r="AY33" s="277"/>
      <c r="AZ33" s="277"/>
      <c r="BA33" s="277"/>
      <c r="BB33" s="277"/>
      <c r="BC33" s="277"/>
      <c r="BD33" s="277"/>
      <c r="BE33" s="277"/>
      <c r="BF33" s="277"/>
      <c r="BG33" s="277"/>
      <c r="BH33" s="277"/>
      <c r="BI33" s="277"/>
      <c r="BJ33" s="277"/>
      <c r="BK33" s="277"/>
    </row>
    <row r="34" spans="1:63" ht="18.75" x14ac:dyDescent="0.25">
      <c r="A34" s="277"/>
      <c r="B34" s="277"/>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c r="AV34" s="277"/>
      <c r="AW34" s="277"/>
      <c r="AX34" s="277"/>
      <c r="AY34" s="277"/>
      <c r="AZ34" s="277"/>
      <c r="BA34" s="277"/>
      <c r="BB34" s="277"/>
      <c r="BC34" s="277"/>
      <c r="BD34" s="277"/>
      <c r="BE34" s="277"/>
      <c r="BF34" s="277"/>
      <c r="BG34" s="277"/>
      <c r="BH34" s="277"/>
      <c r="BI34" s="277"/>
      <c r="BJ34" s="277"/>
      <c r="BK34" s="277"/>
    </row>
    <row r="35" spans="1:63" ht="30" customHeight="1" x14ac:dyDescent="0.25">
      <c r="A35" s="863" t="s">
        <v>252</v>
      </c>
      <c r="B35" s="282" t="s">
        <v>29</v>
      </c>
      <c r="C35" s="282" t="s">
        <v>30</v>
      </c>
      <c r="D35" s="860" t="s">
        <v>31</v>
      </c>
      <c r="E35" s="861"/>
      <c r="F35" s="282" t="s">
        <v>8</v>
      </c>
      <c r="G35" s="282" t="s">
        <v>32</v>
      </c>
      <c r="H35" s="860" t="s">
        <v>33</v>
      </c>
      <c r="I35" s="861"/>
      <c r="J35" s="282" t="s">
        <v>34</v>
      </c>
      <c r="K35" s="282" t="s">
        <v>35</v>
      </c>
      <c r="L35" s="860" t="s">
        <v>36</v>
      </c>
      <c r="M35" s="861"/>
      <c r="N35" s="282" t="s">
        <v>37</v>
      </c>
      <c r="O35" s="282" t="s">
        <v>38</v>
      </c>
      <c r="P35" s="860" t="s">
        <v>39</v>
      </c>
      <c r="Q35" s="861"/>
      <c r="R35" s="860" t="s">
        <v>253</v>
      </c>
      <c r="S35" s="861"/>
      <c r="T35" s="860" t="s">
        <v>254</v>
      </c>
      <c r="U35" s="862"/>
      <c r="V35" s="862"/>
      <c r="W35" s="862"/>
      <c r="X35" s="862"/>
      <c r="Y35" s="861"/>
      <c r="Z35" s="860" t="s">
        <v>255</v>
      </c>
      <c r="AA35" s="862"/>
      <c r="AB35" s="862"/>
      <c r="AC35" s="862"/>
      <c r="AD35" s="862"/>
      <c r="AE35" s="861"/>
      <c r="AF35" s="277"/>
      <c r="AG35" s="863" t="s">
        <v>252</v>
      </c>
      <c r="AH35" s="282" t="s">
        <v>29</v>
      </c>
      <c r="AI35" s="282" t="s">
        <v>30</v>
      </c>
      <c r="AJ35" s="860" t="s">
        <v>31</v>
      </c>
      <c r="AK35" s="861"/>
      <c r="AL35" s="282" t="s">
        <v>8</v>
      </c>
      <c r="AM35" s="282" t="s">
        <v>32</v>
      </c>
      <c r="AN35" s="860" t="s">
        <v>33</v>
      </c>
      <c r="AO35" s="861"/>
      <c r="AP35" s="282" t="s">
        <v>34</v>
      </c>
      <c r="AQ35" s="282" t="s">
        <v>35</v>
      </c>
      <c r="AR35" s="860" t="s">
        <v>36</v>
      </c>
      <c r="AS35" s="861"/>
      <c r="AT35" s="282" t="s">
        <v>37</v>
      </c>
      <c r="AU35" s="282" t="s">
        <v>38</v>
      </c>
      <c r="AV35" s="860" t="s">
        <v>39</v>
      </c>
      <c r="AW35" s="861"/>
      <c r="AX35" s="860" t="s">
        <v>253</v>
      </c>
      <c r="AY35" s="861"/>
      <c r="AZ35" s="860" t="s">
        <v>254</v>
      </c>
      <c r="BA35" s="862"/>
      <c r="BB35" s="862"/>
      <c r="BC35" s="862"/>
      <c r="BD35" s="862"/>
      <c r="BE35" s="861"/>
      <c r="BF35" s="860" t="s">
        <v>255</v>
      </c>
      <c r="BG35" s="862"/>
      <c r="BH35" s="862"/>
      <c r="BI35" s="862"/>
      <c r="BJ35" s="862"/>
      <c r="BK35" s="861"/>
    </row>
    <row r="36" spans="1:63" ht="36" customHeight="1" x14ac:dyDescent="0.25">
      <c r="A36" s="864"/>
      <c r="B36" s="283" t="s">
        <v>256</v>
      </c>
      <c r="C36" s="283" t="s">
        <v>256</v>
      </c>
      <c r="D36" s="283" t="s">
        <v>256</v>
      </c>
      <c r="E36" s="283" t="s">
        <v>257</v>
      </c>
      <c r="F36" s="283" t="s">
        <v>256</v>
      </c>
      <c r="G36" s="283" t="s">
        <v>256</v>
      </c>
      <c r="H36" s="283" t="s">
        <v>256</v>
      </c>
      <c r="I36" s="283" t="s">
        <v>257</v>
      </c>
      <c r="J36" s="283" t="s">
        <v>256</v>
      </c>
      <c r="K36" s="283" t="s">
        <v>256</v>
      </c>
      <c r="L36" s="283" t="s">
        <v>256</v>
      </c>
      <c r="M36" s="283" t="s">
        <v>257</v>
      </c>
      <c r="N36" s="283" t="s">
        <v>256</v>
      </c>
      <c r="O36" s="283" t="s">
        <v>256</v>
      </c>
      <c r="P36" s="283" t="s">
        <v>256</v>
      </c>
      <c r="Q36" s="283" t="s">
        <v>257</v>
      </c>
      <c r="R36" s="283" t="s">
        <v>256</v>
      </c>
      <c r="S36" s="283" t="s">
        <v>257</v>
      </c>
      <c r="T36" s="284" t="s">
        <v>258</v>
      </c>
      <c r="U36" s="284" t="s">
        <v>259</v>
      </c>
      <c r="V36" s="284" t="s">
        <v>260</v>
      </c>
      <c r="W36" s="284" t="s">
        <v>261</v>
      </c>
      <c r="X36" s="285" t="s">
        <v>262</v>
      </c>
      <c r="Y36" s="284" t="s">
        <v>263</v>
      </c>
      <c r="Z36" s="283" t="s">
        <v>264</v>
      </c>
      <c r="AA36" s="286" t="s">
        <v>265</v>
      </c>
      <c r="AB36" s="283" t="s">
        <v>266</v>
      </c>
      <c r="AC36" s="283" t="s">
        <v>267</v>
      </c>
      <c r="AD36" s="283" t="s">
        <v>268</v>
      </c>
      <c r="AE36" s="283" t="s">
        <v>269</v>
      </c>
      <c r="AF36" s="277"/>
      <c r="AG36" s="864"/>
      <c r="AH36" s="283" t="s">
        <v>256</v>
      </c>
      <c r="AI36" s="283" t="s">
        <v>256</v>
      </c>
      <c r="AJ36" s="283" t="s">
        <v>256</v>
      </c>
      <c r="AK36" s="283" t="s">
        <v>257</v>
      </c>
      <c r="AL36" s="283" t="s">
        <v>256</v>
      </c>
      <c r="AM36" s="283" t="s">
        <v>256</v>
      </c>
      <c r="AN36" s="283" t="s">
        <v>256</v>
      </c>
      <c r="AO36" s="283" t="s">
        <v>257</v>
      </c>
      <c r="AP36" s="283" t="s">
        <v>256</v>
      </c>
      <c r="AQ36" s="283" t="s">
        <v>256</v>
      </c>
      <c r="AR36" s="283" t="s">
        <v>256</v>
      </c>
      <c r="AS36" s="283" t="s">
        <v>257</v>
      </c>
      <c r="AT36" s="283" t="s">
        <v>256</v>
      </c>
      <c r="AU36" s="283" t="s">
        <v>256</v>
      </c>
      <c r="AV36" s="283" t="s">
        <v>256</v>
      </c>
      <c r="AW36" s="283" t="s">
        <v>257</v>
      </c>
      <c r="AX36" s="283" t="s">
        <v>256</v>
      </c>
      <c r="AY36" s="283" t="s">
        <v>257</v>
      </c>
      <c r="AZ36" s="284" t="s">
        <v>258</v>
      </c>
      <c r="BA36" s="284" t="s">
        <v>259</v>
      </c>
      <c r="BB36" s="284" t="s">
        <v>260</v>
      </c>
      <c r="BC36" s="284" t="s">
        <v>261</v>
      </c>
      <c r="BD36" s="285" t="s">
        <v>262</v>
      </c>
      <c r="BE36" s="284" t="s">
        <v>263</v>
      </c>
      <c r="BF36" s="283" t="s">
        <v>264</v>
      </c>
      <c r="BG36" s="286" t="s">
        <v>265</v>
      </c>
      <c r="BH36" s="283" t="s">
        <v>266</v>
      </c>
      <c r="BI36" s="283" t="s">
        <v>267</v>
      </c>
      <c r="BJ36" s="283" t="s">
        <v>268</v>
      </c>
      <c r="BK36" s="283" t="s">
        <v>269</v>
      </c>
    </row>
    <row r="37" spans="1:63" ht="18.75" x14ac:dyDescent="0.25">
      <c r="A37" s="287" t="s">
        <v>270</v>
      </c>
      <c r="B37" s="287"/>
      <c r="C37" s="287"/>
      <c r="D37" s="287"/>
      <c r="E37" s="288"/>
      <c r="F37" s="287"/>
      <c r="G37" s="287"/>
      <c r="H37" s="287"/>
      <c r="I37" s="288"/>
      <c r="J37" s="287"/>
      <c r="K37" s="287"/>
      <c r="L37" s="287"/>
      <c r="M37" s="288"/>
      <c r="N37" s="287"/>
      <c r="O37" s="287"/>
      <c r="P37" s="287"/>
      <c r="Q37" s="288"/>
      <c r="R37" s="289">
        <f t="shared" ref="R37:R57" si="7">B37+C37+D37+F37+G37+H37+J37+K37+L37+N37+O37+P37</f>
        <v>0</v>
      </c>
      <c r="S37" s="290">
        <f>+E37+I37+M37+Q37</f>
        <v>0</v>
      </c>
      <c r="T37" s="291"/>
      <c r="U37" s="291"/>
      <c r="V37" s="291"/>
      <c r="W37" s="291"/>
      <c r="X37" s="291"/>
      <c r="Y37" s="292"/>
      <c r="Z37" s="292"/>
      <c r="AA37" s="292"/>
      <c r="AB37" s="292"/>
      <c r="AC37" s="292"/>
      <c r="AD37" s="292"/>
      <c r="AE37" s="293"/>
      <c r="AF37" s="277"/>
      <c r="AG37" s="287" t="s">
        <v>270</v>
      </c>
      <c r="AH37" s="287"/>
      <c r="AI37" s="287"/>
      <c r="AJ37" s="287"/>
      <c r="AK37" s="288"/>
      <c r="AL37" s="287"/>
      <c r="AM37" s="287"/>
      <c r="AN37" s="287"/>
      <c r="AO37" s="288"/>
      <c r="AP37" s="287"/>
      <c r="AQ37" s="287"/>
      <c r="AR37" s="287"/>
      <c r="AS37" s="288"/>
      <c r="AT37" s="287"/>
      <c r="AU37" s="287"/>
      <c r="AV37" s="287"/>
      <c r="AW37" s="288"/>
      <c r="AX37" s="289">
        <f t="shared" ref="AX37:AX57" si="8">AH37+AI37+AJ37+AL37+AM37+AN37+AP37+AQ37+AR37+AT37+AU37+AV37</f>
        <v>0</v>
      </c>
      <c r="AY37" s="290">
        <f>+AK37+AO37+AS37+AW37</f>
        <v>0</v>
      </c>
      <c r="AZ37" s="292"/>
      <c r="BA37" s="292"/>
      <c r="BB37" s="292"/>
      <c r="BC37" s="292"/>
      <c r="BD37" s="292"/>
      <c r="BE37" s="292"/>
      <c r="BF37" s="292"/>
      <c r="BG37" s="292"/>
      <c r="BH37" s="292"/>
      <c r="BI37" s="292"/>
      <c r="BJ37" s="292"/>
      <c r="BK37" s="293"/>
    </row>
    <row r="38" spans="1:63" ht="18.75" x14ac:dyDescent="0.25">
      <c r="A38" s="287" t="s">
        <v>271</v>
      </c>
      <c r="B38" s="287"/>
      <c r="C38" s="287"/>
      <c r="D38" s="287"/>
      <c r="E38" s="288"/>
      <c r="F38" s="287"/>
      <c r="G38" s="287"/>
      <c r="H38" s="287"/>
      <c r="I38" s="288"/>
      <c r="J38" s="287"/>
      <c r="K38" s="287"/>
      <c r="L38" s="287"/>
      <c r="M38" s="288"/>
      <c r="N38" s="287"/>
      <c r="O38" s="287"/>
      <c r="P38" s="287"/>
      <c r="Q38" s="288"/>
      <c r="R38" s="289">
        <f t="shared" si="7"/>
        <v>0</v>
      </c>
      <c r="S38" s="290">
        <f t="shared" ref="S38:S57" si="9">+E38+I38+M38+Q38</f>
        <v>0</v>
      </c>
      <c r="T38" s="291"/>
      <c r="U38" s="291"/>
      <c r="V38" s="291"/>
      <c r="W38" s="291"/>
      <c r="X38" s="291"/>
      <c r="Y38" s="292"/>
      <c r="Z38" s="292"/>
      <c r="AA38" s="292"/>
      <c r="AB38" s="292"/>
      <c r="AC38" s="292"/>
      <c r="AD38" s="292"/>
      <c r="AE38" s="292"/>
      <c r="AF38" s="277"/>
      <c r="AG38" s="287" t="s">
        <v>271</v>
      </c>
      <c r="AH38" s="287"/>
      <c r="AI38" s="287"/>
      <c r="AJ38" s="287"/>
      <c r="AK38" s="288"/>
      <c r="AL38" s="287"/>
      <c r="AM38" s="287"/>
      <c r="AN38" s="287"/>
      <c r="AO38" s="288"/>
      <c r="AP38" s="287"/>
      <c r="AQ38" s="287"/>
      <c r="AR38" s="287"/>
      <c r="AS38" s="288"/>
      <c r="AT38" s="287"/>
      <c r="AU38" s="287"/>
      <c r="AV38" s="287"/>
      <c r="AW38" s="288"/>
      <c r="AX38" s="289">
        <f t="shared" si="8"/>
        <v>0</v>
      </c>
      <c r="AY38" s="290">
        <f t="shared" ref="AY38:AY57" si="10">+AK38+AO38+AS38+AW38</f>
        <v>0</v>
      </c>
      <c r="AZ38" s="292"/>
      <c r="BA38" s="292"/>
      <c r="BB38" s="292"/>
      <c r="BC38" s="292"/>
      <c r="BD38" s="292"/>
      <c r="BE38" s="292"/>
      <c r="BF38" s="292"/>
      <c r="BG38" s="292"/>
      <c r="BH38" s="292"/>
      <c r="BI38" s="292"/>
      <c r="BJ38" s="292"/>
      <c r="BK38" s="292"/>
    </row>
    <row r="39" spans="1:63" ht="18.75" x14ac:dyDescent="0.25">
      <c r="A39" s="287" t="s">
        <v>272</v>
      </c>
      <c r="B39" s="287"/>
      <c r="C39" s="287"/>
      <c r="D39" s="287"/>
      <c r="E39" s="288"/>
      <c r="F39" s="287"/>
      <c r="G39" s="287"/>
      <c r="H39" s="287"/>
      <c r="I39" s="288"/>
      <c r="J39" s="287"/>
      <c r="K39" s="287"/>
      <c r="L39" s="287"/>
      <c r="M39" s="288"/>
      <c r="N39" s="287"/>
      <c r="O39" s="287"/>
      <c r="P39" s="287"/>
      <c r="Q39" s="288"/>
      <c r="R39" s="289">
        <f t="shared" si="7"/>
        <v>0</v>
      </c>
      <c r="S39" s="290">
        <f t="shared" si="9"/>
        <v>0</v>
      </c>
      <c r="T39" s="291"/>
      <c r="U39" s="291"/>
      <c r="V39" s="291"/>
      <c r="W39" s="291"/>
      <c r="X39" s="291"/>
      <c r="Y39" s="292"/>
      <c r="Z39" s="292"/>
      <c r="AA39" s="292"/>
      <c r="AB39" s="292"/>
      <c r="AC39" s="292"/>
      <c r="AD39" s="292"/>
      <c r="AE39" s="292"/>
      <c r="AF39" s="277"/>
      <c r="AG39" s="287" t="s">
        <v>272</v>
      </c>
      <c r="AH39" s="287"/>
      <c r="AI39" s="287"/>
      <c r="AJ39" s="287"/>
      <c r="AK39" s="288"/>
      <c r="AL39" s="287"/>
      <c r="AM39" s="287"/>
      <c r="AN39" s="287"/>
      <c r="AO39" s="288"/>
      <c r="AP39" s="287"/>
      <c r="AQ39" s="287"/>
      <c r="AR39" s="287"/>
      <c r="AS39" s="288"/>
      <c r="AT39" s="287"/>
      <c r="AU39" s="287"/>
      <c r="AV39" s="287"/>
      <c r="AW39" s="288"/>
      <c r="AX39" s="289">
        <f t="shared" si="8"/>
        <v>0</v>
      </c>
      <c r="AY39" s="290">
        <f t="shared" si="10"/>
        <v>0</v>
      </c>
      <c r="AZ39" s="292"/>
      <c r="BA39" s="292"/>
      <c r="BB39" s="292"/>
      <c r="BC39" s="292"/>
      <c r="BD39" s="292"/>
      <c r="BE39" s="292"/>
      <c r="BF39" s="292"/>
      <c r="BG39" s="292"/>
      <c r="BH39" s="292"/>
      <c r="BI39" s="292"/>
      <c r="BJ39" s="292"/>
      <c r="BK39" s="292"/>
    </row>
    <row r="40" spans="1:63" ht="18.75" x14ac:dyDescent="0.25">
      <c r="A40" s="287" t="s">
        <v>273</v>
      </c>
      <c r="B40" s="287"/>
      <c r="C40" s="287"/>
      <c r="D40" s="287"/>
      <c r="E40" s="288"/>
      <c r="F40" s="287"/>
      <c r="G40" s="287"/>
      <c r="H40" s="287"/>
      <c r="I40" s="288"/>
      <c r="J40" s="287"/>
      <c r="K40" s="287"/>
      <c r="L40" s="287"/>
      <c r="M40" s="288"/>
      <c r="N40" s="287"/>
      <c r="O40" s="287"/>
      <c r="P40" s="287"/>
      <c r="Q40" s="288"/>
      <c r="R40" s="289">
        <f t="shared" si="7"/>
        <v>0</v>
      </c>
      <c r="S40" s="290">
        <f t="shared" si="9"/>
        <v>0</v>
      </c>
      <c r="T40" s="291"/>
      <c r="U40" s="291"/>
      <c r="V40" s="291"/>
      <c r="W40" s="291"/>
      <c r="X40" s="291"/>
      <c r="Y40" s="292"/>
      <c r="Z40" s="292"/>
      <c r="AA40" s="292"/>
      <c r="AB40" s="292"/>
      <c r="AC40" s="292"/>
      <c r="AD40" s="292"/>
      <c r="AE40" s="292"/>
      <c r="AF40" s="277"/>
      <c r="AG40" s="287" t="s">
        <v>273</v>
      </c>
      <c r="AH40" s="287"/>
      <c r="AI40" s="287"/>
      <c r="AJ40" s="287"/>
      <c r="AK40" s="288"/>
      <c r="AL40" s="287"/>
      <c r="AM40" s="287"/>
      <c r="AN40" s="287"/>
      <c r="AO40" s="288"/>
      <c r="AP40" s="287"/>
      <c r="AQ40" s="287"/>
      <c r="AR40" s="287"/>
      <c r="AS40" s="288"/>
      <c r="AT40" s="287"/>
      <c r="AU40" s="287"/>
      <c r="AV40" s="287"/>
      <c r="AW40" s="288"/>
      <c r="AX40" s="289">
        <f t="shared" si="8"/>
        <v>0</v>
      </c>
      <c r="AY40" s="290">
        <f t="shared" si="10"/>
        <v>0</v>
      </c>
      <c r="AZ40" s="292"/>
      <c r="BA40" s="292"/>
      <c r="BB40" s="292"/>
      <c r="BC40" s="292"/>
      <c r="BD40" s="292"/>
      <c r="BE40" s="292"/>
      <c r="BF40" s="292"/>
      <c r="BG40" s="292"/>
      <c r="BH40" s="292"/>
      <c r="BI40" s="292"/>
      <c r="BJ40" s="292"/>
      <c r="BK40" s="292"/>
    </row>
    <row r="41" spans="1:63" ht="18.75" x14ac:dyDescent="0.25">
      <c r="A41" s="287" t="s">
        <v>274</v>
      </c>
      <c r="B41" s="287"/>
      <c r="C41" s="287"/>
      <c r="D41" s="287"/>
      <c r="E41" s="288"/>
      <c r="F41" s="287"/>
      <c r="G41" s="287"/>
      <c r="H41" s="287"/>
      <c r="I41" s="288"/>
      <c r="J41" s="287"/>
      <c r="K41" s="287"/>
      <c r="L41" s="287"/>
      <c r="M41" s="288"/>
      <c r="N41" s="287"/>
      <c r="O41" s="287"/>
      <c r="P41" s="287"/>
      <c r="Q41" s="288"/>
      <c r="R41" s="289">
        <f t="shared" si="7"/>
        <v>0</v>
      </c>
      <c r="S41" s="290">
        <f t="shared" si="9"/>
        <v>0</v>
      </c>
      <c r="T41" s="291"/>
      <c r="U41" s="291"/>
      <c r="V41" s="291"/>
      <c r="W41" s="291"/>
      <c r="X41" s="291"/>
      <c r="Y41" s="292"/>
      <c r="Z41" s="292"/>
      <c r="AA41" s="292"/>
      <c r="AB41" s="292"/>
      <c r="AC41" s="292"/>
      <c r="AD41" s="292"/>
      <c r="AE41" s="292"/>
      <c r="AF41" s="277"/>
      <c r="AG41" s="287" t="s">
        <v>274</v>
      </c>
      <c r="AH41" s="287"/>
      <c r="AI41" s="287"/>
      <c r="AJ41" s="287"/>
      <c r="AK41" s="288"/>
      <c r="AL41" s="287"/>
      <c r="AM41" s="287"/>
      <c r="AN41" s="287"/>
      <c r="AO41" s="288"/>
      <c r="AP41" s="287"/>
      <c r="AQ41" s="287"/>
      <c r="AR41" s="287"/>
      <c r="AS41" s="288"/>
      <c r="AT41" s="287"/>
      <c r="AU41" s="287"/>
      <c r="AV41" s="287"/>
      <c r="AW41" s="288"/>
      <c r="AX41" s="289">
        <f t="shared" si="8"/>
        <v>0</v>
      </c>
      <c r="AY41" s="290">
        <f t="shared" si="10"/>
        <v>0</v>
      </c>
      <c r="AZ41" s="292"/>
      <c r="BA41" s="292"/>
      <c r="BB41" s="292"/>
      <c r="BC41" s="292"/>
      <c r="BD41" s="292"/>
      <c r="BE41" s="292"/>
      <c r="BF41" s="292"/>
      <c r="BG41" s="292"/>
      <c r="BH41" s="292"/>
      <c r="BI41" s="292"/>
      <c r="BJ41" s="292"/>
      <c r="BK41" s="292"/>
    </row>
    <row r="42" spans="1:63" ht="18.75" x14ac:dyDescent="0.25">
      <c r="A42" s="287" t="s">
        <v>275</v>
      </c>
      <c r="B42" s="287"/>
      <c r="C42" s="287"/>
      <c r="D42" s="287"/>
      <c r="E42" s="288"/>
      <c r="F42" s="287"/>
      <c r="G42" s="287"/>
      <c r="H42" s="287"/>
      <c r="I42" s="288"/>
      <c r="J42" s="287"/>
      <c r="K42" s="287"/>
      <c r="L42" s="287"/>
      <c r="M42" s="288"/>
      <c r="N42" s="287"/>
      <c r="O42" s="287"/>
      <c r="P42" s="287"/>
      <c r="Q42" s="288"/>
      <c r="R42" s="289">
        <f t="shared" si="7"/>
        <v>0</v>
      </c>
      <c r="S42" s="290">
        <f t="shared" si="9"/>
        <v>0</v>
      </c>
      <c r="T42" s="291"/>
      <c r="U42" s="291"/>
      <c r="V42" s="291"/>
      <c r="W42" s="291"/>
      <c r="X42" s="291"/>
      <c r="Y42" s="292"/>
      <c r="Z42" s="292"/>
      <c r="AA42" s="292"/>
      <c r="AB42" s="292"/>
      <c r="AC42" s="292"/>
      <c r="AD42" s="292"/>
      <c r="AE42" s="292"/>
      <c r="AF42" s="277"/>
      <c r="AG42" s="287" t="s">
        <v>275</v>
      </c>
      <c r="AH42" s="287"/>
      <c r="AI42" s="287"/>
      <c r="AJ42" s="287"/>
      <c r="AK42" s="288"/>
      <c r="AL42" s="287"/>
      <c r="AM42" s="287"/>
      <c r="AN42" s="287"/>
      <c r="AO42" s="288"/>
      <c r="AP42" s="287"/>
      <c r="AQ42" s="287"/>
      <c r="AR42" s="287"/>
      <c r="AS42" s="288"/>
      <c r="AT42" s="287"/>
      <c r="AU42" s="287"/>
      <c r="AV42" s="287"/>
      <c r="AW42" s="288"/>
      <c r="AX42" s="289">
        <f t="shared" si="8"/>
        <v>0</v>
      </c>
      <c r="AY42" s="290">
        <f t="shared" si="10"/>
        <v>0</v>
      </c>
      <c r="AZ42" s="292"/>
      <c r="BA42" s="292"/>
      <c r="BB42" s="292"/>
      <c r="BC42" s="292"/>
      <c r="BD42" s="292"/>
      <c r="BE42" s="292"/>
      <c r="BF42" s="292"/>
      <c r="BG42" s="292"/>
      <c r="BH42" s="292"/>
      <c r="BI42" s="292"/>
      <c r="BJ42" s="292"/>
      <c r="BK42" s="292"/>
    </row>
    <row r="43" spans="1:63" ht="18.75" x14ac:dyDescent="0.25">
      <c r="A43" s="287" t="s">
        <v>276</v>
      </c>
      <c r="B43" s="287"/>
      <c r="C43" s="287"/>
      <c r="D43" s="287"/>
      <c r="E43" s="288"/>
      <c r="F43" s="287"/>
      <c r="G43" s="287"/>
      <c r="H43" s="287"/>
      <c r="I43" s="288"/>
      <c r="J43" s="287"/>
      <c r="K43" s="287"/>
      <c r="L43" s="287"/>
      <c r="M43" s="288"/>
      <c r="N43" s="287"/>
      <c r="O43" s="287"/>
      <c r="P43" s="287"/>
      <c r="Q43" s="288"/>
      <c r="R43" s="289">
        <f t="shared" si="7"/>
        <v>0</v>
      </c>
      <c r="S43" s="290">
        <f t="shared" si="9"/>
        <v>0</v>
      </c>
      <c r="T43" s="291"/>
      <c r="U43" s="291"/>
      <c r="V43" s="291"/>
      <c r="W43" s="291"/>
      <c r="X43" s="291"/>
      <c r="Y43" s="292"/>
      <c r="Z43" s="292"/>
      <c r="AA43" s="292"/>
      <c r="AB43" s="292"/>
      <c r="AC43" s="292"/>
      <c r="AD43" s="292"/>
      <c r="AE43" s="292"/>
      <c r="AF43" s="277"/>
      <c r="AG43" s="287" t="s">
        <v>276</v>
      </c>
      <c r="AH43" s="287"/>
      <c r="AI43" s="287"/>
      <c r="AJ43" s="287"/>
      <c r="AK43" s="288"/>
      <c r="AL43" s="287"/>
      <c r="AM43" s="287"/>
      <c r="AN43" s="287"/>
      <c r="AO43" s="288"/>
      <c r="AP43" s="287"/>
      <c r="AQ43" s="287"/>
      <c r="AR43" s="287"/>
      <c r="AS43" s="288"/>
      <c r="AT43" s="287"/>
      <c r="AU43" s="287"/>
      <c r="AV43" s="287"/>
      <c r="AW43" s="288"/>
      <c r="AX43" s="289">
        <f t="shared" si="8"/>
        <v>0</v>
      </c>
      <c r="AY43" s="290">
        <f t="shared" si="10"/>
        <v>0</v>
      </c>
      <c r="AZ43" s="292"/>
      <c r="BA43" s="292"/>
      <c r="BB43" s="292"/>
      <c r="BC43" s="292"/>
      <c r="BD43" s="292"/>
      <c r="BE43" s="292"/>
      <c r="BF43" s="292"/>
      <c r="BG43" s="292"/>
      <c r="BH43" s="292"/>
      <c r="BI43" s="292"/>
      <c r="BJ43" s="292"/>
      <c r="BK43" s="292"/>
    </row>
    <row r="44" spans="1:63" ht="18.75" x14ac:dyDescent="0.25">
      <c r="A44" s="287" t="s">
        <v>277</v>
      </c>
      <c r="B44" s="287"/>
      <c r="C44" s="287"/>
      <c r="D44" s="287"/>
      <c r="E44" s="288"/>
      <c r="F44" s="287"/>
      <c r="G44" s="287"/>
      <c r="H44" s="287"/>
      <c r="I44" s="288"/>
      <c r="J44" s="287"/>
      <c r="K44" s="287"/>
      <c r="L44" s="287"/>
      <c r="M44" s="288"/>
      <c r="N44" s="287"/>
      <c r="O44" s="287"/>
      <c r="P44" s="287"/>
      <c r="Q44" s="288"/>
      <c r="R44" s="289">
        <f t="shared" si="7"/>
        <v>0</v>
      </c>
      <c r="S44" s="290">
        <f t="shared" si="9"/>
        <v>0</v>
      </c>
      <c r="T44" s="291"/>
      <c r="U44" s="291"/>
      <c r="V44" s="291"/>
      <c r="W44" s="291"/>
      <c r="X44" s="291"/>
      <c r="Y44" s="292"/>
      <c r="Z44" s="292"/>
      <c r="AA44" s="292"/>
      <c r="AB44" s="292"/>
      <c r="AC44" s="292"/>
      <c r="AD44" s="292"/>
      <c r="AE44" s="292"/>
      <c r="AF44" s="277"/>
      <c r="AG44" s="287" t="s">
        <v>277</v>
      </c>
      <c r="AH44" s="287"/>
      <c r="AI44" s="287"/>
      <c r="AJ44" s="287"/>
      <c r="AK44" s="288"/>
      <c r="AL44" s="287"/>
      <c r="AM44" s="287"/>
      <c r="AN44" s="287"/>
      <c r="AO44" s="288"/>
      <c r="AP44" s="287"/>
      <c r="AQ44" s="287"/>
      <c r="AR44" s="287"/>
      <c r="AS44" s="288"/>
      <c r="AT44" s="287"/>
      <c r="AU44" s="287"/>
      <c r="AV44" s="287"/>
      <c r="AW44" s="288"/>
      <c r="AX44" s="289">
        <f t="shared" si="8"/>
        <v>0</v>
      </c>
      <c r="AY44" s="290">
        <f t="shared" si="10"/>
        <v>0</v>
      </c>
      <c r="AZ44" s="292"/>
      <c r="BA44" s="292"/>
      <c r="BB44" s="292"/>
      <c r="BC44" s="292"/>
      <c r="BD44" s="292"/>
      <c r="BE44" s="292"/>
      <c r="BF44" s="292"/>
      <c r="BG44" s="292"/>
      <c r="BH44" s="292"/>
      <c r="BI44" s="292"/>
      <c r="BJ44" s="292"/>
      <c r="BK44" s="292"/>
    </row>
    <row r="45" spans="1:63" ht="18.75" x14ac:dyDescent="0.25">
      <c r="A45" s="287" t="s">
        <v>278</v>
      </c>
      <c r="B45" s="287"/>
      <c r="C45" s="287"/>
      <c r="D45" s="287"/>
      <c r="E45" s="288"/>
      <c r="F45" s="287"/>
      <c r="G45" s="287"/>
      <c r="H45" s="287"/>
      <c r="I45" s="288"/>
      <c r="J45" s="287"/>
      <c r="K45" s="287"/>
      <c r="L45" s="287"/>
      <c r="M45" s="288"/>
      <c r="N45" s="287"/>
      <c r="O45" s="287"/>
      <c r="P45" s="287"/>
      <c r="Q45" s="288"/>
      <c r="R45" s="289">
        <f t="shared" si="7"/>
        <v>0</v>
      </c>
      <c r="S45" s="290">
        <f t="shared" si="9"/>
        <v>0</v>
      </c>
      <c r="T45" s="291"/>
      <c r="U45" s="291"/>
      <c r="V45" s="291"/>
      <c r="W45" s="291"/>
      <c r="X45" s="291"/>
      <c r="Y45" s="292"/>
      <c r="Z45" s="292"/>
      <c r="AA45" s="292"/>
      <c r="AB45" s="292"/>
      <c r="AC45" s="292"/>
      <c r="AD45" s="292"/>
      <c r="AE45" s="292"/>
      <c r="AF45" s="277"/>
      <c r="AG45" s="287" t="s">
        <v>278</v>
      </c>
      <c r="AH45" s="287"/>
      <c r="AI45" s="287"/>
      <c r="AJ45" s="287"/>
      <c r="AK45" s="288"/>
      <c r="AL45" s="287"/>
      <c r="AM45" s="287"/>
      <c r="AN45" s="287"/>
      <c r="AO45" s="288"/>
      <c r="AP45" s="287"/>
      <c r="AQ45" s="287"/>
      <c r="AR45" s="287"/>
      <c r="AS45" s="288"/>
      <c r="AT45" s="287"/>
      <c r="AU45" s="287"/>
      <c r="AV45" s="287"/>
      <c r="AW45" s="288"/>
      <c r="AX45" s="289">
        <f t="shared" si="8"/>
        <v>0</v>
      </c>
      <c r="AY45" s="290">
        <f t="shared" si="10"/>
        <v>0</v>
      </c>
      <c r="AZ45" s="292"/>
      <c r="BA45" s="292"/>
      <c r="BB45" s="292"/>
      <c r="BC45" s="292"/>
      <c r="BD45" s="292"/>
      <c r="BE45" s="292"/>
      <c r="BF45" s="292"/>
      <c r="BG45" s="292"/>
      <c r="BH45" s="292"/>
      <c r="BI45" s="287"/>
      <c r="BJ45" s="287"/>
      <c r="BK45" s="287"/>
    </row>
    <row r="46" spans="1:63" ht="18.75" x14ac:dyDescent="0.25">
      <c r="A46" s="287" t="s">
        <v>279</v>
      </c>
      <c r="B46" s="287"/>
      <c r="C46" s="287"/>
      <c r="D46" s="287"/>
      <c r="E46" s="288"/>
      <c r="F46" s="287"/>
      <c r="G46" s="287"/>
      <c r="H46" s="287"/>
      <c r="I46" s="288"/>
      <c r="J46" s="287"/>
      <c r="K46" s="287"/>
      <c r="L46" s="287"/>
      <c r="M46" s="288"/>
      <c r="N46" s="287"/>
      <c r="O46" s="287"/>
      <c r="P46" s="287"/>
      <c r="Q46" s="288"/>
      <c r="R46" s="289">
        <f t="shared" si="7"/>
        <v>0</v>
      </c>
      <c r="S46" s="290">
        <f t="shared" si="9"/>
        <v>0</v>
      </c>
      <c r="T46" s="291"/>
      <c r="U46" s="291"/>
      <c r="V46" s="291"/>
      <c r="W46" s="291"/>
      <c r="X46" s="291"/>
      <c r="Y46" s="292"/>
      <c r="Z46" s="292"/>
      <c r="AA46" s="292"/>
      <c r="AB46" s="292"/>
      <c r="AC46" s="292"/>
      <c r="AD46" s="292"/>
      <c r="AE46" s="292"/>
      <c r="AF46" s="277"/>
      <c r="AG46" s="287" t="s">
        <v>279</v>
      </c>
      <c r="AH46" s="287"/>
      <c r="AI46" s="287"/>
      <c r="AJ46" s="287"/>
      <c r="AK46" s="288"/>
      <c r="AL46" s="287"/>
      <c r="AM46" s="287"/>
      <c r="AN46" s="287"/>
      <c r="AO46" s="288"/>
      <c r="AP46" s="287"/>
      <c r="AQ46" s="287"/>
      <c r="AR46" s="287"/>
      <c r="AS46" s="288"/>
      <c r="AT46" s="287"/>
      <c r="AU46" s="287"/>
      <c r="AV46" s="287"/>
      <c r="AW46" s="288"/>
      <c r="AX46" s="289">
        <f t="shared" si="8"/>
        <v>0</v>
      </c>
      <c r="AY46" s="290">
        <f t="shared" si="10"/>
        <v>0</v>
      </c>
      <c r="AZ46" s="292"/>
      <c r="BA46" s="292"/>
      <c r="BB46" s="292"/>
      <c r="BC46" s="292"/>
      <c r="BD46" s="292"/>
      <c r="BE46" s="292"/>
      <c r="BF46" s="292"/>
      <c r="BG46" s="292"/>
      <c r="BH46" s="292"/>
      <c r="BI46" s="287"/>
      <c r="BJ46" s="287"/>
      <c r="BK46" s="287"/>
    </row>
    <row r="47" spans="1:63" ht="18.75" x14ac:dyDescent="0.25">
      <c r="A47" s="287" t="s">
        <v>280</v>
      </c>
      <c r="B47" s="287"/>
      <c r="C47" s="287"/>
      <c r="D47" s="287"/>
      <c r="E47" s="288"/>
      <c r="F47" s="287"/>
      <c r="G47" s="287"/>
      <c r="H47" s="287"/>
      <c r="I47" s="288"/>
      <c r="J47" s="287"/>
      <c r="K47" s="287"/>
      <c r="L47" s="287"/>
      <c r="M47" s="288"/>
      <c r="N47" s="287"/>
      <c r="O47" s="287"/>
      <c r="P47" s="287"/>
      <c r="Q47" s="288"/>
      <c r="R47" s="289">
        <f t="shared" si="7"/>
        <v>0</v>
      </c>
      <c r="S47" s="290">
        <f t="shared" si="9"/>
        <v>0</v>
      </c>
      <c r="T47" s="291"/>
      <c r="U47" s="291"/>
      <c r="V47" s="291"/>
      <c r="W47" s="291"/>
      <c r="X47" s="291"/>
      <c r="Y47" s="292"/>
      <c r="Z47" s="292"/>
      <c r="AA47" s="292"/>
      <c r="AB47" s="292"/>
      <c r="AC47" s="292"/>
      <c r="AD47" s="292"/>
      <c r="AE47" s="292"/>
      <c r="AF47" s="277"/>
      <c r="AG47" s="287" t="s">
        <v>280</v>
      </c>
      <c r="AH47" s="287"/>
      <c r="AI47" s="287"/>
      <c r="AJ47" s="287"/>
      <c r="AK47" s="288"/>
      <c r="AL47" s="287"/>
      <c r="AM47" s="287"/>
      <c r="AN47" s="287"/>
      <c r="AO47" s="288"/>
      <c r="AP47" s="287"/>
      <c r="AQ47" s="287"/>
      <c r="AR47" s="287"/>
      <c r="AS47" s="288"/>
      <c r="AT47" s="287"/>
      <c r="AU47" s="287"/>
      <c r="AV47" s="287"/>
      <c r="AW47" s="288"/>
      <c r="AX47" s="289">
        <f t="shared" si="8"/>
        <v>0</v>
      </c>
      <c r="AY47" s="290">
        <f t="shared" si="10"/>
        <v>0</v>
      </c>
      <c r="AZ47" s="292"/>
      <c r="BA47" s="292"/>
      <c r="BB47" s="292"/>
      <c r="BC47" s="292"/>
      <c r="BD47" s="292"/>
      <c r="BE47" s="292"/>
      <c r="BF47" s="292"/>
      <c r="BG47" s="292"/>
      <c r="BH47" s="292"/>
      <c r="BI47" s="287"/>
      <c r="BJ47" s="287"/>
      <c r="BK47" s="287"/>
    </row>
    <row r="48" spans="1:63" ht="18.75" x14ac:dyDescent="0.25">
      <c r="A48" s="287" t="s">
        <v>281</v>
      </c>
      <c r="B48" s="287"/>
      <c r="C48" s="287"/>
      <c r="D48" s="287"/>
      <c r="E48" s="288"/>
      <c r="F48" s="287"/>
      <c r="G48" s="287"/>
      <c r="H48" s="287"/>
      <c r="I48" s="288"/>
      <c r="J48" s="287"/>
      <c r="K48" s="287"/>
      <c r="L48" s="287"/>
      <c r="M48" s="288"/>
      <c r="N48" s="287"/>
      <c r="O48" s="287"/>
      <c r="P48" s="287"/>
      <c r="Q48" s="288"/>
      <c r="R48" s="289">
        <f t="shared" si="7"/>
        <v>0</v>
      </c>
      <c r="S48" s="290">
        <f t="shared" si="9"/>
        <v>0</v>
      </c>
      <c r="T48" s="291"/>
      <c r="U48" s="291"/>
      <c r="V48" s="291"/>
      <c r="W48" s="291"/>
      <c r="X48" s="291"/>
      <c r="Y48" s="292"/>
      <c r="Z48" s="292"/>
      <c r="AA48" s="292"/>
      <c r="AB48" s="292"/>
      <c r="AC48" s="292"/>
      <c r="AD48" s="292"/>
      <c r="AE48" s="292"/>
      <c r="AF48" s="277"/>
      <c r="AG48" s="287" t="s">
        <v>281</v>
      </c>
      <c r="AH48" s="287"/>
      <c r="AI48" s="287"/>
      <c r="AJ48" s="287"/>
      <c r="AK48" s="288"/>
      <c r="AL48" s="287"/>
      <c r="AM48" s="287"/>
      <c r="AN48" s="287"/>
      <c r="AO48" s="288"/>
      <c r="AP48" s="287"/>
      <c r="AQ48" s="287"/>
      <c r="AR48" s="287"/>
      <c r="AS48" s="288"/>
      <c r="AT48" s="287"/>
      <c r="AU48" s="287"/>
      <c r="AV48" s="287"/>
      <c r="AW48" s="288"/>
      <c r="AX48" s="289">
        <f t="shared" si="8"/>
        <v>0</v>
      </c>
      <c r="AY48" s="290">
        <f t="shared" si="10"/>
        <v>0</v>
      </c>
      <c r="AZ48" s="292"/>
      <c r="BA48" s="292"/>
      <c r="BB48" s="292"/>
      <c r="BC48" s="292"/>
      <c r="BD48" s="292"/>
      <c r="BE48" s="292"/>
      <c r="BF48" s="292"/>
      <c r="BG48" s="292"/>
      <c r="BH48" s="292"/>
      <c r="BI48" s="292"/>
      <c r="BJ48" s="292"/>
      <c r="BK48" s="292"/>
    </row>
    <row r="49" spans="1:63" ht="18.75" x14ac:dyDescent="0.25">
      <c r="A49" s="287" t="s">
        <v>282</v>
      </c>
      <c r="B49" s="287"/>
      <c r="C49" s="287"/>
      <c r="D49" s="287"/>
      <c r="E49" s="288"/>
      <c r="F49" s="287"/>
      <c r="G49" s="287"/>
      <c r="H49" s="287"/>
      <c r="I49" s="288"/>
      <c r="J49" s="287"/>
      <c r="K49" s="287"/>
      <c r="L49" s="287"/>
      <c r="M49" s="288"/>
      <c r="N49" s="287"/>
      <c r="O49" s="287"/>
      <c r="P49" s="287"/>
      <c r="Q49" s="288"/>
      <c r="R49" s="289">
        <f t="shared" si="7"/>
        <v>0</v>
      </c>
      <c r="S49" s="290">
        <f t="shared" si="9"/>
        <v>0</v>
      </c>
      <c r="T49" s="291"/>
      <c r="U49" s="291"/>
      <c r="V49" s="291"/>
      <c r="W49" s="291"/>
      <c r="X49" s="291"/>
      <c r="Y49" s="292"/>
      <c r="Z49" s="292"/>
      <c r="AA49" s="292"/>
      <c r="AB49" s="292"/>
      <c r="AC49" s="292"/>
      <c r="AD49" s="292"/>
      <c r="AE49" s="292"/>
      <c r="AF49" s="277"/>
      <c r="AG49" s="287" t="s">
        <v>282</v>
      </c>
      <c r="AH49" s="287"/>
      <c r="AI49" s="287"/>
      <c r="AJ49" s="287"/>
      <c r="AK49" s="288"/>
      <c r="AL49" s="287"/>
      <c r="AM49" s="287"/>
      <c r="AN49" s="287"/>
      <c r="AO49" s="288"/>
      <c r="AP49" s="287"/>
      <c r="AQ49" s="287"/>
      <c r="AR49" s="287"/>
      <c r="AS49" s="288"/>
      <c r="AT49" s="287"/>
      <c r="AU49" s="287"/>
      <c r="AV49" s="287"/>
      <c r="AW49" s="288"/>
      <c r="AX49" s="289">
        <f t="shared" si="8"/>
        <v>0</v>
      </c>
      <c r="AY49" s="290">
        <f t="shared" si="10"/>
        <v>0</v>
      </c>
      <c r="AZ49" s="292"/>
      <c r="BA49" s="292"/>
      <c r="BB49" s="292"/>
      <c r="BC49" s="292"/>
      <c r="BD49" s="292"/>
      <c r="BE49" s="292"/>
      <c r="BF49" s="292"/>
      <c r="BG49" s="292"/>
      <c r="BH49" s="292"/>
      <c r="BI49" s="292"/>
      <c r="BJ49" s="292"/>
      <c r="BK49" s="292"/>
    </row>
    <row r="50" spans="1:63" ht="18.75" x14ac:dyDescent="0.25">
      <c r="A50" s="287" t="s">
        <v>283</v>
      </c>
      <c r="B50" s="287"/>
      <c r="C50" s="287"/>
      <c r="D50" s="287"/>
      <c r="E50" s="288"/>
      <c r="F50" s="287"/>
      <c r="G50" s="287"/>
      <c r="H50" s="287"/>
      <c r="I50" s="288"/>
      <c r="J50" s="287"/>
      <c r="K50" s="287"/>
      <c r="L50" s="287"/>
      <c r="M50" s="288"/>
      <c r="N50" s="287"/>
      <c r="O50" s="287"/>
      <c r="P50" s="287"/>
      <c r="Q50" s="288"/>
      <c r="R50" s="289">
        <f t="shared" si="7"/>
        <v>0</v>
      </c>
      <c r="S50" s="290">
        <f t="shared" si="9"/>
        <v>0</v>
      </c>
      <c r="T50" s="291"/>
      <c r="U50" s="291"/>
      <c r="V50" s="291"/>
      <c r="W50" s="291"/>
      <c r="X50" s="291"/>
      <c r="Y50" s="292"/>
      <c r="Z50" s="292"/>
      <c r="AA50" s="292"/>
      <c r="AB50" s="292"/>
      <c r="AC50" s="292"/>
      <c r="AD50" s="292"/>
      <c r="AE50" s="292"/>
      <c r="AF50" s="277"/>
      <c r="AG50" s="287" t="s">
        <v>283</v>
      </c>
      <c r="AH50" s="287"/>
      <c r="AI50" s="287"/>
      <c r="AJ50" s="287"/>
      <c r="AK50" s="288"/>
      <c r="AL50" s="287"/>
      <c r="AM50" s="287"/>
      <c r="AN50" s="287"/>
      <c r="AO50" s="288"/>
      <c r="AP50" s="287"/>
      <c r="AQ50" s="287"/>
      <c r="AR50" s="287"/>
      <c r="AS50" s="288"/>
      <c r="AT50" s="287"/>
      <c r="AU50" s="287"/>
      <c r="AV50" s="287"/>
      <c r="AW50" s="288"/>
      <c r="AX50" s="289">
        <f t="shared" si="8"/>
        <v>0</v>
      </c>
      <c r="AY50" s="290">
        <f t="shared" si="10"/>
        <v>0</v>
      </c>
      <c r="AZ50" s="292"/>
      <c r="BA50" s="292"/>
      <c r="BB50" s="292"/>
      <c r="BC50" s="292"/>
      <c r="BD50" s="292"/>
      <c r="BE50" s="292"/>
      <c r="BF50" s="292"/>
      <c r="BG50" s="292"/>
      <c r="BH50" s="292"/>
      <c r="BI50" s="292"/>
      <c r="BJ50" s="292"/>
      <c r="BK50" s="292"/>
    </row>
    <row r="51" spans="1:63" ht="18.75" x14ac:dyDescent="0.25">
      <c r="A51" s="287" t="s">
        <v>284</v>
      </c>
      <c r="B51" s="287"/>
      <c r="C51" s="287"/>
      <c r="D51" s="287"/>
      <c r="E51" s="288"/>
      <c r="F51" s="287"/>
      <c r="G51" s="287"/>
      <c r="H51" s="287"/>
      <c r="I51" s="288"/>
      <c r="J51" s="287"/>
      <c r="K51" s="287"/>
      <c r="L51" s="287"/>
      <c r="M51" s="288"/>
      <c r="N51" s="287"/>
      <c r="O51" s="287"/>
      <c r="P51" s="287"/>
      <c r="Q51" s="288"/>
      <c r="R51" s="289">
        <f t="shared" si="7"/>
        <v>0</v>
      </c>
      <c r="S51" s="290">
        <f t="shared" si="9"/>
        <v>0</v>
      </c>
      <c r="T51" s="291"/>
      <c r="U51" s="291"/>
      <c r="V51" s="291"/>
      <c r="W51" s="291"/>
      <c r="X51" s="291"/>
      <c r="Y51" s="292"/>
      <c r="Z51" s="292"/>
      <c r="AA51" s="292"/>
      <c r="AB51" s="292"/>
      <c r="AC51" s="292"/>
      <c r="AD51" s="292"/>
      <c r="AE51" s="292"/>
      <c r="AF51" s="277"/>
      <c r="AG51" s="287" t="s">
        <v>284</v>
      </c>
      <c r="AH51" s="287"/>
      <c r="AI51" s="287"/>
      <c r="AJ51" s="287"/>
      <c r="AK51" s="288"/>
      <c r="AL51" s="287"/>
      <c r="AM51" s="287"/>
      <c r="AN51" s="287"/>
      <c r="AO51" s="288"/>
      <c r="AP51" s="287"/>
      <c r="AQ51" s="287"/>
      <c r="AR51" s="287"/>
      <c r="AS51" s="288"/>
      <c r="AT51" s="287"/>
      <c r="AU51" s="287"/>
      <c r="AV51" s="287"/>
      <c r="AW51" s="288"/>
      <c r="AX51" s="289">
        <f t="shared" si="8"/>
        <v>0</v>
      </c>
      <c r="AY51" s="290">
        <f t="shared" si="10"/>
        <v>0</v>
      </c>
      <c r="AZ51" s="292"/>
      <c r="BA51" s="292"/>
      <c r="BB51" s="292"/>
      <c r="BC51" s="292"/>
      <c r="BD51" s="292"/>
      <c r="BE51" s="292"/>
      <c r="BF51" s="292"/>
      <c r="BG51" s="292"/>
      <c r="BH51" s="292"/>
      <c r="BI51" s="292"/>
      <c r="BJ51" s="292"/>
      <c r="BK51" s="292"/>
    </row>
    <row r="52" spans="1:63" ht="18.75" x14ac:dyDescent="0.25">
      <c r="A52" s="287" t="s">
        <v>285</v>
      </c>
      <c r="B52" s="287"/>
      <c r="C52" s="287"/>
      <c r="D52" s="287"/>
      <c r="E52" s="288"/>
      <c r="F52" s="287"/>
      <c r="G52" s="287"/>
      <c r="H52" s="287"/>
      <c r="I52" s="288"/>
      <c r="J52" s="287"/>
      <c r="K52" s="287"/>
      <c r="L52" s="287"/>
      <c r="M52" s="288"/>
      <c r="N52" s="287"/>
      <c r="O52" s="287"/>
      <c r="P52" s="287"/>
      <c r="Q52" s="288"/>
      <c r="R52" s="289">
        <f t="shared" si="7"/>
        <v>0</v>
      </c>
      <c r="S52" s="290">
        <f t="shared" si="9"/>
        <v>0</v>
      </c>
      <c r="T52" s="291"/>
      <c r="U52" s="291"/>
      <c r="V52" s="291"/>
      <c r="W52" s="291"/>
      <c r="X52" s="291"/>
      <c r="Y52" s="292"/>
      <c r="Z52" s="292"/>
      <c r="AA52" s="292"/>
      <c r="AB52" s="292"/>
      <c r="AC52" s="292"/>
      <c r="AD52" s="292"/>
      <c r="AE52" s="292"/>
      <c r="AF52" s="277"/>
      <c r="AG52" s="287" t="s">
        <v>285</v>
      </c>
      <c r="AH52" s="287"/>
      <c r="AI52" s="287"/>
      <c r="AJ52" s="287"/>
      <c r="AK52" s="288"/>
      <c r="AL52" s="287"/>
      <c r="AM52" s="287"/>
      <c r="AN52" s="287"/>
      <c r="AO52" s="288"/>
      <c r="AP52" s="287"/>
      <c r="AQ52" s="287"/>
      <c r="AR52" s="287"/>
      <c r="AS52" s="288"/>
      <c r="AT52" s="287"/>
      <c r="AU52" s="287"/>
      <c r="AV52" s="287"/>
      <c r="AW52" s="288"/>
      <c r="AX52" s="289">
        <f t="shared" si="8"/>
        <v>0</v>
      </c>
      <c r="AY52" s="290">
        <f t="shared" si="10"/>
        <v>0</v>
      </c>
      <c r="AZ52" s="292"/>
      <c r="BA52" s="292"/>
      <c r="BB52" s="292"/>
      <c r="BC52" s="292"/>
      <c r="BD52" s="292"/>
      <c r="BE52" s="292"/>
      <c r="BF52" s="292"/>
      <c r="BG52" s="292"/>
      <c r="BH52" s="292"/>
      <c r="BI52" s="292"/>
      <c r="BJ52" s="292"/>
      <c r="BK52" s="292"/>
    </row>
    <row r="53" spans="1:63" ht="18.75" x14ac:dyDescent="0.25">
      <c r="A53" s="287" t="s">
        <v>286</v>
      </c>
      <c r="B53" s="287"/>
      <c r="C53" s="287"/>
      <c r="D53" s="287"/>
      <c r="E53" s="288"/>
      <c r="F53" s="287"/>
      <c r="G53" s="287"/>
      <c r="H53" s="287"/>
      <c r="I53" s="288"/>
      <c r="J53" s="287"/>
      <c r="K53" s="287"/>
      <c r="L53" s="287"/>
      <c r="M53" s="288"/>
      <c r="N53" s="287"/>
      <c r="O53" s="287"/>
      <c r="P53" s="287"/>
      <c r="Q53" s="288"/>
      <c r="R53" s="289">
        <f t="shared" si="7"/>
        <v>0</v>
      </c>
      <c r="S53" s="290">
        <f t="shared" si="9"/>
        <v>0</v>
      </c>
      <c r="T53" s="291"/>
      <c r="U53" s="291"/>
      <c r="V53" s="291"/>
      <c r="W53" s="291"/>
      <c r="X53" s="291"/>
      <c r="Y53" s="292"/>
      <c r="Z53" s="292"/>
      <c r="AA53" s="292"/>
      <c r="AB53" s="292"/>
      <c r="AC53" s="292"/>
      <c r="AD53" s="292"/>
      <c r="AE53" s="292"/>
      <c r="AF53" s="277"/>
      <c r="AG53" s="287" t="s">
        <v>286</v>
      </c>
      <c r="AH53" s="287"/>
      <c r="AI53" s="287"/>
      <c r="AJ53" s="287"/>
      <c r="AK53" s="288"/>
      <c r="AL53" s="287"/>
      <c r="AM53" s="287"/>
      <c r="AN53" s="287"/>
      <c r="AO53" s="288"/>
      <c r="AP53" s="287"/>
      <c r="AQ53" s="287"/>
      <c r="AR53" s="287"/>
      <c r="AS53" s="288"/>
      <c r="AT53" s="287"/>
      <c r="AU53" s="287"/>
      <c r="AV53" s="287"/>
      <c r="AW53" s="288"/>
      <c r="AX53" s="289">
        <f t="shared" si="8"/>
        <v>0</v>
      </c>
      <c r="AY53" s="290">
        <f t="shared" si="10"/>
        <v>0</v>
      </c>
      <c r="AZ53" s="292"/>
      <c r="BA53" s="292"/>
      <c r="BB53" s="292"/>
      <c r="BC53" s="292"/>
      <c r="BD53" s="292"/>
      <c r="BE53" s="292"/>
      <c r="BF53" s="292"/>
      <c r="BG53" s="292"/>
      <c r="BH53" s="292"/>
      <c r="BI53" s="292"/>
      <c r="BJ53" s="292"/>
      <c r="BK53" s="292"/>
    </row>
    <row r="54" spans="1:63" ht="18.75" x14ac:dyDescent="0.25">
      <c r="A54" s="287" t="s">
        <v>287</v>
      </c>
      <c r="B54" s="287"/>
      <c r="C54" s="287"/>
      <c r="D54" s="287"/>
      <c r="E54" s="288"/>
      <c r="F54" s="287"/>
      <c r="G54" s="287"/>
      <c r="H54" s="287"/>
      <c r="I54" s="288"/>
      <c r="J54" s="287"/>
      <c r="K54" s="287"/>
      <c r="L54" s="287"/>
      <c r="M54" s="288"/>
      <c r="N54" s="287"/>
      <c r="O54" s="287"/>
      <c r="P54" s="287"/>
      <c r="Q54" s="288"/>
      <c r="R54" s="289">
        <f t="shared" si="7"/>
        <v>0</v>
      </c>
      <c r="S54" s="290">
        <f t="shared" si="9"/>
        <v>0</v>
      </c>
      <c r="T54" s="291"/>
      <c r="U54" s="291"/>
      <c r="V54" s="291"/>
      <c r="W54" s="291"/>
      <c r="X54" s="291"/>
      <c r="Y54" s="292"/>
      <c r="Z54" s="292"/>
      <c r="AA54" s="292"/>
      <c r="AB54" s="292"/>
      <c r="AC54" s="292"/>
      <c r="AD54" s="292"/>
      <c r="AE54" s="292"/>
      <c r="AF54" s="277"/>
      <c r="AG54" s="287" t="s">
        <v>287</v>
      </c>
      <c r="AH54" s="287"/>
      <c r="AI54" s="287"/>
      <c r="AJ54" s="287"/>
      <c r="AK54" s="288"/>
      <c r="AL54" s="287"/>
      <c r="AM54" s="287"/>
      <c r="AN54" s="287"/>
      <c r="AO54" s="288"/>
      <c r="AP54" s="287"/>
      <c r="AQ54" s="287"/>
      <c r="AR54" s="287"/>
      <c r="AS54" s="288"/>
      <c r="AT54" s="287"/>
      <c r="AU54" s="287"/>
      <c r="AV54" s="287"/>
      <c r="AW54" s="288"/>
      <c r="AX54" s="289">
        <f t="shared" si="8"/>
        <v>0</v>
      </c>
      <c r="AY54" s="290">
        <f t="shared" si="10"/>
        <v>0</v>
      </c>
      <c r="AZ54" s="292"/>
      <c r="BA54" s="292"/>
      <c r="BB54" s="292"/>
      <c r="BC54" s="292"/>
      <c r="BD54" s="292"/>
      <c r="BE54" s="292"/>
      <c r="BF54" s="292"/>
      <c r="BG54" s="292"/>
      <c r="BH54" s="292"/>
      <c r="BI54" s="292"/>
      <c r="BJ54" s="292"/>
      <c r="BK54" s="292"/>
    </row>
    <row r="55" spans="1:63" ht="18.75" x14ac:dyDescent="0.25">
      <c r="A55" s="287" t="s">
        <v>288</v>
      </c>
      <c r="B55" s="287"/>
      <c r="C55" s="287"/>
      <c r="D55" s="287"/>
      <c r="E55" s="288"/>
      <c r="F55" s="287"/>
      <c r="G55" s="287"/>
      <c r="H55" s="287"/>
      <c r="I55" s="288"/>
      <c r="J55" s="287"/>
      <c r="K55" s="287"/>
      <c r="L55" s="287"/>
      <c r="M55" s="288"/>
      <c r="N55" s="287"/>
      <c r="O55" s="287"/>
      <c r="P55" s="287"/>
      <c r="Q55" s="288"/>
      <c r="R55" s="289">
        <f t="shared" si="7"/>
        <v>0</v>
      </c>
      <c r="S55" s="290">
        <f t="shared" si="9"/>
        <v>0</v>
      </c>
      <c r="T55" s="291"/>
      <c r="U55" s="291"/>
      <c r="V55" s="291"/>
      <c r="W55" s="291"/>
      <c r="X55" s="291"/>
      <c r="Y55" s="292"/>
      <c r="Z55" s="292"/>
      <c r="AA55" s="292"/>
      <c r="AB55" s="292"/>
      <c r="AC55" s="292"/>
      <c r="AD55" s="292"/>
      <c r="AE55" s="292"/>
      <c r="AF55" s="277"/>
      <c r="AG55" s="287" t="s">
        <v>288</v>
      </c>
      <c r="AH55" s="287"/>
      <c r="AI55" s="287"/>
      <c r="AJ55" s="287"/>
      <c r="AK55" s="288"/>
      <c r="AL55" s="287"/>
      <c r="AM55" s="287"/>
      <c r="AN55" s="287"/>
      <c r="AO55" s="288"/>
      <c r="AP55" s="287"/>
      <c r="AQ55" s="287"/>
      <c r="AR55" s="287"/>
      <c r="AS55" s="288"/>
      <c r="AT55" s="287"/>
      <c r="AU55" s="287"/>
      <c r="AV55" s="287"/>
      <c r="AW55" s="288"/>
      <c r="AX55" s="289">
        <f t="shared" si="8"/>
        <v>0</v>
      </c>
      <c r="AY55" s="290">
        <f t="shared" si="10"/>
        <v>0</v>
      </c>
      <c r="AZ55" s="292"/>
      <c r="BA55" s="292"/>
      <c r="BB55" s="292"/>
      <c r="BC55" s="292"/>
      <c r="BD55" s="292"/>
      <c r="BE55" s="292"/>
      <c r="BF55" s="292"/>
      <c r="BG55" s="292"/>
      <c r="BH55" s="292"/>
      <c r="BI55" s="292"/>
      <c r="BJ55" s="292"/>
      <c r="BK55" s="292"/>
    </row>
    <row r="56" spans="1:63" ht="18.75" x14ac:dyDescent="0.25">
      <c r="A56" s="287" t="s">
        <v>289</v>
      </c>
      <c r="B56" s="287"/>
      <c r="C56" s="287"/>
      <c r="D56" s="287"/>
      <c r="E56" s="288"/>
      <c r="F56" s="287"/>
      <c r="G56" s="287"/>
      <c r="H56" s="287"/>
      <c r="I56" s="288"/>
      <c r="J56" s="287"/>
      <c r="K56" s="287"/>
      <c r="L56" s="287"/>
      <c r="M56" s="288"/>
      <c r="N56" s="287"/>
      <c r="O56" s="287"/>
      <c r="P56" s="287"/>
      <c r="Q56" s="288"/>
      <c r="R56" s="289">
        <f t="shared" si="7"/>
        <v>0</v>
      </c>
      <c r="S56" s="290">
        <f t="shared" si="9"/>
        <v>0</v>
      </c>
      <c r="T56" s="291"/>
      <c r="U56" s="291"/>
      <c r="V56" s="291"/>
      <c r="W56" s="291"/>
      <c r="X56" s="291"/>
      <c r="Y56" s="292"/>
      <c r="Z56" s="292"/>
      <c r="AA56" s="292"/>
      <c r="AB56" s="292"/>
      <c r="AC56" s="292"/>
      <c r="AD56" s="292"/>
      <c r="AE56" s="292"/>
      <c r="AF56" s="277"/>
      <c r="AG56" s="287" t="s">
        <v>289</v>
      </c>
      <c r="AH56" s="287"/>
      <c r="AI56" s="287"/>
      <c r="AJ56" s="287"/>
      <c r="AK56" s="288"/>
      <c r="AL56" s="287"/>
      <c r="AM56" s="287"/>
      <c r="AN56" s="287"/>
      <c r="AO56" s="288"/>
      <c r="AP56" s="287"/>
      <c r="AQ56" s="287"/>
      <c r="AR56" s="287"/>
      <c r="AS56" s="288"/>
      <c r="AT56" s="287"/>
      <c r="AU56" s="287"/>
      <c r="AV56" s="287"/>
      <c r="AW56" s="288"/>
      <c r="AX56" s="289">
        <f t="shared" si="8"/>
        <v>0</v>
      </c>
      <c r="AY56" s="290">
        <f t="shared" si="10"/>
        <v>0</v>
      </c>
      <c r="AZ56" s="292"/>
      <c r="BA56" s="292"/>
      <c r="BB56" s="292"/>
      <c r="BC56" s="292"/>
      <c r="BD56" s="292"/>
      <c r="BE56" s="292"/>
      <c r="BF56" s="292"/>
      <c r="BG56" s="292"/>
      <c r="BH56" s="292"/>
      <c r="BI56" s="292"/>
      <c r="BJ56" s="292"/>
      <c r="BK56" s="292"/>
    </row>
    <row r="57" spans="1:63" ht="18.75" x14ac:dyDescent="0.25">
      <c r="A57" s="287" t="s">
        <v>290</v>
      </c>
      <c r="B57" s="287"/>
      <c r="C57" s="287"/>
      <c r="D57" s="287"/>
      <c r="E57" s="288"/>
      <c r="F57" s="287"/>
      <c r="G57" s="287"/>
      <c r="H57" s="287"/>
      <c r="I57" s="288"/>
      <c r="J57" s="287"/>
      <c r="K57" s="287"/>
      <c r="L57" s="287"/>
      <c r="M57" s="288"/>
      <c r="N57" s="287"/>
      <c r="O57" s="287"/>
      <c r="P57" s="287"/>
      <c r="Q57" s="288"/>
      <c r="R57" s="289">
        <f t="shared" si="7"/>
        <v>0</v>
      </c>
      <c r="S57" s="290">
        <f t="shared" si="9"/>
        <v>0</v>
      </c>
      <c r="T57" s="291"/>
      <c r="U57" s="291"/>
      <c r="V57" s="291"/>
      <c r="W57" s="291"/>
      <c r="X57" s="291"/>
      <c r="Y57" s="292"/>
      <c r="Z57" s="292"/>
      <c r="AA57" s="292"/>
      <c r="AB57" s="292"/>
      <c r="AC57" s="292"/>
      <c r="AD57" s="292"/>
      <c r="AE57" s="292"/>
      <c r="AF57" s="277"/>
      <c r="AG57" s="287" t="s">
        <v>290</v>
      </c>
      <c r="AH57" s="287"/>
      <c r="AI57" s="287"/>
      <c r="AJ57" s="287"/>
      <c r="AK57" s="288"/>
      <c r="AL57" s="287"/>
      <c r="AM57" s="287"/>
      <c r="AN57" s="287"/>
      <c r="AO57" s="288"/>
      <c r="AP57" s="287"/>
      <c r="AQ57" s="287"/>
      <c r="AR57" s="287"/>
      <c r="AS57" s="288"/>
      <c r="AT57" s="287"/>
      <c r="AU57" s="287"/>
      <c r="AV57" s="287"/>
      <c r="AW57" s="288"/>
      <c r="AX57" s="289">
        <f t="shared" si="8"/>
        <v>0</v>
      </c>
      <c r="AY57" s="290">
        <f t="shared" si="10"/>
        <v>0</v>
      </c>
      <c r="AZ57" s="292"/>
      <c r="BA57" s="292"/>
      <c r="BB57" s="292"/>
      <c r="BC57" s="292"/>
      <c r="BD57" s="292"/>
      <c r="BE57" s="292"/>
      <c r="BF57" s="292"/>
      <c r="BG57" s="292"/>
      <c r="BH57" s="292"/>
      <c r="BI57" s="292"/>
      <c r="BJ57" s="292"/>
      <c r="BK57" s="292"/>
    </row>
    <row r="58" spans="1:63" ht="18.75" x14ac:dyDescent="0.25">
      <c r="A58" s="294" t="s">
        <v>291</v>
      </c>
      <c r="B58" s="295">
        <f t="shared" ref="B58:Q58" si="11">SUM(B37:B57)</f>
        <v>0</v>
      </c>
      <c r="C58" s="295">
        <f t="shared" si="11"/>
        <v>0</v>
      </c>
      <c r="D58" s="295">
        <f t="shared" si="11"/>
        <v>0</v>
      </c>
      <c r="E58" s="296">
        <f t="shared" si="11"/>
        <v>0</v>
      </c>
      <c r="F58" s="295">
        <f t="shared" si="11"/>
        <v>0</v>
      </c>
      <c r="G58" s="295">
        <f t="shared" si="11"/>
        <v>0</v>
      </c>
      <c r="H58" s="295">
        <f t="shared" si="11"/>
        <v>0</v>
      </c>
      <c r="I58" s="296">
        <f t="shared" si="11"/>
        <v>0</v>
      </c>
      <c r="J58" s="295">
        <f t="shared" si="11"/>
        <v>0</v>
      </c>
      <c r="K58" s="295">
        <f t="shared" si="11"/>
        <v>0</v>
      </c>
      <c r="L58" s="295">
        <f t="shared" si="11"/>
        <v>0</v>
      </c>
      <c r="M58" s="296">
        <f t="shared" si="11"/>
        <v>0</v>
      </c>
      <c r="N58" s="295">
        <f t="shared" si="11"/>
        <v>0</v>
      </c>
      <c r="O58" s="295">
        <f t="shared" si="11"/>
        <v>0</v>
      </c>
      <c r="P58" s="295">
        <f t="shared" si="11"/>
        <v>0</v>
      </c>
      <c r="Q58" s="296">
        <f t="shared" si="11"/>
        <v>0</v>
      </c>
      <c r="R58" s="295">
        <f t="shared" ref="R58:AE58" si="12">SUM(R37:R57)</f>
        <v>0</v>
      </c>
      <c r="S58" s="290">
        <f t="shared" si="12"/>
        <v>0</v>
      </c>
      <c r="T58" s="295">
        <f t="shared" si="12"/>
        <v>0</v>
      </c>
      <c r="U58" s="295">
        <f t="shared" si="12"/>
        <v>0</v>
      </c>
      <c r="V58" s="295">
        <f t="shared" si="12"/>
        <v>0</v>
      </c>
      <c r="W58" s="295">
        <f t="shared" si="12"/>
        <v>0</v>
      </c>
      <c r="X58" s="295">
        <f t="shared" si="12"/>
        <v>0</v>
      </c>
      <c r="Y58" s="295">
        <f t="shared" si="12"/>
        <v>0</v>
      </c>
      <c r="Z58" s="295">
        <f t="shared" si="12"/>
        <v>0</v>
      </c>
      <c r="AA58" s="295">
        <f t="shared" si="12"/>
        <v>0</v>
      </c>
      <c r="AB58" s="295">
        <f t="shared" si="12"/>
        <v>0</v>
      </c>
      <c r="AC58" s="295">
        <f t="shared" si="12"/>
        <v>0</v>
      </c>
      <c r="AD58" s="295">
        <f t="shared" si="12"/>
        <v>0</v>
      </c>
      <c r="AE58" s="295">
        <f t="shared" si="12"/>
        <v>0</v>
      </c>
      <c r="AF58" s="277"/>
      <c r="AG58" s="294" t="s">
        <v>291</v>
      </c>
      <c r="AH58" s="295">
        <f t="shared" ref="AH58:AW58" si="13">SUM(AH37:AH57)</f>
        <v>0</v>
      </c>
      <c r="AI58" s="295">
        <f t="shared" si="13"/>
        <v>0</v>
      </c>
      <c r="AJ58" s="295">
        <f t="shared" si="13"/>
        <v>0</v>
      </c>
      <c r="AK58" s="296">
        <f t="shared" si="13"/>
        <v>0</v>
      </c>
      <c r="AL58" s="295">
        <f t="shared" si="13"/>
        <v>0</v>
      </c>
      <c r="AM58" s="295">
        <f t="shared" si="13"/>
        <v>0</v>
      </c>
      <c r="AN58" s="295">
        <f t="shared" si="13"/>
        <v>0</v>
      </c>
      <c r="AO58" s="296">
        <f t="shared" si="13"/>
        <v>0</v>
      </c>
      <c r="AP58" s="295">
        <f t="shared" si="13"/>
        <v>0</v>
      </c>
      <c r="AQ58" s="295">
        <f t="shared" si="13"/>
        <v>0</v>
      </c>
      <c r="AR58" s="295">
        <f t="shared" si="13"/>
        <v>0</v>
      </c>
      <c r="AS58" s="296">
        <f t="shared" si="13"/>
        <v>0</v>
      </c>
      <c r="AT58" s="295">
        <f t="shared" si="13"/>
        <v>0</v>
      </c>
      <c r="AU58" s="295">
        <f t="shared" si="13"/>
        <v>0</v>
      </c>
      <c r="AV58" s="295">
        <f t="shared" si="13"/>
        <v>0</v>
      </c>
      <c r="AW58" s="296">
        <f t="shared" si="13"/>
        <v>0</v>
      </c>
      <c r="AX58" s="297">
        <f t="shared" ref="AX58:BK58" si="14">SUM(AX37:AX57)</f>
        <v>0</v>
      </c>
      <c r="AY58" s="298">
        <f t="shared" si="14"/>
        <v>0</v>
      </c>
      <c r="AZ58" s="295">
        <f t="shared" si="14"/>
        <v>0</v>
      </c>
      <c r="BA58" s="295">
        <f t="shared" si="14"/>
        <v>0</v>
      </c>
      <c r="BB58" s="295">
        <f t="shared" si="14"/>
        <v>0</v>
      </c>
      <c r="BC58" s="295">
        <f t="shared" si="14"/>
        <v>0</v>
      </c>
      <c r="BD58" s="295">
        <f t="shared" si="14"/>
        <v>0</v>
      </c>
      <c r="BE58" s="295">
        <f t="shared" si="14"/>
        <v>0</v>
      </c>
      <c r="BF58" s="295">
        <f t="shared" si="14"/>
        <v>0</v>
      </c>
      <c r="BG58" s="295">
        <f t="shared" si="14"/>
        <v>0</v>
      </c>
      <c r="BH58" s="295">
        <f t="shared" si="14"/>
        <v>0</v>
      </c>
      <c r="BI58" s="295">
        <f t="shared" si="14"/>
        <v>0</v>
      </c>
      <c r="BJ58" s="295">
        <f t="shared" si="14"/>
        <v>0</v>
      </c>
      <c r="BK58" s="295">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5" right="0.75" top="1" bottom="1" header="0.3" footer="0.3"/>
  <pageSetup paperSize="9" scale="2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45"/>
  <sheetViews>
    <sheetView topLeftCell="A2" zoomScale="90" zoomScaleNormal="90" workbookViewId="0">
      <selection activeCell="A2" sqref="A2:B2"/>
    </sheetView>
  </sheetViews>
  <sheetFormatPr baseColWidth="10" defaultColWidth="10.7109375" defaultRowHeight="15" x14ac:dyDescent="0.25"/>
  <cols>
    <col min="1" max="1" width="72" style="125" bestFit="1" customWidth="1"/>
    <col min="2" max="2" width="73.42578125" style="125" customWidth="1"/>
    <col min="3" max="3" width="10.7109375" style="125"/>
    <col min="4" max="4" width="31.140625" style="125" customWidth="1"/>
    <col min="5" max="5" width="70.140625" style="125" customWidth="1"/>
    <col min="6" max="6" width="17.28515625" style="125" customWidth="1"/>
    <col min="7" max="8" width="21.7109375" style="125" customWidth="1"/>
    <col min="9" max="9" width="19.28515625" style="125" customWidth="1"/>
    <col min="10" max="10" width="42" style="125" customWidth="1"/>
    <col min="11" max="16384" width="10.7109375" style="125"/>
  </cols>
  <sheetData>
    <row r="1" spans="1:2" ht="25.5" customHeight="1" x14ac:dyDescent="0.25">
      <c r="A1" s="875" t="s">
        <v>153</v>
      </c>
      <c r="B1" s="876"/>
    </row>
    <row r="2" spans="1:2" ht="25.5" customHeight="1" x14ac:dyDescent="0.25">
      <c r="A2" s="877" t="s">
        <v>292</v>
      </c>
      <c r="B2" s="878"/>
    </row>
    <row r="3" spans="1:2" x14ac:dyDescent="0.25">
      <c r="A3" s="163" t="s">
        <v>293</v>
      </c>
      <c r="B3" s="126" t="s">
        <v>294</v>
      </c>
    </row>
    <row r="4" spans="1:2" x14ac:dyDescent="0.25">
      <c r="A4" s="164" t="s">
        <v>9</v>
      </c>
      <c r="B4" s="133" t="s">
        <v>295</v>
      </c>
    </row>
    <row r="5" spans="1:2" ht="105" x14ac:dyDescent="0.25">
      <c r="A5" s="164" t="s">
        <v>10</v>
      </c>
      <c r="B5" s="166" t="s">
        <v>296</v>
      </c>
    </row>
    <row r="6" spans="1:2" x14ac:dyDescent="0.25">
      <c r="A6" s="164" t="s">
        <v>15</v>
      </c>
      <c r="B6" s="879" t="s">
        <v>297</v>
      </c>
    </row>
    <row r="7" spans="1:2" x14ac:dyDescent="0.25">
      <c r="A7" s="164" t="s">
        <v>17</v>
      </c>
      <c r="B7" s="880"/>
    </row>
    <row r="8" spans="1:2" x14ac:dyDescent="0.25">
      <c r="A8" s="164" t="s">
        <v>19</v>
      </c>
      <c r="B8" s="880"/>
    </row>
    <row r="9" spans="1:2" x14ac:dyDescent="0.25">
      <c r="A9" s="164" t="s">
        <v>298</v>
      </c>
      <c r="B9" s="881"/>
    </row>
    <row r="10" spans="1:2" ht="30" x14ac:dyDescent="0.25">
      <c r="A10" s="164" t="s">
        <v>7</v>
      </c>
      <c r="B10" s="127" t="s">
        <v>299</v>
      </c>
    </row>
    <row r="11" spans="1:2" ht="45" x14ac:dyDescent="0.25">
      <c r="A11" s="164" t="s">
        <v>26</v>
      </c>
      <c r="B11" s="127" t="s">
        <v>300</v>
      </c>
    </row>
    <row r="12" spans="1:2" ht="60" x14ac:dyDescent="0.25">
      <c r="A12" s="164" t="s">
        <v>25</v>
      </c>
      <c r="B12" s="128" t="s">
        <v>301</v>
      </c>
    </row>
    <row r="13" spans="1:2" ht="30" x14ac:dyDescent="0.25">
      <c r="A13" s="164" t="s">
        <v>302</v>
      </c>
      <c r="B13" s="128" t="s">
        <v>303</v>
      </c>
    </row>
    <row r="14" spans="1:2" ht="45" x14ac:dyDescent="0.25">
      <c r="A14" s="164" t="s">
        <v>304</v>
      </c>
      <c r="B14" s="128" t="s">
        <v>305</v>
      </c>
    </row>
    <row r="15" spans="1:2" ht="72" customHeight="1" x14ac:dyDescent="0.25">
      <c r="A15" s="165" t="s">
        <v>306</v>
      </c>
      <c r="B15" s="129" t="s">
        <v>307</v>
      </c>
    </row>
    <row r="16" spans="1:2" ht="194.25" x14ac:dyDescent="0.25">
      <c r="A16" s="165" t="s">
        <v>308</v>
      </c>
      <c r="B16" s="130" t="s">
        <v>309</v>
      </c>
    </row>
    <row r="17" spans="1:2" ht="25.5" customHeight="1" x14ac:dyDescent="0.25">
      <c r="A17" s="877" t="s">
        <v>310</v>
      </c>
      <c r="B17" s="878"/>
    </row>
    <row r="18" spans="1:2" x14ac:dyDescent="0.25">
      <c r="A18" s="163" t="s">
        <v>293</v>
      </c>
      <c r="B18" s="126" t="s">
        <v>294</v>
      </c>
    </row>
    <row r="19" spans="1:2" x14ac:dyDescent="0.25">
      <c r="A19" s="164" t="s">
        <v>9</v>
      </c>
      <c r="B19" s="133" t="s">
        <v>295</v>
      </c>
    </row>
    <row r="20" spans="1:2" ht="105" x14ac:dyDescent="0.25">
      <c r="A20" s="164" t="s">
        <v>10</v>
      </c>
      <c r="B20" s="132" t="s">
        <v>311</v>
      </c>
    </row>
    <row r="21" spans="1:2" ht="30" x14ac:dyDescent="0.25">
      <c r="A21" s="164" t="s">
        <v>312</v>
      </c>
      <c r="B21" s="128" t="s">
        <v>313</v>
      </c>
    </row>
    <row r="22" spans="1:2" ht="45" x14ac:dyDescent="0.25">
      <c r="A22" s="164" t="s">
        <v>314</v>
      </c>
      <c r="B22" s="128" t="s">
        <v>315</v>
      </c>
    </row>
    <row r="23" spans="1:2" ht="75" x14ac:dyDescent="0.25">
      <c r="A23" s="164" t="s">
        <v>316</v>
      </c>
      <c r="B23" s="128" t="s">
        <v>317</v>
      </c>
    </row>
    <row r="24" spans="1:2" ht="30" x14ac:dyDescent="0.25">
      <c r="A24" s="164" t="s">
        <v>318</v>
      </c>
      <c r="B24" s="128" t="s">
        <v>319</v>
      </c>
    </row>
    <row r="25" spans="1:2" x14ac:dyDescent="0.25">
      <c r="A25" s="164" t="s">
        <v>320</v>
      </c>
      <c r="B25" s="128" t="s">
        <v>321</v>
      </c>
    </row>
    <row r="26" spans="1:2" ht="45.75" customHeight="1" x14ac:dyDescent="0.25">
      <c r="A26" s="164" t="s">
        <v>322</v>
      </c>
      <c r="B26" s="131" t="s">
        <v>323</v>
      </c>
    </row>
    <row r="27" spans="1:2" ht="75" x14ac:dyDescent="0.25">
      <c r="A27" s="164" t="s">
        <v>167</v>
      </c>
      <c r="B27" s="131" t="s">
        <v>324</v>
      </c>
    </row>
    <row r="28" spans="1:2" ht="45" x14ac:dyDescent="0.25">
      <c r="A28" s="164" t="s">
        <v>325</v>
      </c>
      <c r="B28" s="131" t="s">
        <v>326</v>
      </c>
    </row>
    <row r="29" spans="1:2" ht="45" x14ac:dyDescent="0.25">
      <c r="A29" s="164" t="s">
        <v>327</v>
      </c>
      <c r="B29" s="131" t="s">
        <v>328</v>
      </c>
    </row>
    <row r="30" spans="1:2" ht="45" x14ac:dyDescent="0.25">
      <c r="A30" s="164" t="s">
        <v>329</v>
      </c>
      <c r="B30" s="131" t="s">
        <v>330</v>
      </c>
    </row>
    <row r="31" spans="1:2" ht="144" customHeight="1" x14ac:dyDescent="0.25">
      <c r="A31" s="164" t="s">
        <v>331</v>
      </c>
      <c r="B31" s="131" t="s">
        <v>332</v>
      </c>
    </row>
    <row r="32" spans="1:2" ht="30" x14ac:dyDescent="0.25">
      <c r="A32" s="164" t="s">
        <v>333</v>
      </c>
      <c r="B32" s="131" t="s">
        <v>334</v>
      </c>
    </row>
    <row r="33" spans="1:2" ht="30" x14ac:dyDescent="0.25">
      <c r="A33" s="164" t="s">
        <v>335</v>
      </c>
      <c r="B33" s="131" t="s">
        <v>336</v>
      </c>
    </row>
    <row r="34" spans="1:2" ht="30" x14ac:dyDescent="0.25">
      <c r="A34" s="164" t="s">
        <v>337</v>
      </c>
      <c r="B34" s="131" t="s">
        <v>338</v>
      </c>
    </row>
    <row r="35" spans="1:2" ht="30" x14ac:dyDescent="0.25">
      <c r="A35" s="164" t="s">
        <v>339</v>
      </c>
      <c r="B35" s="131" t="s">
        <v>340</v>
      </c>
    </row>
    <row r="36" spans="1:2" ht="75" x14ac:dyDescent="0.25">
      <c r="A36" s="164" t="s">
        <v>341</v>
      </c>
      <c r="B36" s="131" t="s">
        <v>342</v>
      </c>
    </row>
    <row r="37" spans="1:2" x14ac:dyDescent="0.25">
      <c r="A37" s="164" t="s">
        <v>156</v>
      </c>
      <c r="B37" s="131" t="s">
        <v>343</v>
      </c>
    </row>
    <row r="38" spans="1:2" ht="30" x14ac:dyDescent="0.25">
      <c r="A38" s="164" t="s">
        <v>344</v>
      </c>
      <c r="B38" s="131" t="s">
        <v>345</v>
      </c>
    </row>
    <row r="39" spans="1:2" ht="45" x14ac:dyDescent="0.25">
      <c r="A39" s="164" t="s">
        <v>346</v>
      </c>
      <c r="B39" s="131" t="s">
        <v>347</v>
      </c>
    </row>
    <row r="40" spans="1:2" ht="28.5" x14ac:dyDescent="0.25">
      <c r="A40" s="165" t="s">
        <v>159</v>
      </c>
      <c r="B40" s="131" t="s">
        <v>348</v>
      </c>
    </row>
    <row r="41" spans="1:2" ht="25.5" customHeight="1" x14ac:dyDescent="0.25">
      <c r="A41" s="877" t="s">
        <v>349</v>
      </c>
      <c r="B41" s="878"/>
    </row>
    <row r="42" spans="1:2" x14ac:dyDescent="0.25">
      <c r="A42" s="875" t="s">
        <v>350</v>
      </c>
      <c r="B42" s="876"/>
    </row>
    <row r="43" spans="1:2" ht="72" customHeight="1" x14ac:dyDescent="0.25">
      <c r="A43" s="873" t="s">
        <v>351</v>
      </c>
      <c r="B43" s="874"/>
    </row>
    <row r="44" spans="1:2" ht="30" x14ac:dyDescent="0.25">
      <c r="A44" s="164" t="s">
        <v>327</v>
      </c>
      <c r="B44" s="131" t="s">
        <v>352</v>
      </c>
    </row>
    <row r="45" spans="1:2" ht="45" x14ac:dyDescent="0.25">
      <c r="A45" s="165" t="s">
        <v>353</v>
      </c>
      <c r="B45" s="131" t="s">
        <v>354</v>
      </c>
    </row>
  </sheetData>
  <mergeCells count="7">
    <mergeCell ref="A43:B43"/>
    <mergeCell ref="A1:B1"/>
    <mergeCell ref="A2:B2"/>
    <mergeCell ref="B6:B9"/>
    <mergeCell ref="A17:B17"/>
    <mergeCell ref="A41:B41"/>
    <mergeCell ref="A42:B42"/>
  </mergeCells>
  <pageMargins left="0.25" right="0.25" top="1" bottom="1" header="0.3" footer="0.3"/>
  <pageSetup scale="35"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56"/>
  <sheetViews>
    <sheetView zoomScale="91" workbookViewId="0">
      <selection activeCell="C18" sqref="C18"/>
    </sheetView>
  </sheetViews>
  <sheetFormatPr baseColWidth="10" defaultColWidth="9.140625" defaultRowHeight="15" x14ac:dyDescent="0.25"/>
  <cols>
    <col min="1" max="1" width="44.140625" style="108" customWidth="1"/>
    <col min="2" max="2" width="61.7109375" style="108" customWidth="1"/>
    <col min="3" max="3" width="61.140625" style="108" customWidth="1"/>
    <col min="4" max="4" width="81" style="108" customWidth="1"/>
    <col min="5" max="5" width="32.7109375" style="125" customWidth="1"/>
    <col min="6" max="6" width="19" style="108" customWidth="1"/>
    <col min="7" max="7" width="29.42578125" style="108" customWidth="1"/>
    <col min="8" max="8" width="36.28515625" style="108" customWidth="1"/>
    <col min="9" max="9" width="40" style="108" customWidth="1"/>
    <col min="10" max="16384" width="9.140625" style="108"/>
  </cols>
  <sheetData>
    <row r="1" spans="1:9" s="113" customFormat="1" x14ac:dyDescent="0.25">
      <c r="A1" s="112" t="s">
        <v>355</v>
      </c>
      <c r="B1" s="112" t="s">
        <v>356</v>
      </c>
      <c r="C1" s="112" t="s">
        <v>357</v>
      </c>
      <c r="D1" s="112" t="s">
        <v>358</v>
      </c>
      <c r="E1" s="112" t="s">
        <v>329</v>
      </c>
      <c r="F1" s="112" t="s">
        <v>359</v>
      </c>
      <c r="G1" s="112" t="s">
        <v>360</v>
      </c>
      <c r="H1" s="112" t="s">
        <v>254</v>
      </c>
      <c r="I1" s="112" t="s">
        <v>320</v>
      </c>
    </row>
    <row r="2" spans="1:9" s="113" customFormat="1" x14ac:dyDescent="0.25">
      <c r="A2" s="114" t="s">
        <v>361</v>
      </c>
      <c r="B2" s="109" t="s">
        <v>362</v>
      </c>
      <c r="C2" s="114" t="s">
        <v>363</v>
      </c>
      <c r="D2" s="115" t="s">
        <v>364</v>
      </c>
      <c r="E2" s="110" t="s">
        <v>365</v>
      </c>
      <c r="F2" s="116" t="s">
        <v>366</v>
      </c>
      <c r="G2" s="117" t="s">
        <v>367</v>
      </c>
      <c r="H2" s="117" t="s">
        <v>368</v>
      </c>
      <c r="I2" s="116" t="s">
        <v>369</v>
      </c>
    </row>
    <row r="3" spans="1:9" x14ac:dyDescent="0.25">
      <c r="A3" s="114" t="s">
        <v>370</v>
      </c>
      <c r="B3" s="109" t="s">
        <v>371</v>
      </c>
      <c r="C3" s="114" t="s">
        <v>372</v>
      </c>
      <c r="D3" s="118" t="s">
        <v>373</v>
      </c>
      <c r="E3" s="110" t="s">
        <v>374</v>
      </c>
      <c r="F3" s="116" t="s">
        <v>375</v>
      </c>
      <c r="G3" s="117" t="s">
        <v>376</v>
      </c>
      <c r="H3" s="117" t="s">
        <v>263</v>
      </c>
      <c r="I3" s="116" t="s">
        <v>377</v>
      </c>
    </row>
    <row r="4" spans="1:9" x14ac:dyDescent="0.25">
      <c r="A4" s="114" t="s">
        <v>161</v>
      </c>
      <c r="B4" s="109" t="s">
        <v>378</v>
      </c>
      <c r="C4" s="114" t="s">
        <v>379</v>
      </c>
      <c r="D4" s="118" t="s">
        <v>380</v>
      </c>
      <c r="E4" s="110" t="s">
        <v>381</v>
      </c>
      <c r="F4" s="116" t="s">
        <v>382</v>
      </c>
      <c r="G4" s="117" t="s">
        <v>383</v>
      </c>
      <c r="H4" s="117" t="s">
        <v>258</v>
      </c>
      <c r="I4" s="116" t="s">
        <v>384</v>
      </c>
    </row>
    <row r="5" spans="1:9" x14ac:dyDescent="0.25">
      <c r="A5" s="114" t="s">
        <v>385</v>
      </c>
      <c r="B5" s="109" t="s">
        <v>386</v>
      </c>
      <c r="C5" s="114" t="s">
        <v>387</v>
      </c>
      <c r="D5" s="118" t="s">
        <v>388</v>
      </c>
      <c r="E5" s="110" t="s">
        <v>389</v>
      </c>
      <c r="F5" s="116" t="s">
        <v>390</v>
      </c>
      <c r="G5" s="117" t="s">
        <v>391</v>
      </c>
      <c r="H5" s="117" t="s">
        <v>259</v>
      </c>
      <c r="I5" s="116" t="s">
        <v>392</v>
      </c>
    </row>
    <row r="6" spans="1:9" ht="30" x14ac:dyDescent="0.25">
      <c r="A6" s="114" t="s">
        <v>393</v>
      </c>
      <c r="B6" s="109" t="s">
        <v>394</v>
      </c>
      <c r="C6" s="114" t="s">
        <v>395</v>
      </c>
      <c r="D6" s="118" t="s">
        <v>396</v>
      </c>
      <c r="E6" s="110" t="s">
        <v>397</v>
      </c>
      <c r="G6" s="117" t="s">
        <v>398</v>
      </c>
      <c r="H6" s="117" t="s">
        <v>260</v>
      </c>
      <c r="I6" s="116" t="s">
        <v>399</v>
      </c>
    </row>
    <row r="7" spans="1:9" ht="30" x14ac:dyDescent="0.25">
      <c r="B7" s="109" t="s">
        <v>400</v>
      </c>
      <c r="C7" s="114" t="s">
        <v>401</v>
      </c>
      <c r="D7" s="118" t="s">
        <v>402</v>
      </c>
      <c r="E7" s="116" t="s">
        <v>403</v>
      </c>
      <c r="G7" s="110" t="s">
        <v>269</v>
      </c>
      <c r="H7" s="117" t="s">
        <v>261</v>
      </c>
      <c r="I7" s="116" t="s">
        <v>404</v>
      </c>
    </row>
    <row r="8" spans="1:9" ht="30" x14ac:dyDescent="0.25">
      <c r="A8" s="119"/>
      <c r="B8" s="109" t="s">
        <v>405</v>
      </c>
      <c r="C8" s="114" t="s">
        <v>406</v>
      </c>
      <c r="D8" s="118" t="s">
        <v>407</v>
      </c>
      <c r="E8" s="116" t="s">
        <v>408</v>
      </c>
      <c r="I8" s="116" t="s">
        <v>409</v>
      </c>
    </row>
    <row r="9" spans="1:9" ht="32.1" customHeight="1" x14ac:dyDescent="0.25">
      <c r="A9" s="119"/>
      <c r="B9" s="109" t="s">
        <v>410</v>
      </c>
      <c r="C9" s="114" t="s">
        <v>411</v>
      </c>
      <c r="D9" s="118" t="s">
        <v>412</v>
      </c>
      <c r="E9" s="116" t="s">
        <v>413</v>
      </c>
      <c r="I9" s="116" t="s">
        <v>414</v>
      </c>
    </row>
    <row r="10" spans="1:9" x14ac:dyDescent="0.25">
      <c r="A10" s="119"/>
      <c r="B10" s="109" t="s">
        <v>415</v>
      </c>
      <c r="C10" s="114" t="s">
        <v>416</v>
      </c>
      <c r="D10" s="118" t="s">
        <v>417</v>
      </c>
      <c r="E10" s="116" t="s">
        <v>418</v>
      </c>
      <c r="I10" s="116" t="s">
        <v>419</v>
      </c>
    </row>
    <row r="11" spans="1:9" x14ac:dyDescent="0.25">
      <c r="A11" s="119"/>
      <c r="B11" s="109" t="s">
        <v>420</v>
      </c>
      <c r="C11" s="114" t="s">
        <v>421</v>
      </c>
      <c r="D11" s="118" t="s">
        <v>422</v>
      </c>
      <c r="E11" s="116" t="s">
        <v>423</v>
      </c>
      <c r="I11" s="116" t="s">
        <v>424</v>
      </c>
    </row>
    <row r="12" spans="1:9" ht="30" x14ac:dyDescent="0.25">
      <c r="A12" s="119"/>
      <c r="B12" s="109" t="s">
        <v>425</v>
      </c>
      <c r="C12" s="114" t="s">
        <v>426</v>
      </c>
      <c r="D12" s="118" t="s">
        <v>427</v>
      </c>
      <c r="E12" s="116" t="s">
        <v>428</v>
      </c>
      <c r="I12" s="116" t="s">
        <v>429</v>
      </c>
    </row>
    <row r="13" spans="1:9" x14ac:dyDescent="0.25">
      <c r="A13" s="119"/>
      <c r="B13" s="299" t="s">
        <v>430</v>
      </c>
      <c r="D13" s="118" t="s">
        <v>431</v>
      </c>
      <c r="E13" s="116" t="s">
        <v>432</v>
      </c>
      <c r="I13" s="116" t="s">
        <v>433</v>
      </c>
    </row>
    <row r="14" spans="1:9" x14ac:dyDescent="0.25">
      <c r="A14" s="119"/>
      <c r="B14" s="109" t="s">
        <v>434</v>
      </c>
      <c r="C14" s="119"/>
      <c r="D14" s="118" t="s">
        <v>435</v>
      </c>
      <c r="E14" s="116" t="s">
        <v>436</v>
      </c>
    </row>
    <row r="15" spans="1:9" x14ac:dyDescent="0.25">
      <c r="A15" s="119"/>
      <c r="B15" s="109" t="s">
        <v>437</v>
      </c>
      <c r="C15" s="119"/>
      <c r="D15" s="118" t="s">
        <v>438</v>
      </c>
      <c r="E15" s="116" t="s">
        <v>439</v>
      </c>
    </row>
    <row r="16" spans="1:9" x14ac:dyDescent="0.25">
      <c r="A16" s="119"/>
      <c r="B16" s="109" t="s">
        <v>440</v>
      </c>
      <c r="C16" s="119"/>
      <c r="D16" s="118" t="s">
        <v>441</v>
      </c>
      <c r="E16" s="120"/>
    </row>
    <row r="17" spans="1:5" x14ac:dyDescent="0.25">
      <c r="A17" s="119"/>
      <c r="B17" s="109" t="s">
        <v>442</v>
      </c>
      <c r="C17" s="119"/>
      <c r="D17" s="118" t="s">
        <v>443</v>
      </c>
      <c r="E17" s="120"/>
    </row>
    <row r="18" spans="1:5" x14ac:dyDescent="0.25">
      <c r="A18" s="119"/>
      <c r="B18" s="109" t="s">
        <v>444</v>
      </c>
      <c r="C18" s="119"/>
      <c r="D18" s="118" t="s">
        <v>445</v>
      </c>
      <c r="E18" s="120"/>
    </row>
    <row r="19" spans="1:5" x14ac:dyDescent="0.25">
      <c r="A19" s="119"/>
      <c r="B19" s="109" t="s">
        <v>446</v>
      </c>
      <c r="C19" s="119"/>
      <c r="D19" s="118" t="s">
        <v>447</v>
      </c>
      <c r="E19" s="120"/>
    </row>
    <row r="20" spans="1:5" x14ac:dyDescent="0.25">
      <c r="A20" s="119"/>
      <c r="B20" s="109" t="s">
        <v>448</v>
      </c>
      <c r="C20" s="119"/>
      <c r="D20" s="118" t="s">
        <v>449</v>
      </c>
      <c r="E20" s="120"/>
    </row>
    <row r="21" spans="1:5" x14ac:dyDescent="0.25">
      <c r="B21" s="109" t="s">
        <v>450</v>
      </c>
      <c r="D21" s="118" t="s">
        <v>451</v>
      </c>
      <c r="E21" s="120"/>
    </row>
    <row r="22" spans="1:5" x14ac:dyDescent="0.25">
      <c r="B22" s="109" t="s">
        <v>452</v>
      </c>
      <c r="D22" s="118" t="s">
        <v>453</v>
      </c>
      <c r="E22" s="120"/>
    </row>
    <row r="23" spans="1:5" x14ac:dyDescent="0.25">
      <c r="B23" s="109" t="s">
        <v>454</v>
      </c>
      <c r="D23" s="118" t="s">
        <v>455</v>
      </c>
      <c r="E23" s="120"/>
    </row>
    <row r="24" spans="1:5" x14ac:dyDescent="0.25">
      <c r="D24" s="121" t="s">
        <v>456</v>
      </c>
      <c r="E24" s="121" t="s">
        <v>457</v>
      </c>
    </row>
    <row r="25" spans="1:5" x14ac:dyDescent="0.25">
      <c r="D25" s="122" t="s">
        <v>458</v>
      </c>
      <c r="E25" s="116" t="s">
        <v>459</v>
      </c>
    </row>
    <row r="26" spans="1:5" x14ac:dyDescent="0.25">
      <c r="D26" s="122" t="s">
        <v>460</v>
      </c>
      <c r="E26" s="116" t="s">
        <v>461</v>
      </c>
    </row>
    <row r="27" spans="1:5" x14ac:dyDescent="0.25">
      <c r="D27" s="882" t="s">
        <v>462</v>
      </c>
      <c r="E27" s="116" t="s">
        <v>463</v>
      </c>
    </row>
    <row r="28" spans="1:5" x14ac:dyDescent="0.25">
      <c r="D28" s="883"/>
      <c r="E28" s="116" t="s">
        <v>464</v>
      </c>
    </row>
    <row r="29" spans="1:5" x14ac:dyDescent="0.25">
      <c r="D29" s="883"/>
      <c r="E29" s="116" t="s">
        <v>465</v>
      </c>
    </row>
    <row r="30" spans="1:5" x14ac:dyDescent="0.25">
      <c r="D30" s="884"/>
      <c r="E30" s="116" t="s">
        <v>466</v>
      </c>
    </row>
    <row r="31" spans="1:5" x14ac:dyDescent="0.25">
      <c r="D31" s="122" t="s">
        <v>467</v>
      </c>
      <c r="E31" s="116" t="s">
        <v>468</v>
      </c>
    </row>
    <row r="32" spans="1:5" x14ac:dyDescent="0.25">
      <c r="D32" s="122" t="s">
        <v>469</v>
      </c>
      <c r="E32" s="116" t="s">
        <v>470</v>
      </c>
    </row>
    <row r="33" spans="4:5" x14ac:dyDescent="0.25">
      <c r="D33" s="122" t="s">
        <v>471</v>
      </c>
      <c r="E33" s="116" t="s">
        <v>472</v>
      </c>
    </row>
    <row r="34" spans="4:5" x14ac:dyDescent="0.25">
      <c r="D34" s="122" t="s">
        <v>473</v>
      </c>
      <c r="E34" s="116" t="s">
        <v>474</v>
      </c>
    </row>
    <row r="35" spans="4:5" x14ac:dyDescent="0.25">
      <c r="D35" s="122" t="s">
        <v>475</v>
      </c>
      <c r="E35" s="116" t="s">
        <v>476</v>
      </c>
    </row>
    <row r="36" spans="4:5" x14ac:dyDescent="0.25">
      <c r="D36" s="122" t="s">
        <v>477</v>
      </c>
      <c r="E36" s="116" t="s">
        <v>478</v>
      </c>
    </row>
    <row r="37" spans="4:5" x14ac:dyDescent="0.25">
      <c r="D37" s="122" t="s">
        <v>479</v>
      </c>
      <c r="E37" s="116" t="s">
        <v>480</v>
      </c>
    </row>
    <row r="38" spans="4:5" x14ac:dyDescent="0.25">
      <c r="D38" s="122" t="s">
        <v>481</v>
      </c>
      <c r="E38" s="116" t="s">
        <v>482</v>
      </c>
    </row>
    <row r="39" spans="4:5" x14ac:dyDescent="0.25">
      <c r="D39" s="123" t="s">
        <v>483</v>
      </c>
      <c r="E39" s="116" t="s">
        <v>484</v>
      </c>
    </row>
    <row r="40" spans="4:5" x14ac:dyDescent="0.25">
      <c r="D40" s="123" t="s">
        <v>485</v>
      </c>
      <c r="E40" s="116" t="s">
        <v>486</v>
      </c>
    </row>
    <row r="41" spans="4:5" x14ac:dyDescent="0.25">
      <c r="D41" s="122" t="s">
        <v>487</v>
      </c>
      <c r="E41" s="116" t="s">
        <v>488</v>
      </c>
    </row>
    <row r="42" spans="4:5" x14ac:dyDescent="0.25">
      <c r="D42" s="122" t="s">
        <v>489</v>
      </c>
      <c r="E42" s="116" t="s">
        <v>490</v>
      </c>
    </row>
    <row r="43" spans="4:5" x14ac:dyDescent="0.25">
      <c r="D43" s="123" t="s">
        <v>491</v>
      </c>
      <c r="E43" s="116" t="s">
        <v>492</v>
      </c>
    </row>
    <row r="44" spans="4:5" x14ac:dyDescent="0.25">
      <c r="D44" s="124" t="s">
        <v>493</v>
      </c>
      <c r="E44" s="116" t="s">
        <v>494</v>
      </c>
    </row>
    <row r="45" spans="4:5" x14ac:dyDescent="0.25">
      <c r="D45" s="118" t="s">
        <v>495</v>
      </c>
      <c r="E45" s="116" t="s">
        <v>496</v>
      </c>
    </row>
    <row r="46" spans="4:5" x14ac:dyDescent="0.25">
      <c r="D46" s="118" t="s">
        <v>497</v>
      </c>
      <c r="E46" s="116" t="s">
        <v>498</v>
      </c>
    </row>
    <row r="47" spans="4:5" x14ac:dyDescent="0.25">
      <c r="D47" s="118" t="s">
        <v>499</v>
      </c>
      <c r="E47" s="116" t="s">
        <v>500</v>
      </c>
    </row>
    <row r="48" spans="4:5" x14ac:dyDescent="0.25">
      <c r="D48" s="118" t="s">
        <v>501</v>
      </c>
      <c r="E48" s="116" t="s">
        <v>502</v>
      </c>
    </row>
    <row r="49" spans="4:4" x14ac:dyDescent="0.25">
      <c r="D49" s="121" t="s">
        <v>503</v>
      </c>
    </row>
    <row r="50" spans="4:4" x14ac:dyDescent="0.25">
      <c r="D50" s="118" t="s">
        <v>504</v>
      </c>
    </row>
    <row r="51" spans="4:4" x14ac:dyDescent="0.25">
      <c r="D51" s="118" t="s">
        <v>505</v>
      </c>
    </row>
    <row r="52" spans="4:4" x14ac:dyDescent="0.25">
      <c r="D52" s="121" t="s">
        <v>506</v>
      </c>
    </row>
    <row r="53" spans="4:4" x14ac:dyDescent="0.25">
      <c r="D53" s="124" t="s">
        <v>507</v>
      </c>
    </row>
    <row r="54" spans="4:4" x14ac:dyDescent="0.25">
      <c r="D54" s="124" t="s">
        <v>508</v>
      </c>
    </row>
    <row r="55" spans="4:4" x14ac:dyDescent="0.25">
      <c r="D55" s="124" t="s">
        <v>509</v>
      </c>
    </row>
    <row r="56" spans="4:4" x14ac:dyDescent="0.25">
      <c r="D56" s="124" t="s">
        <v>510</v>
      </c>
    </row>
  </sheetData>
  <mergeCells count="1">
    <mergeCell ref="D27:D30"/>
  </mergeCells>
  <pageMargins left="0.75" right="0.75" top="1" bottom="1" header="0.3" footer="0.3"/>
  <pageSetup scale="27"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11.42578125" defaultRowHeight="15" x14ac:dyDescent="0.25"/>
  <sheetData/>
  <pageMargins left="0.75" right="0.75" top="1" bottom="1"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6"/>
  <sheetViews>
    <sheetView zoomScale="90" zoomScaleNormal="90" workbookViewId="0">
      <selection activeCell="P9" sqref="P9"/>
    </sheetView>
  </sheetViews>
  <sheetFormatPr baseColWidth="10" defaultColWidth="11.42578125" defaultRowHeight="15" x14ac:dyDescent="0.25"/>
  <cols>
    <col min="1" max="2" width="10.7109375" customWidth="1"/>
    <col min="3" max="3" width="6.7109375" customWidth="1"/>
    <col min="4" max="4" width="8.7109375" customWidth="1"/>
    <col min="5" max="5" width="10.7109375" customWidth="1"/>
  </cols>
  <sheetData>
    <row r="1" spans="1:14" x14ac:dyDescent="0.25">
      <c r="B1" t="s">
        <v>511</v>
      </c>
      <c r="C1" s="888" t="s">
        <v>512</v>
      </c>
      <c r="D1" s="888"/>
      <c r="E1" s="888"/>
      <c r="F1" s="888"/>
      <c r="G1" s="889" t="s">
        <v>513</v>
      </c>
      <c r="H1" s="890"/>
      <c r="I1" s="890"/>
      <c r="J1" s="891"/>
      <c r="K1" s="887" t="s">
        <v>514</v>
      </c>
      <c r="L1" s="887"/>
      <c r="M1" s="887"/>
      <c r="N1" s="887"/>
    </row>
    <row r="2" spans="1:14" x14ac:dyDescent="0.25">
      <c r="C2" s="4"/>
      <c r="D2" s="4"/>
      <c r="E2" s="4"/>
      <c r="F2" s="4" t="s">
        <v>515</v>
      </c>
      <c r="G2" s="30"/>
      <c r="H2" s="4"/>
      <c r="I2" s="4"/>
      <c r="J2" s="31" t="s">
        <v>515</v>
      </c>
      <c r="K2" s="4"/>
      <c r="L2" s="4"/>
      <c r="M2" s="4"/>
      <c r="N2" s="4" t="s">
        <v>515</v>
      </c>
    </row>
    <row r="3" spans="1:14" x14ac:dyDescent="0.25">
      <c r="A3" s="886" t="s">
        <v>516</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886"/>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886"/>
      <c r="B5" s="5">
        <v>3</v>
      </c>
      <c r="C5" s="6">
        <v>0.05</v>
      </c>
      <c r="D5" s="6">
        <v>0.05</v>
      </c>
      <c r="E5" s="6">
        <v>0.1</v>
      </c>
      <c r="F5" s="7">
        <f>(C5+D5+E5)</f>
        <v>0.2</v>
      </c>
      <c r="G5" s="32">
        <v>0.1</v>
      </c>
      <c r="H5" s="6">
        <v>0.1</v>
      </c>
      <c r="I5" s="6">
        <v>0.1</v>
      </c>
      <c r="J5" s="33">
        <f>(G5+H5+I5)</f>
        <v>0.30000000000000004</v>
      </c>
      <c r="K5" s="24"/>
      <c r="L5" s="5"/>
      <c r="M5" s="5"/>
      <c r="N5" s="5"/>
    </row>
    <row r="6" spans="1:14" x14ac:dyDescent="0.25">
      <c r="A6" s="886"/>
      <c r="B6" s="5">
        <v>4</v>
      </c>
      <c r="C6" s="6">
        <v>0.1</v>
      </c>
      <c r="D6" s="6">
        <v>0.1</v>
      </c>
      <c r="E6" s="6">
        <v>0.2</v>
      </c>
      <c r="F6" s="7">
        <f>(C6+D6+E6)</f>
        <v>0.4</v>
      </c>
      <c r="G6" s="32">
        <v>0</v>
      </c>
      <c r="H6" s="6">
        <v>0</v>
      </c>
      <c r="I6" s="6">
        <v>0.1</v>
      </c>
      <c r="J6" s="33">
        <f>(G6+H6+I6)</f>
        <v>0.1</v>
      </c>
      <c r="K6" s="24"/>
      <c r="L6" s="5"/>
      <c r="M6" s="5"/>
      <c r="N6" s="5"/>
    </row>
    <row r="7" spans="1:14" x14ac:dyDescent="0.25">
      <c r="A7" s="886"/>
      <c r="B7" s="5">
        <v>5</v>
      </c>
      <c r="C7" s="6">
        <v>0</v>
      </c>
      <c r="D7" s="6">
        <v>0</v>
      </c>
      <c r="E7" s="6">
        <v>0</v>
      </c>
      <c r="F7" s="7">
        <f>(C7+D7+E7)</f>
        <v>0</v>
      </c>
      <c r="G7" s="32">
        <v>0</v>
      </c>
      <c r="H7" s="6">
        <v>0</v>
      </c>
      <c r="I7" s="6">
        <v>0</v>
      </c>
      <c r="J7" s="33">
        <f>(G7+H7+I7)</f>
        <v>0</v>
      </c>
      <c r="K7" s="24"/>
      <c r="L7" s="5"/>
      <c r="M7" s="5"/>
      <c r="N7" s="5"/>
    </row>
    <row r="8" spans="1:14" x14ac:dyDescent="0.25">
      <c r="A8" s="886" t="s">
        <v>517</v>
      </c>
      <c r="B8" s="9">
        <v>6</v>
      </c>
      <c r="C8" s="10">
        <v>0.1</v>
      </c>
      <c r="D8" s="10">
        <v>0.1</v>
      </c>
      <c r="E8" s="10">
        <v>0.1</v>
      </c>
      <c r="F8" s="11">
        <f>C8+D8+E8</f>
        <v>0.30000000000000004</v>
      </c>
      <c r="G8" s="34"/>
      <c r="H8" s="9"/>
      <c r="I8" s="9"/>
      <c r="J8" s="35"/>
      <c r="K8" s="25"/>
      <c r="L8" s="9"/>
      <c r="M8" s="9"/>
      <c r="N8" s="9"/>
    </row>
    <row r="9" spans="1:14" x14ac:dyDescent="0.25">
      <c r="A9" s="886"/>
      <c r="B9" s="9">
        <v>7</v>
      </c>
      <c r="C9" s="9"/>
      <c r="D9" s="9"/>
      <c r="E9" s="9"/>
      <c r="F9" s="19"/>
      <c r="G9" s="36"/>
      <c r="H9" s="9"/>
      <c r="I9" s="9"/>
      <c r="J9" s="35"/>
      <c r="K9" s="25"/>
      <c r="L9" s="9"/>
      <c r="M9" s="9"/>
      <c r="N9" s="9"/>
    </row>
    <row r="10" spans="1:14" x14ac:dyDescent="0.25">
      <c r="A10" s="886"/>
      <c r="B10" s="9">
        <v>8</v>
      </c>
      <c r="C10" s="9"/>
      <c r="D10" s="9"/>
      <c r="E10" s="9"/>
      <c r="F10" s="19"/>
      <c r="G10" s="36"/>
      <c r="H10" s="9"/>
      <c r="I10" s="9"/>
      <c r="J10" s="35"/>
      <c r="K10" s="25"/>
      <c r="L10" s="9"/>
      <c r="M10" s="9"/>
      <c r="N10" s="9"/>
    </row>
    <row r="11" spans="1:14" x14ac:dyDescent="0.25">
      <c r="A11" s="886"/>
      <c r="B11" s="9">
        <v>9</v>
      </c>
      <c r="C11" s="9"/>
      <c r="D11" s="9"/>
      <c r="E11" s="9"/>
      <c r="F11" s="19"/>
      <c r="G11" s="36"/>
      <c r="H11" s="9"/>
      <c r="I11" s="9"/>
      <c r="J11" s="35"/>
      <c r="K11" s="25"/>
      <c r="L11" s="9"/>
      <c r="M11" s="9"/>
      <c r="N11" s="9"/>
    </row>
    <row r="12" spans="1:14" x14ac:dyDescent="0.25">
      <c r="A12" s="886" t="s">
        <v>518</v>
      </c>
      <c r="B12" s="14">
        <v>10</v>
      </c>
      <c r="C12" s="14"/>
      <c r="D12" s="14"/>
      <c r="E12" s="14"/>
      <c r="F12" s="20"/>
      <c r="G12" s="37"/>
      <c r="H12" s="14"/>
      <c r="I12" s="14"/>
      <c r="J12" s="38"/>
      <c r="K12" s="26"/>
      <c r="L12" s="14"/>
      <c r="M12" s="14"/>
      <c r="N12" s="14"/>
    </row>
    <row r="13" spans="1:14" x14ac:dyDescent="0.25">
      <c r="A13" s="886"/>
      <c r="B13" s="14">
        <v>11</v>
      </c>
      <c r="C13" s="14"/>
      <c r="D13" s="14"/>
      <c r="E13" s="14"/>
      <c r="F13" s="20"/>
      <c r="G13" s="37"/>
      <c r="H13" s="14"/>
      <c r="I13" s="14"/>
      <c r="J13" s="38"/>
      <c r="K13" s="26"/>
      <c r="L13" s="14"/>
      <c r="M13" s="14"/>
      <c r="N13" s="14"/>
    </row>
    <row r="14" spans="1:14" x14ac:dyDescent="0.25">
      <c r="A14" s="886"/>
      <c r="B14" s="14">
        <v>12</v>
      </c>
      <c r="C14" s="14"/>
      <c r="D14" s="14"/>
      <c r="E14" s="14"/>
      <c r="F14" s="20"/>
      <c r="G14" s="37"/>
      <c r="H14" s="14"/>
      <c r="I14" s="14"/>
      <c r="J14" s="38"/>
      <c r="K14" s="26"/>
      <c r="L14" s="14"/>
      <c r="M14" s="14"/>
      <c r="N14" s="14"/>
    </row>
    <row r="15" spans="1:14" x14ac:dyDescent="0.25">
      <c r="A15" s="886"/>
      <c r="B15" s="14">
        <v>13</v>
      </c>
      <c r="C15" s="14"/>
      <c r="D15" s="14"/>
      <c r="E15" s="14"/>
      <c r="F15" s="20"/>
      <c r="G15" s="37"/>
      <c r="H15" s="14"/>
      <c r="I15" s="14"/>
      <c r="J15" s="38"/>
      <c r="K15" s="26"/>
      <c r="L15" s="14"/>
      <c r="M15" s="14"/>
      <c r="N15" s="14"/>
    </row>
    <row r="16" spans="1:14" x14ac:dyDescent="0.25">
      <c r="A16" s="886" t="s">
        <v>519</v>
      </c>
      <c r="B16" s="15">
        <v>14</v>
      </c>
      <c r="C16" s="15"/>
      <c r="D16" s="15"/>
      <c r="E16" s="15"/>
      <c r="F16" s="21"/>
      <c r="G16" s="39"/>
      <c r="H16" s="15"/>
      <c r="I16" s="15"/>
      <c r="J16" s="40"/>
      <c r="K16" s="27"/>
      <c r="L16" s="15"/>
      <c r="M16" s="15"/>
      <c r="N16" s="15"/>
    </row>
    <row r="17" spans="1:14" x14ac:dyDescent="0.25">
      <c r="A17" s="886"/>
      <c r="B17" s="15">
        <v>15</v>
      </c>
      <c r="C17" s="15"/>
      <c r="D17" s="15"/>
      <c r="E17" s="15"/>
      <c r="F17" s="21"/>
      <c r="G17" s="39"/>
      <c r="H17" s="15"/>
      <c r="I17" s="15"/>
      <c r="J17" s="40"/>
      <c r="K17" s="27"/>
      <c r="L17" s="15"/>
      <c r="M17" s="15"/>
      <c r="N17" s="15"/>
    </row>
    <row r="18" spans="1:14" x14ac:dyDescent="0.25">
      <c r="A18" s="886"/>
      <c r="B18" s="15">
        <v>16</v>
      </c>
      <c r="C18" s="15"/>
      <c r="D18" s="15"/>
      <c r="E18" s="15"/>
      <c r="F18" s="21"/>
      <c r="G18" s="39"/>
      <c r="H18" s="15"/>
      <c r="I18" s="15"/>
      <c r="J18" s="40"/>
      <c r="K18" s="27"/>
      <c r="L18" s="15"/>
      <c r="M18" s="15"/>
      <c r="N18" s="15"/>
    </row>
    <row r="19" spans="1:14" x14ac:dyDescent="0.25">
      <c r="A19" s="886" t="s">
        <v>520</v>
      </c>
      <c r="B19" s="18">
        <v>17</v>
      </c>
      <c r="C19" s="18"/>
      <c r="D19" s="18"/>
      <c r="E19" s="18"/>
      <c r="F19" s="22"/>
      <c r="G19" s="41"/>
      <c r="H19" s="18"/>
      <c r="I19" s="18"/>
      <c r="J19" s="42"/>
      <c r="K19" s="28"/>
      <c r="L19" s="18"/>
      <c r="M19" s="18"/>
      <c r="N19" s="18"/>
    </row>
    <row r="20" spans="1:14" x14ac:dyDescent="0.25">
      <c r="A20" s="886"/>
      <c r="B20" s="18">
        <v>18</v>
      </c>
      <c r="C20" s="18"/>
      <c r="D20" s="18"/>
      <c r="E20" s="18"/>
      <c r="F20" s="22"/>
      <c r="G20" s="41"/>
      <c r="H20" s="18"/>
      <c r="I20" s="18"/>
      <c r="J20" s="42"/>
      <c r="K20" s="28"/>
      <c r="L20" s="18"/>
      <c r="M20" s="18"/>
      <c r="N20" s="18"/>
    </row>
    <row r="21" spans="1:14" x14ac:dyDescent="0.25">
      <c r="A21" s="886"/>
      <c r="B21" s="18">
        <v>19</v>
      </c>
      <c r="C21" s="18"/>
      <c r="D21" s="18"/>
      <c r="E21" s="18"/>
      <c r="F21" s="22"/>
      <c r="G21" s="41"/>
      <c r="H21" s="18"/>
      <c r="I21" s="18"/>
      <c r="J21" s="42"/>
      <c r="K21" s="28"/>
      <c r="L21" s="18"/>
      <c r="M21" s="18"/>
      <c r="N21" s="18"/>
    </row>
    <row r="22" spans="1:14" x14ac:dyDescent="0.25">
      <c r="A22" s="886"/>
      <c r="B22" s="18">
        <v>20</v>
      </c>
      <c r="C22" s="18"/>
      <c r="D22" s="18"/>
      <c r="E22" s="18"/>
      <c r="F22" s="22"/>
      <c r="G22" s="41"/>
      <c r="H22" s="18"/>
      <c r="I22" s="18"/>
      <c r="J22" s="42"/>
      <c r="K22" s="28"/>
      <c r="L22" s="18"/>
      <c r="M22" s="18"/>
      <c r="N22" s="18"/>
    </row>
    <row r="23" spans="1:14" x14ac:dyDescent="0.25">
      <c r="A23" s="886" t="s">
        <v>521</v>
      </c>
      <c r="B23" s="13">
        <v>21</v>
      </c>
      <c r="C23" s="13"/>
      <c r="D23" s="13"/>
      <c r="E23" s="13"/>
      <c r="F23" s="23"/>
      <c r="G23" s="43"/>
      <c r="H23" s="13"/>
      <c r="I23" s="13"/>
      <c r="J23" s="44"/>
      <c r="K23" s="29"/>
      <c r="L23" s="13"/>
      <c r="M23" s="13"/>
      <c r="N23" s="13"/>
    </row>
    <row r="24" spans="1:14" x14ac:dyDescent="0.25">
      <c r="A24" s="886"/>
      <c r="B24" s="13">
        <v>22</v>
      </c>
      <c r="C24" s="13"/>
      <c r="D24" s="13"/>
      <c r="E24" s="13"/>
      <c r="F24" s="23"/>
      <c r="G24" s="43"/>
      <c r="H24" s="13"/>
      <c r="I24" s="13"/>
      <c r="J24" s="44"/>
      <c r="K24" s="29"/>
      <c r="L24" s="13"/>
      <c r="M24" s="13"/>
      <c r="N24" s="13"/>
    </row>
    <row r="25" spans="1:14" x14ac:dyDescent="0.25">
      <c r="A25" s="886"/>
      <c r="B25" s="13">
        <v>23</v>
      </c>
      <c r="C25" s="13"/>
      <c r="D25" s="13"/>
      <c r="E25" s="13"/>
      <c r="F25" s="23"/>
      <c r="G25" s="43"/>
      <c r="H25" s="13"/>
      <c r="I25" s="13"/>
      <c r="J25" s="44"/>
      <c r="K25" s="29"/>
      <c r="L25" s="13"/>
      <c r="M25" s="13"/>
      <c r="N25" s="13"/>
    </row>
    <row r="26" spans="1:14" x14ac:dyDescent="0.25">
      <c r="A26" s="886"/>
      <c r="B26" s="13">
        <v>24</v>
      </c>
      <c r="C26" s="13"/>
      <c r="D26" s="13"/>
      <c r="E26" s="13"/>
      <c r="F26" s="23"/>
      <c r="G26" s="43"/>
      <c r="H26" s="13"/>
      <c r="I26" s="13"/>
      <c r="J26" s="44"/>
      <c r="K26" s="29"/>
      <c r="L26" s="13"/>
      <c r="M26" s="13"/>
      <c r="N26" s="13"/>
    </row>
    <row r="27" spans="1:14" x14ac:dyDescent="0.25">
      <c r="A27" s="886" t="s">
        <v>522</v>
      </c>
      <c r="B27" s="9">
        <v>25</v>
      </c>
      <c r="C27" s="9"/>
      <c r="D27" s="9"/>
      <c r="E27" s="9"/>
      <c r="F27" s="9"/>
      <c r="G27" s="9"/>
      <c r="H27" s="9"/>
      <c r="I27" s="9"/>
      <c r="J27" s="9"/>
      <c r="K27" s="9"/>
      <c r="L27" s="9"/>
      <c r="M27" s="9"/>
      <c r="N27" s="9"/>
    </row>
    <row r="28" spans="1:14" x14ac:dyDescent="0.25">
      <c r="A28" s="886"/>
      <c r="B28" s="9">
        <v>26</v>
      </c>
      <c r="C28" s="9"/>
      <c r="D28" s="9"/>
      <c r="E28" s="9"/>
      <c r="F28" s="9"/>
      <c r="G28" s="9"/>
      <c r="H28" s="9"/>
      <c r="I28" s="9"/>
      <c r="J28" s="9"/>
      <c r="K28" s="9"/>
      <c r="L28" s="9"/>
      <c r="M28" s="9"/>
      <c r="N28" s="9"/>
    </row>
    <row r="29" spans="1:14" x14ac:dyDescent="0.25">
      <c r="A29" s="886"/>
      <c r="B29" s="9">
        <v>27</v>
      </c>
      <c r="C29" s="9"/>
      <c r="D29" s="9"/>
      <c r="E29" s="9"/>
      <c r="F29" s="9"/>
      <c r="G29" s="9"/>
      <c r="H29" s="9"/>
      <c r="I29" s="9"/>
      <c r="J29" s="9"/>
      <c r="K29" s="9"/>
      <c r="L29" s="9"/>
      <c r="M29" s="9"/>
      <c r="N29" s="9"/>
    </row>
    <row r="30" spans="1:14" x14ac:dyDescent="0.25">
      <c r="A30" s="886"/>
      <c r="B30" s="9">
        <v>28</v>
      </c>
      <c r="C30" s="9"/>
      <c r="D30" s="9"/>
      <c r="E30" s="9"/>
      <c r="F30" s="9"/>
      <c r="G30" s="9"/>
      <c r="H30" s="9"/>
      <c r="I30" s="9"/>
      <c r="J30" s="9"/>
      <c r="K30" s="9"/>
      <c r="L30" s="9"/>
      <c r="M30" s="9"/>
      <c r="N30" s="9"/>
    </row>
    <row r="31" spans="1:14" x14ac:dyDescent="0.25">
      <c r="A31" s="886"/>
      <c r="B31" s="9">
        <v>29</v>
      </c>
      <c r="C31" s="9"/>
      <c r="D31" s="9"/>
      <c r="E31" s="9"/>
      <c r="F31" s="9"/>
      <c r="G31" s="9"/>
      <c r="H31" s="9"/>
      <c r="I31" s="9"/>
      <c r="J31" s="9"/>
      <c r="K31" s="9"/>
      <c r="L31" s="9"/>
      <c r="M31" s="9"/>
      <c r="N31" s="9"/>
    </row>
    <row r="32" spans="1:14" x14ac:dyDescent="0.25">
      <c r="A32" s="886" t="s">
        <v>523</v>
      </c>
      <c r="B32" s="16">
        <v>30</v>
      </c>
      <c r="C32" s="16"/>
      <c r="D32" s="16"/>
      <c r="E32" s="16"/>
      <c r="F32" s="16"/>
      <c r="G32" s="16"/>
      <c r="H32" s="16"/>
      <c r="I32" s="16"/>
      <c r="J32" s="16"/>
      <c r="K32" s="16"/>
      <c r="L32" s="16"/>
      <c r="M32" s="16"/>
      <c r="N32" s="16"/>
    </row>
    <row r="33" spans="1:14" x14ac:dyDescent="0.25">
      <c r="A33" s="886"/>
      <c r="B33" s="16">
        <v>31</v>
      </c>
      <c r="C33" s="16"/>
      <c r="D33" s="16"/>
      <c r="E33" s="16"/>
      <c r="F33" s="16"/>
      <c r="G33" s="16"/>
      <c r="H33" s="16"/>
      <c r="I33" s="16"/>
      <c r="J33" s="16"/>
      <c r="K33" s="16"/>
      <c r="L33" s="16"/>
      <c r="M33" s="16"/>
      <c r="N33" s="16"/>
    </row>
    <row r="34" spans="1:14" x14ac:dyDescent="0.25">
      <c r="A34" s="886"/>
      <c r="B34" s="16">
        <v>32</v>
      </c>
      <c r="C34" s="16"/>
      <c r="D34" s="16"/>
      <c r="E34" s="16"/>
      <c r="F34" s="16"/>
      <c r="G34" s="16"/>
      <c r="H34" s="16"/>
      <c r="I34" s="16"/>
      <c r="J34" s="16"/>
      <c r="K34" s="16"/>
      <c r="L34" s="16"/>
      <c r="M34" s="16"/>
      <c r="N34" s="16"/>
    </row>
    <row r="35" spans="1:14" x14ac:dyDescent="0.25">
      <c r="A35" s="886" t="s">
        <v>524</v>
      </c>
      <c r="B35" s="17">
        <v>33</v>
      </c>
      <c r="C35" s="14"/>
      <c r="D35" s="14"/>
      <c r="E35" s="14"/>
      <c r="F35" s="14"/>
      <c r="G35" s="14"/>
      <c r="H35" s="14"/>
      <c r="I35" s="14"/>
      <c r="J35" s="14"/>
      <c r="K35" s="14"/>
      <c r="L35" s="14"/>
      <c r="M35" s="14"/>
      <c r="N35" s="14"/>
    </row>
    <row r="36" spans="1:14" x14ac:dyDescent="0.25">
      <c r="A36" s="886"/>
      <c r="B36" s="14">
        <v>34</v>
      </c>
      <c r="C36" s="14"/>
      <c r="D36" s="14"/>
      <c r="E36" s="14"/>
      <c r="F36" s="14"/>
      <c r="G36" s="14"/>
      <c r="H36" s="14"/>
      <c r="I36" s="14"/>
      <c r="J36" s="14"/>
      <c r="K36" s="14"/>
      <c r="L36" s="14"/>
      <c r="M36" s="14"/>
      <c r="N36" s="14"/>
    </row>
    <row r="37" spans="1:14" x14ac:dyDescent="0.25">
      <c r="A37" s="886"/>
      <c r="B37" s="45">
        <v>35</v>
      </c>
      <c r="C37" s="14"/>
      <c r="D37" s="14"/>
      <c r="E37" s="14"/>
      <c r="F37" s="14"/>
      <c r="G37" s="14"/>
      <c r="H37" s="14"/>
      <c r="I37" s="14"/>
      <c r="J37" s="14"/>
      <c r="K37" s="14"/>
      <c r="L37" s="14"/>
      <c r="M37" s="14"/>
      <c r="N37" s="14"/>
    </row>
    <row r="38" spans="1:14" x14ac:dyDescent="0.25">
      <c r="A38" s="886" t="s">
        <v>525</v>
      </c>
      <c r="B38" s="8">
        <v>36</v>
      </c>
      <c r="C38" s="8"/>
      <c r="D38" s="8"/>
      <c r="E38" s="8"/>
      <c r="F38" s="8"/>
      <c r="G38" s="8"/>
      <c r="H38" s="8"/>
      <c r="I38" s="8"/>
      <c r="J38" s="8"/>
      <c r="K38" s="8"/>
      <c r="L38" s="8"/>
      <c r="M38" s="8"/>
      <c r="N38" s="8"/>
    </row>
    <row r="39" spans="1:14" x14ac:dyDescent="0.25">
      <c r="A39" s="886"/>
      <c r="B39" s="8">
        <v>37</v>
      </c>
      <c r="C39" s="8"/>
      <c r="D39" s="8"/>
      <c r="E39" s="8"/>
      <c r="F39" s="8"/>
      <c r="G39" s="8"/>
      <c r="H39" s="8"/>
      <c r="I39" s="8"/>
      <c r="J39" s="8"/>
      <c r="K39" s="8"/>
      <c r="L39" s="8"/>
      <c r="M39" s="8"/>
      <c r="N39" s="8"/>
    </row>
    <row r="40" spans="1:14" x14ac:dyDescent="0.25">
      <c r="A40" s="886"/>
      <c r="B40" s="8">
        <v>38</v>
      </c>
      <c r="C40" s="8"/>
      <c r="D40" s="8"/>
      <c r="E40" s="8"/>
      <c r="F40" s="8"/>
      <c r="G40" s="8"/>
      <c r="H40" s="8"/>
      <c r="I40" s="8"/>
      <c r="J40" s="8"/>
      <c r="K40" s="8"/>
      <c r="L40" s="8"/>
      <c r="M40" s="8"/>
      <c r="N40" s="8"/>
    </row>
    <row r="41" spans="1:14" x14ac:dyDescent="0.25">
      <c r="A41" s="892" t="s">
        <v>526</v>
      </c>
      <c r="B41" s="46">
        <v>39</v>
      </c>
      <c r="C41" s="47"/>
      <c r="D41" s="47"/>
      <c r="E41" s="47"/>
      <c r="F41" s="47"/>
      <c r="G41" s="47"/>
      <c r="H41" s="47"/>
      <c r="I41" s="47"/>
      <c r="J41" s="47"/>
      <c r="K41" s="47"/>
      <c r="L41" s="47"/>
      <c r="M41" s="47"/>
      <c r="N41" s="47"/>
    </row>
    <row r="42" spans="1:14" x14ac:dyDescent="0.25">
      <c r="A42" s="892"/>
      <c r="B42" s="47">
        <v>40</v>
      </c>
      <c r="C42" s="47"/>
      <c r="D42" s="47"/>
      <c r="E42" s="47"/>
      <c r="F42" s="47"/>
      <c r="G42" s="47"/>
      <c r="H42" s="47"/>
      <c r="I42" s="47"/>
      <c r="J42" s="47"/>
      <c r="K42" s="47"/>
      <c r="L42" s="47"/>
      <c r="M42" s="47"/>
      <c r="N42" s="47"/>
    </row>
    <row r="43" spans="1:14" x14ac:dyDescent="0.25">
      <c r="A43" s="892"/>
      <c r="B43" s="47">
        <v>41</v>
      </c>
      <c r="C43" s="47"/>
      <c r="D43" s="47"/>
      <c r="E43" s="47"/>
      <c r="F43" s="47"/>
      <c r="G43" s="47"/>
      <c r="H43" s="47"/>
      <c r="I43" s="47"/>
      <c r="J43" s="47"/>
      <c r="K43" s="47"/>
      <c r="L43" s="47"/>
      <c r="M43" s="47"/>
      <c r="N43" s="47"/>
    </row>
    <row r="44" spans="1:14" x14ac:dyDescent="0.25">
      <c r="A44" s="892"/>
      <c r="B44" s="48">
        <v>42</v>
      </c>
      <c r="C44" s="47"/>
      <c r="D44" s="47"/>
      <c r="E44" s="47"/>
      <c r="F44" s="47"/>
      <c r="G44" s="47"/>
      <c r="H44" s="47"/>
      <c r="I44" s="47"/>
      <c r="J44" s="47"/>
      <c r="K44" s="47"/>
      <c r="L44" s="47"/>
      <c r="M44" s="47"/>
      <c r="N44" s="47"/>
    </row>
    <row r="45" spans="1:14" x14ac:dyDescent="0.25">
      <c r="A45" s="885" t="s">
        <v>527</v>
      </c>
      <c r="B45" s="12">
        <v>43</v>
      </c>
      <c r="C45" s="12"/>
      <c r="D45" s="12"/>
      <c r="E45" s="12"/>
      <c r="F45" s="12"/>
      <c r="G45" s="12"/>
      <c r="H45" s="12"/>
      <c r="I45" s="12"/>
      <c r="J45" s="12"/>
      <c r="K45" s="12"/>
      <c r="L45" s="12"/>
      <c r="M45" s="12"/>
      <c r="N45" s="12"/>
    </row>
    <row r="46" spans="1:14" x14ac:dyDescent="0.25">
      <c r="A46" s="885"/>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5" right="0.75" top="1" bottom="1"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71093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7109375" style="50"/>
    <col min="18" max="18" width="7.42578125" style="50" customWidth="1"/>
    <col min="19" max="20" width="10.7109375" style="50"/>
    <col min="21" max="21" width="13" style="50" customWidth="1"/>
    <col min="22" max="22" width="7.7109375" style="50" customWidth="1"/>
    <col min="23" max="28" width="12.140625" style="50" customWidth="1"/>
    <col min="29" max="29" width="6.28515625" style="50" bestFit="1" customWidth="1"/>
    <col min="30" max="30" width="22.71093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7109375" style="50"/>
    <col min="39" max="39" width="18.42578125" style="50" bestFit="1" customWidth="1"/>
    <col min="40" max="40" width="16.140625" style="50" customWidth="1"/>
    <col min="41" max="16384" width="10.7109375" style="50"/>
  </cols>
  <sheetData>
    <row r="1" spans="1:28" ht="32.25" customHeight="1" x14ac:dyDescent="0.25">
      <c r="A1" s="550"/>
      <c r="B1" s="610" t="s">
        <v>0</v>
      </c>
      <c r="C1" s="611"/>
      <c r="D1" s="611"/>
      <c r="E1" s="611"/>
      <c r="F1" s="611"/>
      <c r="G1" s="611"/>
      <c r="H1" s="611"/>
      <c r="I1" s="611"/>
      <c r="J1" s="611"/>
      <c r="K1" s="611"/>
      <c r="L1" s="611"/>
      <c r="M1" s="611"/>
      <c r="N1" s="611"/>
      <c r="O1" s="611"/>
      <c r="P1" s="611"/>
      <c r="Q1" s="611"/>
      <c r="R1" s="611"/>
      <c r="S1" s="611"/>
      <c r="T1" s="611"/>
      <c r="U1" s="611"/>
      <c r="V1" s="611"/>
      <c r="W1" s="611"/>
      <c r="X1" s="611"/>
      <c r="Y1" s="612"/>
      <c r="Z1" s="573" t="s">
        <v>90</v>
      </c>
      <c r="AA1" s="574"/>
      <c r="AB1" s="575"/>
    </row>
    <row r="2" spans="1:28" ht="30.75" customHeight="1" x14ac:dyDescent="0.25">
      <c r="A2" s="551"/>
      <c r="B2" s="613" t="s">
        <v>2</v>
      </c>
      <c r="C2" s="614"/>
      <c r="D2" s="614"/>
      <c r="E2" s="614"/>
      <c r="F2" s="614"/>
      <c r="G2" s="614"/>
      <c r="H2" s="614"/>
      <c r="I2" s="614"/>
      <c r="J2" s="614"/>
      <c r="K2" s="614"/>
      <c r="L2" s="614"/>
      <c r="M2" s="614"/>
      <c r="N2" s="614"/>
      <c r="O2" s="614"/>
      <c r="P2" s="614"/>
      <c r="Q2" s="614"/>
      <c r="R2" s="614"/>
      <c r="S2" s="614"/>
      <c r="T2" s="614"/>
      <c r="U2" s="614"/>
      <c r="V2" s="614"/>
      <c r="W2" s="614"/>
      <c r="X2" s="614"/>
      <c r="Y2" s="615"/>
      <c r="Z2" s="553" t="s">
        <v>91</v>
      </c>
      <c r="AA2" s="554"/>
      <c r="AB2" s="555"/>
    </row>
    <row r="3" spans="1:28" ht="24" customHeight="1" x14ac:dyDescent="0.25">
      <c r="A3" s="551"/>
      <c r="B3" s="564" t="s">
        <v>4</v>
      </c>
      <c r="C3" s="565"/>
      <c r="D3" s="565"/>
      <c r="E3" s="565"/>
      <c r="F3" s="565"/>
      <c r="G3" s="565"/>
      <c r="H3" s="565"/>
      <c r="I3" s="565"/>
      <c r="J3" s="565"/>
      <c r="K3" s="565"/>
      <c r="L3" s="565"/>
      <c r="M3" s="565"/>
      <c r="N3" s="565"/>
      <c r="O3" s="565"/>
      <c r="P3" s="565"/>
      <c r="Q3" s="565"/>
      <c r="R3" s="565"/>
      <c r="S3" s="565"/>
      <c r="T3" s="565"/>
      <c r="U3" s="565"/>
      <c r="V3" s="565"/>
      <c r="W3" s="565"/>
      <c r="X3" s="565"/>
      <c r="Y3" s="566"/>
      <c r="Z3" s="553" t="s">
        <v>92</v>
      </c>
      <c r="AA3" s="554"/>
      <c r="AB3" s="555"/>
    </row>
    <row r="4" spans="1:28" ht="15.75" customHeight="1" thickBot="1" x14ac:dyDescent="0.3">
      <c r="A4" s="552"/>
      <c r="B4" s="567"/>
      <c r="C4" s="568"/>
      <c r="D4" s="568"/>
      <c r="E4" s="568"/>
      <c r="F4" s="568"/>
      <c r="G4" s="568"/>
      <c r="H4" s="568"/>
      <c r="I4" s="568"/>
      <c r="J4" s="568"/>
      <c r="K4" s="568"/>
      <c r="L4" s="568"/>
      <c r="M4" s="568"/>
      <c r="N4" s="568"/>
      <c r="O4" s="568"/>
      <c r="P4" s="568"/>
      <c r="Q4" s="568"/>
      <c r="R4" s="568"/>
      <c r="S4" s="568"/>
      <c r="T4" s="568"/>
      <c r="U4" s="568"/>
      <c r="V4" s="568"/>
      <c r="W4" s="568"/>
      <c r="X4" s="568"/>
      <c r="Y4" s="569"/>
      <c r="Z4" s="556" t="s">
        <v>6</v>
      </c>
      <c r="AA4" s="557"/>
      <c r="AB4" s="558"/>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375" t="s">
        <v>15</v>
      </c>
      <c r="B7" s="376"/>
      <c r="C7" s="570"/>
      <c r="D7" s="571"/>
      <c r="E7" s="571"/>
      <c r="F7" s="571"/>
      <c r="G7" s="571"/>
      <c r="H7" s="571"/>
      <c r="I7" s="571"/>
      <c r="J7" s="571"/>
      <c r="K7" s="572"/>
      <c r="L7" s="62"/>
      <c r="M7" s="63"/>
      <c r="N7" s="63"/>
      <c r="O7" s="63"/>
      <c r="P7" s="63"/>
      <c r="Q7" s="64"/>
      <c r="R7" s="559" t="s">
        <v>9</v>
      </c>
      <c r="S7" s="560"/>
      <c r="T7" s="561"/>
      <c r="U7" s="628" t="s">
        <v>93</v>
      </c>
      <c r="V7" s="629"/>
      <c r="W7" s="559" t="s">
        <v>10</v>
      </c>
      <c r="X7" s="561"/>
      <c r="Y7" s="396" t="s">
        <v>11</v>
      </c>
      <c r="Z7" s="397"/>
      <c r="AA7" s="562"/>
      <c r="AB7" s="563"/>
    </row>
    <row r="8" spans="1:28" ht="15" customHeight="1" x14ac:dyDescent="0.25">
      <c r="A8" s="377"/>
      <c r="B8" s="378"/>
      <c r="C8" s="564"/>
      <c r="D8" s="565"/>
      <c r="E8" s="565"/>
      <c r="F8" s="565"/>
      <c r="G8" s="565"/>
      <c r="H8" s="565"/>
      <c r="I8" s="565"/>
      <c r="J8" s="565"/>
      <c r="K8" s="566"/>
      <c r="L8" s="62"/>
      <c r="M8" s="63"/>
      <c r="N8" s="63"/>
      <c r="O8" s="63"/>
      <c r="P8" s="63"/>
      <c r="Q8" s="64"/>
      <c r="R8" s="444"/>
      <c r="S8" s="445"/>
      <c r="T8" s="446"/>
      <c r="U8" s="630"/>
      <c r="V8" s="631"/>
      <c r="W8" s="444"/>
      <c r="X8" s="446"/>
      <c r="Y8" s="623" t="s">
        <v>12</v>
      </c>
      <c r="Z8" s="624"/>
      <c r="AA8" s="576"/>
      <c r="AB8" s="577"/>
    </row>
    <row r="9" spans="1:28" ht="15" customHeight="1" thickBot="1" x14ac:dyDescent="0.3">
      <c r="A9" s="379"/>
      <c r="B9" s="380"/>
      <c r="C9" s="567"/>
      <c r="D9" s="568"/>
      <c r="E9" s="568"/>
      <c r="F9" s="568"/>
      <c r="G9" s="568"/>
      <c r="H9" s="568"/>
      <c r="I9" s="568"/>
      <c r="J9" s="568"/>
      <c r="K9" s="569"/>
      <c r="L9" s="62"/>
      <c r="M9" s="63"/>
      <c r="N9" s="63"/>
      <c r="O9" s="63"/>
      <c r="P9" s="63"/>
      <c r="Q9" s="64"/>
      <c r="R9" s="447"/>
      <c r="S9" s="448"/>
      <c r="T9" s="449"/>
      <c r="U9" s="632"/>
      <c r="V9" s="633"/>
      <c r="W9" s="447"/>
      <c r="X9" s="449"/>
      <c r="Y9" s="432" t="s">
        <v>13</v>
      </c>
      <c r="Z9" s="433"/>
      <c r="AA9" s="578"/>
      <c r="AB9" s="579"/>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428" t="s">
        <v>17</v>
      </c>
      <c r="B11" s="429"/>
      <c r="C11" s="634"/>
      <c r="D11" s="635"/>
      <c r="E11" s="635"/>
      <c r="F11" s="635"/>
      <c r="G11" s="635"/>
      <c r="H11" s="635"/>
      <c r="I11" s="635"/>
      <c r="J11" s="635"/>
      <c r="K11" s="636"/>
      <c r="L11" s="72"/>
      <c r="M11" s="423" t="s">
        <v>19</v>
      </c>
      <c r="N11" s="427"/>
      <c r="O11" s="427"/>
      <c r="P11" s="427"/>
      <c r="Q11" s="424"/>
      <c r="R11" s="420"/>
      <c r="S11" s="421"/>
      <c r="T11" s="421"/>
      <c r="U11" s="421"/>
      <c r="V11" s="422"/>
      <c r="W11" s="423" t="s">
        <v>21</v>
      </c>
      <c r="X11" s="424"/>
      <c r="Y11" s="472"/>
      <c r="Z11" s="473"/>
      <c r="AA11" s="473"/>
      <c r="AB11" s="474"/>
    </row>
    <row r="12" spans="1:28" ht="9" customHeight="1" thickBot="1" x14ac:dyDescent="0.3">
      <c r="A12" s="59"/>
      <c r="B12" s="54"/>
      <c r="C12" s="471"/>
      <c r="D12" s="471"/>
      <c r="E12" s="471"/>
      <c r="F12" s="471"/>
      <c r="G12" s="471"/>
      <c r="H12" s="471"/>
      <c r="I12" s="471"/>
      <c r="J12" s="471"/>
      <c r="K12" s="471"/>
      <c r="L12" s="471"/>
      <c r="M12" s="471"/>
      <c r="N12" s="471"/>
      <c r="O12" s="471"/>
      <c r="P12" s="471"/>
      <c r="Q12" s="471"/>
      <c r="R12" s="471"/>
      <c r="S12" s="471"/>
      <c r="T12" s="471"/>
      <c r="U12" s="471"/>
      <c r="V12" s="471"/>
      <c r="W12" s="471"/>
      <c r="X12" s="471"/>
      <c r="Y12" s="471"/>
      <c r="Z12" s="471"/>
      <c r="AA12" s="73"/>
      <c r="AB12" s="74"/>
    </row>
    <row r="13" spans="1:28" s="76" customFormat="1" ht="37.5" customHeight="1" thickBot="1" x14ac:dyDescent="0.3">
      <c r="A13" s="428" t="s">
        <v>22</v>
      </c>
      <c r="B13" s="429"/>
      <c r="C13" s="598"/>
      <c r="D13" s="599"/>
      <c r="E13" s="599"/>
      <c r="F13" s="599"/>
      <c r="G13" s="599"/>
      <c r="H13" s="599"/>
      <c r="I13" s="599"/>
      <c r="J13" s="599"/>
      <c r="K13" s="599"/>
      <c r="L13" s="599"/>
      <c r="M13" s="599"/>
      <c r="N13" s="599"/>
      <c r="O13" s="599"/>
      <c r="P13" s="599"/>
      <c r="Q13" s="600"/>
      <c r="R13" s="54"/>
      <c r="S13" s="582" t="s">
        <v>94</v>
      </c>
      <c r="T13" s="582"/>
      <c r="U13" s="75"/>
      <c r="V13" s="444" t="s">
        <v>25</v>
      </c>
      <c r="W13" s="582"/>
      <c r="X13" s="582"/>
      <c r="Y13" s="582"/>
      <c r="Z13" s="54"/>
      <c r="AA13" s="469"/>
      <c r="AB13" s="470"/>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375" t="s">
        <v>7</v>
      </c>
      <c r="B15" s="376"/>
      <c r="C15" s="595" t="s">
        <v>95</v>
      </c>
      <c r="D15" s="80"/>
      <c r="E15" s="80"/>
      <c r="F15" s="80"/>
      <c r="G15" s="80"/>
      <c r="H15" s="80"/>
      <c r="I15" s="80"/>
      <c r="J15" s="70"/>
      <c r="K15" s="81"/>
      <c r="L15" s="70"/>
      <c r="M15" s="60"/>
      <c r="N15" s="60"/>
      <c r="O15" s="60"/>
      <c r="P15" s="60"/>
      <c r="Q15" s="583" t="s">
        <v>26</v>
      </c>
      <c r="R15" s="584"/>
      <c r="S15" s="584"/>
      <c r="T15" s="584"/>
      <c r="U15" s="584"/>
      <c r="V15" s="584"/>
      <c r="W15" s="584"/>
      <c r="X15" s="584"/>
      <c r="Y15" s="584"/>
      <c r="Z15" s="584"/>
      <c r="AA15" s="584"/>
      <c r="AB15" s="585"/>
    </row>
    <row r="16" spans="1:28" ht="35.25" customHeight="1" thickBot="1" x14ac:dyDescent="0.3">
      <c r="A16" s="379"/>
      <c r="B16" s="380"/>
      <c r="C16" s="596"/>
      <c r="D16" s="80"/>
      <c r="E16" s="80"/>
      <c r="F16" s="80"/>
      <c r="G16" s="80"/>
      <c r="H16" s="80"/>
      <c r="I16" s="80"/>
      <c r="J16" s="70"/>
      <c r="K16" s="70"/>
      <c r="L16" s="70"/>
      <c r="M16" s="60"/>
      <c r="N16" s="60"/>
      <c r="O16" s="60"/>
      <c r="P16" s="60"/>
      <c r="Q16" s="620" t="s">
        <v>96</v>
      </c>
      <c r="R16" s="621"/>
      <c r="S16" s="621"/>
      <c r="T16" s="621"/>
      <c r="U16" s="621"/>
      <c r="V16" s="622"/>
      <c r="W16" s="626" t="s">
        <v>97</v>
      </c>
      <c r="X16" s="621"/>
      <c r="Y16" s="621"/>
      <c r="Z16" s="621"/>
      <c r="AA16" s="621"/>
      <c r="AB16" s="627"/>
    </row>
    <row r="17" spans="1:39" ht="27" customHeight="1" x14ac:dyDescent="0.25">
      <c r="A17" s="82"/>
      <c r="B17" s="60"/>
      <c r="C17" s="60"/>
      <c r="D17" s="80"/>
      <c r="E17" s="80"/>
      <c r="F17" s="80"/>
      <c r="G17" s="80"/>
      <c r="H17" s="80"/>
      <c r="I17" s="80"/>
      <c r="J17" s="80"/>
      <c r="K17" s="80"/>
      <c r="L17" s="80"/>
      <c r="M17" s="60"/>
      <c r="N17" s="60"/>
      <c r="O17" s="60"/>
      <c r="P17" s="60"/>
      <c r="Q17" s="640" t="s">
        <v>98</v>
      </c>
      <c r="R17" s="641"/>
      <c r="S17" s="543"/>
      <c r="T17" s="544" t="s">
        <v>99</v>
      </c>
      <c r="U17" s="618"/>
      <c r="V17" s="619"/>
      <c r="W17" s="542" t="s">
        <v>98</v>
      </c>
      <c r="X17" s="543"/>
      <c r="Y17" s="542" t="s">
        <v>100</v>
      </c>
      <c r="Z17" s="543"/>
      <c r="AA17" s="544" t="s">
        <v>101</v>
      </c>
      <c r="AB17" s="545"/>
      <c r="AC17" s="83"/>
      <c r="AD17" s="83"/>
    </row>
    <row r="18" spans="1:39" ht="27" customHeight="1" x14ac:dyDescent="0.25">
      <c r="A18" s="82"/>
      <c r="B18" s="60"/>
      <c r="C18" s="60"/>
      <c r="D18" s="80"/>
      <c r="E18" s="80"/>
      <c r="F18" s="80"/>
      <c r="G18" s="80"/>
      <c r="H18" s="80"/>
      <c r="I18" s="80"/>
      <c r="J18" s="80"/>
      <c r="K18" s="80"/>
      <c r="L18" s="80"/>
      <c r="M18" s="60"/>
      <c r="N18" s="60"/>
      <c r="O18" s="60"/>
      <c r="P18" s="60"/>
      <c r="Q18" s="140"/>
      <c r="R18" s="141"/>
      <c r="S18" s="142"/>
      <c r="T18" s="544"/>
      <c r="U18" s="618"/>
      <c r="V18" s="619"/>
      <c r="W18" s="134"/>
      <c r="X18" s="135"/>
      <c r="Y18" s="134"/>
      <c r="Z18" s="135"/>
      <c r="AA18" s="136"/>
      <c r="AB18" s="137"/>
      <c r="AC18" s="83"/>
      <c r="AD18" s="83"/>
    </row>
    <row r="19" spans="1:39" ht="18" customHeight="1" thickBot="1" x14ac:dyDescent="0.3">
      <c r="A19" s="59"/>
      <c r="B19" s="54"/>
      <c r="C19" s="80"/>
      <c r="D19" s="80"/>
      <c r="E19" s="80"/>
      <c r="F19" s="80"/>
      <c r="G19" s="84"/>
      <c r="H19" s="84"/>
      <c r="I19" s="84"/>
      <c r="J19" s="84"/>
      <c r="K19" s="84"/>
      <c r="L19" s="84"/>
      <c r="M19" s="80"/>
      <c r="N19" s="80"/>
      <c r="O19" s="80"/>
      <c r="P19" s="80"/>
      <c r="Q19" s="637"/>
      <c r="R19" s="638"/>
      <c r="S19" s="639"/>
      <c r="T19" s="644"/>
      <c r="U19" s="638"/>
      <c r="V19" s="639"/>
      <c r="W19" s="586"/>
      <c r="X19" s="587"/>
      <c r="Y19" s="548"/>
      <c r="Z19" s="549"/>
      <c r="AA19" s="642"/>
      <c r="AB19" s="643"/>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450" t="s">
        <v>46</v>
      </c>
      <c r="B21" s="451"/>
      <c r="C21" s="452"/>
      <c r="D21" s="452"/>
      <c r="E21" s="452"/>
      <c r="F21" s="452"/>
      <c r="G21" s="452"/>
      <c r="H21" s="452"/>
      <c r="I21" s="452"/>
      <c r="J21" s="452"/>
      <c r="K21" s="452"/>
      <c r="L21" s="452"/>
      <c r="M21" s="452"/>
      <c r="N21" s="452"/>
      <c r="O21" s="452"/>
      <c r="P21" s="452"/>
      <c r="Q21" s="452"/>
      <c r="R21" s="452"/>
      <c r="S21" s="452"/>
      <c r="T21" s="452"/>
      <c r="U21" s="452"/>
      <c r="V21" s="452"/>
      <c r="W21" s="452"/>
      <c r="X21" s="452"/>
      <c r="Y21" s="452"/>
      <c r="Z21" s="452"/>
      <c r="AA21" s="452"/>
      <c r="AB21" s="453"/>
    </row>
    <row r="22" spans="1:39" ht="15" customHeight="1" x14ac:dyDescent="0.25">
      <c r="A22" s="459" t="s">
        <v>47</v>
      </c>
      <c r="B22" s="461" t="s">
        <v>48</v>
      </c>
      <c r="C22" s="462"/>
      <c r="D22" s="443" t="s">
        <v>102</v>
      </c>
      <c r="E22" s="465"/>
      <c r="F22" s="465"/>
      <c r="G22" s="465"/>
      <c r="H22" s="465"/>
      <c r="I22" s="465"/>
      <c r="J22" s="465"/>
      <c r="K22" s="465"/>
      <c r="L22" s="465"/>
      <c r="M22" s="465"/>
      <c r="N22" s="465"/>
      <c r="O22" s="466"/>
      <c r="P22" s="411" t="s">
        <v>40</v>
      </c>
      <c r="Q22" s="411" t="s">
        <v>50</v>
      </c>
      <c r="R22" s="411"/>
      <c r="S22" s="411"/>
      <c r="T22" s="411"/>
      <c r="U22" s="411"/>
      <c r="V22" s="411"/>
      <c r="W22" s="411"/>
      <c r="X22" s="411"/>
      <c r="Y22" s="411"/>
      <c r="Z22" s="411"/>
      <c r="AA22" s="411"/>
      <c r="AB22" s="467"/>
    </row>
    <row r="23" spans="1:39" ht="27" customHeight="1" x14ac:dyDescent="0.25">
      <c r="A23" s="460"/>
      <c r="B23" s="463"/>
      <c r="C23" s="464"/>
      <c r="D23" s="88" t="s">
        <v>29</v>
      </c>
      <c r="E23" s="88" t="s">
        <v>30</v>
      </c>
      <c r="F23" s="88" t="s">
        <v>31</v>
      </c>
      <c r="G23" s="88" t="s">
        <v>8</v>
      </c>
      <c r="H23" s="88" t="s">
        <v>32</v>
      </c>
      <c r="I23" s="88" t="s">
        <v>33</v>
      </c>
      <c r="J23" s="88" t="s">
        <v>34</v>
      </c>
      <c r="K23" s="88" t="s">
        <v>35</v>
      </c>
      <c r="L23" s="88" t="s">
        <v>36</v>
      </c>
      <c r="M23" s="88" t="s">
        <v>37</v>
      </c>
      <c r="N23" s="88" t="s">
        <v>38</v>
      </c>
      <c r="O23" s="88" t="s">
        <v>39</v>
      </c>
      <c r="P23" s="466"/>
      <c r="Q23" s="411"/>
      <c r="R23" s="411"/>
      <c r="S23" s="411"/>
      <c r="T23" s="411"/>
      <c r="U23" s="411"/>
      <c r="V23" s="411"/>
      <c r="W23" s="411"/>
      <c r="X23" s="411"/>
      <c r="Y23" s="411"/>
      <c r="Z23" s="411"/>
      <c r="AA23" s="411"/>
      <c r="AB23" s="467"/>
    </row>
    <row r="24" spans="1:39" ht="42" customHeight="1" thickBot="1" x14ac:dyDescent="0.3">
      <c r="A24" s="85"/>
      <c r="B24" s="546"/>
      <c r="C24" s="547"/>
      <c r="D24" s="89"/>
      <c r="E24" s="89"/>
      <c r="F24" s="89"/>
      <c r="G24" s="89"/>
      <c r="H24" s="89"/>
      <c r="I24" s="89"/>
      <c r="J24" s="89"/>
      <c r="K24" s="89"/>
      <c r="L24" s="89"/>
      <c r="M24" s="89"/>
      <c r="N24" s="89"/>
      <c r="O24" s="89"/>
      <c r="P24" s="86">
        <f>SUM(D24:O24)</f>
        <v>0</v>
      </c>
      <c r="Q24" s="402" t="s">
        <v>103</v>
      </c>
      <c r="R24" s="402"/>
      <c r="S24" s="402"/>
      <c r="T24" s="402"/>
      <c r="U24" s="402"/>
      <c r="V24" s="402"/>
      <c r="W24" s="402"/>
      <c r="X24" s="402"/>
      <c r="Y24" s="402"/>
      <c r="Z24" s="402"/>
      <c r="AA24" s="402"/>
      <c r="AB24" s="403"/>
    </row>
    <row r="25" spans="1:39" ht="21.75" customHeight="1" x14ac:dyDescent="0.25">
      <c r="A25" s="535" t="s">
        <v>52</v>
      </c>
      <c r="B25" s="406"/>
      <c r="C25" s="406"/>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7"/>
    </row>
    <row r="26" spans="1:39" ht="23.1" customHeight="1" x14ac:dyDescent="0.25">
      <c r="A26" s="409" t="s">
        <v>53</v>
      </c>
      <c r="B26" s="411" t="s">
        <v>54</v>
      </c>
      <c r="C26" s="411" t="s">
        <v>48</v>
      </c>
      <c r="D26" s="411" t="s">
        <v>55</v>
      </c>
      <c r="E26" s="411"/>
      <c r="F26" s="411"/>
      <c r="G26" s="411"/>
      <c r="H26" s="411"/>
      <c r="I26" s="411"/>
      <c r="J26" s="411"/>
      <c r="K26" s="411"/>
      <c r="L26" s="411"/>
      <c r="M26" s="411"/>
      <c r="N26" s="411"/>
      <c r="O26" s="411"/>
      <c r="P26" s="411"/>
      <c r="Q26" s="411" t="s">
        <v>56</v>
      </c>
      <c r="R26" s="411"/>
      <c r="S26" s="411"/>
      <c r="T26" s="411"/>
      <c r="U26" s="411"/>
      <c r="V26" s="411"/>
      <c r="W26" s="411"/>
      <c r="X26" s="411"/>
      <c r="Y26" s="411"/>
      <c r="Z26" s="411"/>
      <c r="AA26" s="411"/>
      <c r="AB26" s="467"/>
      <c r="AE26" s="87"/>
      <c r="AF26" s="87"/>
      <c r="AG26" s="87"/>
      <c r="AH26" s="87"/>
      <c r="AI26" s="87"/>
      <c r="AJ26" s="87"/>
      <c r="AK26" s="87"/>
      <c r="AL26" s="87"/>
      <c r="AM26" s="87"/>
    </row>
    <row r="27" spans="1:39" ht="23.1" customHeight="1" x14ac:dyDescent="0.25">
      <c r="A27" s="409"/>
      <c r="B27" s="411"/>
      <c r="C27" s="412"/>
      <c r="D27" s="88" t="s">
        <v>29</v>
      </c>
      <c r="E27" s="88" t="s">
        <v>30</v>
      </c>
      <c r="F27" s="88" t="s">
        <v>31</v>
      </c>
      <c r="G27" s="88" t="s">
        <v>8</v>
      </c>
      <c r="H27" s="88" t="s">
        <v>32</v>
      </c>
      <c r="I27" s="88" t="s">
        <v>33</v>
      </c>
      <c r="J27" s="88" t="s">
        <v>34</v>
      </c>
      <c r="K27" s="88" t="s">
        <v>35</v>
      </c>
      <c r="L27" s="88" t="s">
        <v>36</v>
      </c>
      <c r="M27" s="88" t="s">
        <v>37</v>
      </c>
      <c r="N27" s="88" t="s">
        <v>38</v>
      </c>
      <c r="O27" s="88" t="s">
        <v>39</v>
      </c>
      <c r="P27" s="88" t="s">
        <v>40</v>
      </c>
      <c r="Q27" s="463" t="s">
        <v>104</v>
      </c>
      <c r="R27" s="492"/>
      <c r="S27" s="492"/>
      <c r="T27" s="464"/>
      <c r="U27" s="463" t="s">
        <v>59</v>
      </c>
      <c r="V27" s="492"/>
      <c r="W27" s="492"/>
      <c r="X27" s="464"/>
      <c r="Y27" s="463" t="s">
        <v>60</v>
      </c>
      <c r="Z27" s="492"/>
      <c r="AA27" s="492"/>
      <c r="AB27" s="493"/>
      <c r="AE27" s="87"/>
      <c r="AF27" s="87"/>
      <c r="AG27" s="87"/>
      <c r="AH27" s="87"/>
      <c r="AI27" s="87"/>
      <c r="AJ27" s="87"/>
      <c r="AK27" s="87"/>
      <c r="AL27" s="87"/>
      <c r="AM27" s="87"/>
    </row>
    <row r="28" spans="1:39" ht="33" customHeight="1" x14ac:dyDescent="0.25">
      <c r="A28" s="533"/>
      <c r="B28" s="625"/>
      <c r="C28" s="90" t="s">
        <v>61</v>
      </c>
      <c r="D28" s="89"/>
      <c r="E28" s="89"/>
      <c r="F28" s="89"/>
      <c r="G28" s="89"/>
      <c r="H28" s="89"/>
      <c r="I28" s="89"/>
      <c r="J28" s="89"/>
      <c r="K28" s="89"/>
      <c r="L28" s="89"/>
      <c r="M28" s="89"/>
      <c r="N28" s="89"/>
      <c r="O28" s="89"/>
      <c r="P28" s="138">
        <f>SUM(D28:O28)</f>
        <v>0</v>
      </c>
      <c r="Q28" s="536" t="s">
        <v>105</v>
      </c>
      <c r="R28" s="537"/>
      <c r="S28" s="537"/>
      <c r="T28" s="538"/>
      <c r="U28" s="536" t="s">
        <v>106</v>
      </c>
      <c r="V28" s="537"/>
      <c r="W28" s="537"/>
      <c r="X28" s="538"/>
      <c r="Y28" s="536" t="s">
        <v>107</v>
      </c>
      <c r="Z28" s="537"/>
      <c r="AA28" s="537"/>
      <c r="AB28" s="616"/>
      <c r="AE28" s="87"/>
      <c r="AF28" s="87"/>
      <c r="AG28" s="87"/>
      <c r="AH28" s="87"/>
      <c r="AI28" s="87"/>
      <c r="AJ28" s="87"/>
      <c r="AK28" s="87"/>
      <c r="AL28" s="87"/>
      <c r="AM28" s="87"/>
    </row>
    <row r="29" spans="1:39" ht="33.75" customHeight="1" thickBot="1" x14ac:dyDescent="0.3">
      <c r="A29" s="534"/>
      <c r="B29" s="478"/>
      <c r="C29" s="91" t="s">
        <v>62</v>
      </c>
      <c r="D29" s="92"/>
      <c r="E29" s="92"/>
      <c r="F29" s="92"/>
      <c r="G29" s="93"/>
      <c r="H29" s="93"/>
      <c r="I29" s="93"/>
      <c r="J29" s="93"/>
      <c r="K29" s="93"/>
      <c r="L29" s="93"/>
      <c r="M29" s="93"/>
      <c r="N29" s="93"/>
      <c r="O29" s="93"/>
      <c r="P29" s="139">
        <f>SUM(D29:O29)</f>
        <v>0</v>
      </c>
      <c r="Q29" s="539"/>
      <c r="R29" s="540"/>
      <c r="S29" s="540"/>
      <c r="T29" s="541"/>
      <c r="U29" s="539"/>
      <c r="V29" s="540"/>
      <c r="W29" s="540"/>
      <c r="X29" s="541"/>
      <c r="Y29" s="539"/>
      <c r="Z29" s="540"/>
      <c r="AA29" s="540"/>
      <c r="AB29" s="617"/>
      <c r="AC29" s="49"/>
      <c r="AE29" s="87"/>
      <c r="AF29" s="87"/>
      <c r="AG29" s="87"/>
      <c r="AH29" s="87"/>
      <c r="AI29" s="87"/>
      <c r="AJ29" s="87"/>
      <c r="AK29" s="87"/>
      <c r="AL29" s="87"/>
      <c r="AM29" s="87"/>
    </row>
    <row r="30" spans="1:39" ht="26.1" customHeight="1" x14ac:dyDescent="0.25">
      <c r="A30" s="408" t="s">
        <v>63</v>
      </c>
      <c r="B30" s="509" t="s">
        <v>64</v>
      </c>
      <c r="C30" s="410" t="s">
        <v>65</v>
      </c>
      <c r="D30" s="410"/>
      <c r="E30" s="410"/>
      <c r="F30" s="410"/>
      <c r="G30" s="410"/>
      <c r="H30" s="410"/>
      <c r="I30" s="410"/>
      <c r="J30" s="410"/>
      <c r="K30" s="410"/>
      <c r="L30" s="410"/>
      <c r="M30" s="410"/>
      <c r="N30" s="410"/>
      <c r="O30" s="410"/>
      <c r="P30" s="410"/>
      <c r="Q30" s="468" t="s">
        <v>66</v>
      </c>
      <c r="R30" s="512"/>
      <c r="S30" s="512"/>
      <c r="T30" s="512"/>
      <c r="U30" s="512"/>
      <c r="V30" s="512"/>
      <c r="W30" s="512"/>
      <c r="X30" s="512"/>
      <c r="Y30" s="512"/>
      <c r="Z30" s="512"/>
      <c r="AA30" s="512"/>
      <c r="AB30" s="513"/>
      <c r="AE30" s="87"/>
      <c r="AF30" s="87"/>
      <c r="AG30" s="87"/>
      <c r="AH30" s="87"/>
      <c r="AI30" s="87"/>
      <c r="AJ30" s="87"/>
      <c r="AK30" s="87"/>
      <c r="AL30" s="87"/>
      <c r="AM30" s="87"/>
    </row>
    <row r="31" spans="1:39" ht="26.1" customHeight="1" x14ac:dyDescent="0.25">
      <c r="A31" s="409"/>
      <c r="B31" s="529"/>
      <c r="C31" s="88" t="s">
        <v>67</v>
      </c>
      <c r="D31" s="88" t="s">
        <v>68</v>
      </c>
      <c r="E31" s="88" t="s">
        <v>69</v>
      </c>
      <c r="F31" s="88" t="s">
        <v>70</v>
      </c>
      <c r="G31" s="88" t="s">
        <v>71</v>
      </c>
      <c r="H31" s="88" t="s">
        <v>72</v>
      </c>
      <c r="I31" s="88" t="s">
        <v>73</v>
      </c>
      <c r="J31" s="88" t="s">
        <v>74</v>
      </c>
      <c r="K31" s="88" t="s">
        <v>75</v>
      </c>
      <c r="L31" s="88" t="s">
        <v>76</v>
      </c>
      <c r="M31" s="88" t="s">
        <v>77</v>
      </c>
      <c r="N31" s="88" t="s">
        <v>78</v>
      </c>
      <c r="O31" s="88" t="s">
        <v>79</v>
      </c>
      <c r="P31" s="88" t="s">
        <v>80</v>
      </c>
      <c r="Q31" s="443" t="s">
        <v>81</v>
      </c>
      <c r="R31" s="465"/>
      <c r="S31" s="465"/>
      <c r="T31" s="465"/>
      <c r="U31" s="465"/>
      <c r="V31" s="465"/>
      <c r="W31" s="465"/>
      <c r="X31" s="465"/>
      <c r="Y31" s="465"/>
      <c r="Z31" s="465"/>
      <c r="AA31" s="465"/>
      <c r="AB31" s="588"/>
      <c r="AE31" s="94"/>
      <c r="AF31" s="94"/>
      <c r="AG31" s="94"/>
      <c r="AH31" s="94"/>
      <c r="AI31" s="94"/>
      <c r="AJ31" s="94"/>
      <c r="AK31" s="94"/>
      <c r="AL31" s="94"/>
      <c r="AM31" s="94"/>
    </row>
    <row r="32" spans="1:39" ht="28.5" customHeight="1" x14ac:dyDescent="0.25">
      <c r="A32" s="531"/>
      <c r="B32" s="527"/>
      <c r="C32" s="90" t="s">
        <v>61</v>
      </c>
      <c r="D32" s="95"/>
      <c r="E32" s="95"/>
      <c r="F32" s="95"/>
      <c r="G32" s="95"/>
      <c r="H32" s="95"/>
      <c r="I32" s="95"/>
      <c r="J32" s="95"/>
      <c r="K32" s="95"/>
      <c r="L32" s="95"/>
      <c r="M32" s="95"/>
      <c r="N32" s="95"/>
      <c r="O32" s="95"/>
      <c r="P32" s="96">
        <f t="shared" ref="P32:P39" si="0">SUM(D32:O32)</f>
        <v>0</v>
      </c>
      <c r="Q32" s="589" t="s">
        <v>108</v>
      </c>
      <c r="R32" s="590"/>
      <c r="S32" s="590"/>
      <c r="T32" s="590"/>
      <c r="U32" s="590"/>
      <c r="V32" s="590"/>
      <c r="W32" s="590"/>
      <c r="X32" s="590"/>
      <c r="Y32" s="590"/>
      <c r="Z32" s="590"/>
      <c r="AA32" s="590"/>
      <c r="AB32" s="591"/>
      <c r="AC32" s="97"/>
      <c r="AE32" s="98"/>
      <c r="AF32" s="98"/>
      <c r="AG32" s="98"/>
      <c r="AH32" s="98"/>
      <c r="AI32" s="98"/>
      <c r="AJ32" s="98"/>
      <c r="AK32" s="98"/>
      <c r="AL32" s="98"/>
      <c r="AM32" s="98"/>
    </row>
    <row r="33" spans="1:29" ht="28.5" customHeight="1" x14ac:dyDescent="0.25">
      <c r="A33" s="532"/>
      <c r="B33" s="528"/>
      <c r="C33" s="99" t="s">
        <v>62</v>
      </c>
      <c r="D33" s="100"/>
      <c r="E33" s="100"/>
      <c r="F33" s="100"/>
      <c r="G33" s="100"/>
      <c r="H33" s="100"/>
      <c r="I33" s="100"/>
      <c r="J33" s="100"/>
      <c r="K33" s="100"/>
      <c r="L33" s="100"/>
      <c r="M33" s="100"/>
      <c r="N33" s="100"/>
      <c r="O33" s="100"/>
      <c r="P33" s="101">
        <f t="shared" si="0"/>
        <v>0</v>
      </c>
      <c r="Q33" s="592"/>
      <c r="R33" s="593"/>
      <c r="S33" s="593"/>
      <c r="T33" s="593"/>
      <c r="U33" s="593"/>
      <c r="V33" s="593"/>
      <c r="W33" s="593"/>
      <c r="X33" s="593"/>
      <c r="Y33" s="593"/>
      <c r="Z33" s="593"/>
      <c r="AA33" s="593"/>
      <c r="AB33" s="594"/>
      <c r="AC33" s="97"/>
    </row>
    <row r="34" spans="1:29" ht="28.5" customHeight="1" x14ac:dyDescent="0.25">
      <c r="A34" s="532"/>
      <c r="B34" s="530"/>
      <c r="C34" s="102" t="s">
        <v>61</v>
      </c>
      <c r="D34" s="103"/>
      <c r="E34" s="103"/>
      <c r="F34" s="103"/>
      <c r="G34" s="103"/>
      <c r="H34" s="103"/>
      <c r="I34" s="103"/>
      <c r="J34" s="103"/>
      <c r="K34" s="103"/>
      <c r="L34" s="103"/>
      <c r="M34" s="103"/>
      <c r="N34" s="103"/>
      <c r="O34" s="103"/>
      <c r="P34" s="101">
        <f t="shared" si="0"/>
        <v>0</v>
      </c>
      <c r="Q34" s="601"/>
      <c r="R34" s="602"/>
      <c r="S34" s="602"/>
      <c r="T34" s="602"/>
      <c r="U34" s="602"/>
      <c r="V34" s="602"/>
      <c r="W34" s="602"/>
      <c r="X34" s="602"/>
      <c r="Y34" s="602"/>
      <c r="Z34" s="602"/>
      <c r="AA34" s="602"/>
      <c r="AB34" s="603"/>
      <c r="AC34" s="97"/>
    </row>
    <row r="35" spans="1:29" ht="28.5" customHeight="1" x14ac:dyDescent="0.25">
      <c r="A35" s="532"/>
      <c r="B35" s="528"/>
      <c r="C35" s="99" t="s">
        <v>62</v>
      </c>
      <c r="D35" s="100"/>
      <c r="E35" s="100"/>
      <c r="F35" s="100"/>
      <c r="G35" s="100"/>
      <c r="H35" s="100"/>
      <c r="I35" s="100"/>
      <c r="J35" s="100"/>
      <c r="K35" s="100"/>
      <c r="L35" s="104"/>
      <c r="M35" s="104"/>
      <c r="N35" s="104"/>
      <c r="O35" s="104"/>
      <c r="P35" s="101">
        <f t="shared" si="0"/>
        <v>0</v>
      </c>
      <c r="Q35" s="607"/>
      <c r="R35" s="608"/>
      <c r="S35" s="608"/>
      <c r="T35" s="608"/>
      <c r="U35" s="608"/>
      <c r="V35" s="608"/>
      <c r="W35" s="608"/>
      <c r="X35" s="608"/>
      <c r="Y35" s="608"/>
      <c r="Z35" s="608"/>
      <c r="AA35" s="608"/>
      <c r="AB35" s="609"/>
      <c r="AC35" s="97"/>
    </row>
    <row r="36" spans="1:29" ht="28.5" customHeight="1" x14ac:dyDescent="0.25">
      <c r="A36" s="525"/>
      <c r="B36" s="530"/>
      <c r="C36" s="102" t="s">
        <v>61</v>
      </c>
      <c r="D36" s="103"/>
      <c r="E36" s="103"/>
      <c r="F36" s="103"/>
      <c r="G36" s="103"/>
      <c r="H36" s="103"/>
      <c r="I36" s="103"/>
      <c r="J36" s="103"/>
      <c r="K36" s="103"/>
      <c r="L36" s="103"/>
      <c r="M36" s="103"/>
      <c r="N36" s="103"/>
      <c r="O36" s="103"/>
      <c r="P36" s="101">
        <f t="shared" si="0"/>
        <v>0</v>
      </c>
      <c r="Q36" s="601"/>
      <c r="R36" s="602"/>
      <c r="S36" s="602"/>
      <c r="T36" s="602"/>
      <c r="U36" s="602"/>
      <c r="V36" s="602"/>
      <c r="W36" s="602"/>
      <c r="X36" s="602"/>
      <c r="Y36" s="602"/>
      <c r="Z36" s="602"/>
      <c r="AA36" s="602"/>
      <c r="AB36" s="603"/>
      <c r="AC36" s="97"/>
    </row>
    <row r="37" spans="1:29" ht="28.5" customHeight="1" x14ac:dyDescent="0.25">
      <c r="A37" s="526"/>
      <c r="B37" s="528"/>
      <c r="C37" s="99" t="s">
        <v>62</v>
      </c>
      <c r="D37" s="100"/>
      <c r="E37" s="100"/>
      <c r="F37" s="100"/>
      <c r="G37" s="100"/>
      <c r="H37" s="100"/>
      <c r="I37" s="100"/>
      <c r="J37" s="100"/>
      <c r="K37" s="100"/>
      <c r="L37" s="104"/>
      <c r="M37" s="104"/>
      <c r="N37" s="104"/>
      <c r="O37" s="104"/>
      <c r="P37" s="101">
        <f t="shared" si="0"/>
        <v>0</v>
      </c>
      <c r="Q37" s="607"/>
      <c r="R37" s="608"/>
      <c r="S37" s="608"/>
      <c r="T37" s="608"/>
      <c r="U37" s="608"/>
      <c r="V37" s="608"/>
      <c r="W37" s="608"/>
      <c r="X37" s="608"/>
      <c r="Y37" s="608"/>
      <c r="Z37" s="608"/>
      <c r="AA37" s="608"/>
      <c r="AB37" s="609"/>
      <c r="AC37" s="97"/>
    </row>
    <row r="38" spans="1:29" ht="28.5" customHeight="1" x14ac:dyDescent="0.25">
      <c r="A38" s="580"/>
      <c r="B38" s="530"/>
      <c r="C38" s="102" t="s">
        <v>61</v>
      </c>
      <c r="D38" s="103"/>
      <c r="E38" s="103"/>
      <c r="F38" s="103"/>
      <c r="G38" s="103"/>
      <c r="H38" s="103"/>
      <c r="I38" s="103"/>
      <c r="J38" s="103"/>
      <c r="K38" s="103"/>
      <c r="L38" s="103"/>
      <c r="M38" s="103"/>
      <c r="N38" s="103"/>
      <c r="O38" s="103"/>
      <c r="P38" s="101">
        <f t="shared" si="0"/>
        <v>0</v>
      </c>
      <c r="Q38" s="601"/>
      <c r="R38" s="602"/>
      <c r="S38" s="602"/>
      <c r="T38" s="602"/>
      <c r="U38" s="602"/>
      <c r="V38" s="602"/>
      <c r="W38" s="602"/>
      <c r="X38" s="602"/>
      <c r="Y38" s="602"/>
      <c r="Z38" s="602"/>
      <c r="AA38" s="602"/>
      <c r="AB38" s="603"/>
      <c r="AC38" s="97"/>
    </row>
    <row r="39" spans="1:29" ht="28.5" customHeight="1" thickBot="1" x14ac:dyDescent="0.3">
      <c r="A39" s="581"/>
      <c r="B39" s="597"/>
      <c r="C39" s="91" t="s">
        <v>62</v>
      </c>
      <c r="D39" s="105"/>
      <c r="E39" s="105"/>
      <c r="F39" s="105"/>
      <c r="G39" s="105"/>
      <c r="H39" s="105"/>
      <c r="I39" s="105"/>
      <c r="J39" s="105"/>
      <c r="K39" s="105"/>
      <c r="L39" s="106"/>
      <c r="M39" s="106"/>
      <c r="N39" s="106"/>
      <c r="O39" s="106"/>
      <c r="P39" s="107">
        <f t="shared" si="0"/>
        <v>0</v>
      </c>
      <c r="Q39" s="604"/>
      <c r="R39" s="605"/>
      <c r="S39" s="605"/>
      <c r="T39" s="605"/>
      <c r="U39" s="605"/>
      <c r="V39" s="605"/>
      <c r="W39" s="605"/>
      <c r="X39" s="605"/>
      <c r="Y39" s="605"/>
      <c r="Z39" s="605"/>
      <c r="AA39" s="605"/>
      <c r="AB39" s="606"/>
      <c r="AC39" s="97"/>
    </row>
    <row r="40" spans="1:29" x14ac:dyDescent="0.25">
      <c r="A40" s="50" t="s">
        <v>88</v>
      </c>
    </row>
  </sheetData>
  <mergeCells count="86">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Y17:Z17"/>
    <mergeCell ref="AA17:AB17"/>
    <mergeCell ref="W17:X17"/>
    <mergeCell ref="B24:C24"/>
    <mergeCell ref="A26:A27"/>
    <mergeCell ref="C26:C27"/>
    <mergeCell ref="A22:A23"/>
    <mergeCell ref="Y19:Z19"/>
    <mergeCell ref="A28:A29"/>
    <mergeCell ref="A25:AB25"/>
    <mergeCell ref="D26:P26"/>
    <mergeCell ref="Q24:AB24"/>
    <mergeCell ref="B26:B27"/>
    <mergeCell ref="Q28:T29"/>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100-000000000000}">
      <formula1>2000</formula1>
    </dataValidation>
    <dataValidation type="textLength" operator="lessThanOrEqual" allowBlank="1" showInputMessage="1" showErrorMessage="1" errorTitle="Máximo 2.000 caracteres" error="Máximo 2.000 caracteres" sqref="Q32:AB39 Q28 U28 Y28" xr:uid="{00000000-0002-0000-0100-000001000000}">
      <formula1>2000</formula1>
    </dataValidation>
  </dataValidations>
  <pageMargins left="0" right="0" top="0" bottom="0" header="0" footer="0"/>
  <pageSetup paperSize="41" scale="48" fitToHeight="0"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303"/>
  <sheetViews>
    <sheetView showGridLines="0" topLeftCell="N9" zoomScale="60" zoomScaleNormal="60" workbookViewId="0">
      <selection activeCell="P25" sqref="P25"/>
    </sheetView>
  </sheetViews>
  <sheetFormatPr baseColWidth="10" defaultColWidth="10.7109375" defaultRowHeight="15" x14ac:dyDescent="0.25"/>
  <cols>
    <col min="1" max="1" width="64.42578125" style="50" customWidth="1"/>
    <col min="2" max="2" width="20.7109375" style="50" customWidth="1"/>
    <col min="3" max="3" width="38.140625" style="50" customWidth="1"/>
    <col min="4"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71093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3" ht="32.25" customHeight="1" thickBot="1" x14ac:dyDescent="0.3">
      <c r="A1" s="351"/>
      <c r="B1" s="354" t="s">
        <v>0</v>
      </c>
      <c r="C1" s="355"/>
      <c r="D1" s="355"/>
      <c r="E1" s="355"/>
      <c r="F1" s="355"/>
      <c r="G1" s="355"/>
      <c r="H1" s="355"/>
      <c r="I1" s="355"/>
      <c r="J1" s="355"/>
      <c r="K1" s="355"/>
      <c r="L1" s="355"/>
      <c r="M1" s="355"/>
      <c r="N1" s="355"/>
      <c r="O1" s="355"/>
      <c r="P1" s="355"/>
      <c r="Q1" s="355"/>
      <c r="R1" s="355"/>
      <c r="S1" s="355"/>
      <c r="T1" s="355"/>
      <c r="U1" s="355"/>
      <c r="V1" s="355"/>
      <c r="W1" s="355"/>
      <c r="X1" s="355"/>
      <c r="Y1" s="355"/>
      <c r="Z1" s="355"/>
      <c r="AA1" s="356"/>
      <c r="AB1" s="357" t="s">
        <v>1</v>
      </c>
      <c r="AC1" s="358"/>
      <c r="AD1" s="359"/>
    </row>
    <row r="2" spans="1:33" ht="30.75" customHeight="1" thickBot="1" x14ac:dyDescent="0.3">
      <c r="A2" s="352"/>
      <c r="B2" s="354" t="s">
        <v>2</v>
      </c>
      <c r="C2" s="355"/>
      <c r="D2" s="355"/>
      <c r="E2" s="355"/>
      <c r="F2" s="355"/>
      <c r="G2" s="355"/>
      <c r="H2" s="355"/>
      <c r="I2" s="355"/>
      <c r="J2" s="355"/>
      <c r="K2" s="355"/>
      <c r="L2" s="355"/>
      <c r="M2" s="355"/>
      <c r="N2" s="355"/>
      <c r="O2" s="355"/>
      <c r="P2" s="355"/>
      <c r="Q2" s="355"/>
      <c r="R2" s="355"/>
      <c r="S2" s="355"/>
      <c r="T2" s="355"/>
      <c r="U2" s="355"/>
      <c r="V2" s="355"/>
      <c r="W2" s="355"/>
      <c r="X2" s="355"/>
      <c r="Y2" s="355"/>
      <c r="Z2" s="355"/>
      <c r="AA2" s="356"/>
      <c r="AB2" s="360" t="s">
        <v>3</v>
      </c>
      <c r="AC2" s="361"/>
      <c r="AD2" s="362"/>
    </row>
    <row r="3" spans="1:33" ht="24" customHeight="1" x14ac:dyDescent="0.25">
      <c r="A3" s="352"/>
      <c r="B3" s="535" t="s">
        <v>4</v>
      </c>
      <c r="C3" s="406"/>
      <c r="D3" s="406"/>
      <c r="E3" s="406"/>
      <c r="F3" s="406"/>
      <c r="G3" s="406"/>
      <c r="H3" s="406"/>
      <c r="I3" s="406"/>
      <c r="J3" s="406"/>
      <c r="K3" s="406"/>
      <c r="L3" s="406"/>
      <c r="M3" s="406"/>
      <c r="N3" s="406"/>
      <c r="O3" s="406"/>
      <c r="P3" s="406"/>
      <c r="Q3" s="406"/>
      <c r="R3" s="406"/>
      <c r="S3" s="406"/>
      <c r="T3" s="406"/>
      <c r="U3" s="406"/>
      <c r="V3" s="406"/>
      <c r="W3" s="406"/>
      <c r="X3" s="406"/>
      <c r="Y3" s="406"/>
      <c r="Z3" s="406"/>
      <c r="AA3" s="407"/>
      <c r="AB3" s="360" t="s">
        <v>5</v>
      </c>
      <c r="AC3" s="361"/>
      <c r="AD3" s="362"/>
    </row>
    <row r="4" spans="1:33" ht="21.75" customHeight="1" thickBot="1" x14ac:dyDescent="0.3">
      <c r="A4" s="353"/>
      <c r="B4" s="670"/>
      <c r="C4" s="671"/>
      <c r="D4" s="671"/>
      <c r="E4" s="671"/>
      <c r="F4" s="671"/>
      <c r="G4" s="671"/>
      <c r="H4" s="671"/>
      <c r="I4" s="671"/>
      <c r="J4" s="671"/>
      <c r="K4" s="671"/>
      <c r="L4" s="671"/>
      <c r="M4" s="671"/>
      <c r="N4" s="671"/>
      <c r="O4" s="671"/>
      <c r="P4" s="671"/>
      <c r="Q4" s="671"/>
      <c r="R4" s="671"/>
      <c r="S4" s="671"/>
      <c r="T4" s="671"/>
      <c r="U4" s="671"/>
      <c r="V4" s="671"/>
      <c r="W4" s="671"/>
      <c r="X4" s="671"/>
      <c r="Y4" s="671"/>
      <c r="Z4" s="671"/>
      <c r="AA4" s="672"/>
      <c r="AB4" s="372" t="s">
        <v>6</v>
      </c>
      <c r="AC4" s="373"/>
      <c r="AD4" s="374"/>
    </row>
    <row r="5" spans="1:33" ht="9" customHeight="1" thickBot="1" x14ac:dyDescent="0.3">
      <c r="A5" s="51"/>
      <c r="B5" s="170"/>
      <c r="C5" s="17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3"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3" x14ac:dyDescent="0.25">
      <c r="A7" s="375" t="s">
        <v>7</v>
      </c>
      <c r="B7" s="376"/>
      <c r="C7" s="417" t="s">
        <v>32</v>
      </c>
      <c r="D7" s="381" t="s">
        <v>9</v>
      </c>
      <c r="E7" s="382"/>
      <c r="F7" s="382"/>
      <c r="G7" s="382"/>
      <c r="H7" s="383"/>
      <c r="I7" s="390">
        <v>45083</v>
      </c>
      <c r="J7" s="391"/>
      <c r="K7" s="381" t="s">
        <v>10</v>
      </c>
      <c r="L7" s="383"/>
      <c r="M7" s="415" t="s">
        <v>11</v>
      </c>
      <c r="N7" s="416"/>
      <c r="O7" s="673"/>
      <c r="P7" s="674"/>
      <c r="Q7" s="255"/>
      <c r="R7" s="255"/>
      <c r="S7" s="255"/>
      <c r="T7" s="255"/>
      <c r="U7" s="255"/>
      <c r="V7" s="255"/>
      <c r="W7" s="255"/>
      <c r="X7" s="255"/>
      <c r="Y7" s="255"/>
      <c r="Z7" s="256"/>
      <c r="AA7" s="255"/>
      <c r="AB7" s="255"/>
      <c r="AC7" s="257"/>
      <c r="AD7" s="258"/>
      <c r="AE7" s="259"/>
      <c r="AF7" s="259"/>
      <c r="AG7" s="259"/>
    </row>
    <row r="8" spans="1:33" x14ac:dyDescent="0.25">
      <c r="A8" s="377"/>
      <c r="B8" s="378"/>
      <c r="C8" s="418"/>
      <c r="D8" s="384"/>
      <c r="E8" s="385"/>
      <c r="F8" s="385"/>
      <c r="G8" s="385"/>
      <c r="H8" s="386"/>
      <c r="I8" s="392"/>
      <c r="J8" s="393"/>
      <c r="K8" s="384"/>
      <c r="L8" s="386"/>
      <c r="M8" s="398" t="s">
        <v>12</v>
      </c>
      <c r="N8" s="399"/>
      <c r="O8" s="413"/>
      <c r="P8" s="414"/>
      <c r="Q8" s="255"/>
      <c r="R8" s="255"/>
      <c r="S8" s="255"/>
      <c r="T8" s="255"/>
      <c r="U8" s="255"/>
      <c r="V8" s="255"/>
      <c r="W8" s="255"/>
      <c r="X8" s="255"/>
      <c r="Y8" s="255"/>
      <c r="Z8" s="256"/>
      <c r="AA8" s="255"/>
      <c r="AB8" s="255"/>
      <c r="AC8" s="257"/>
      <c r="AD8" s="258"/>
      <c r="AE8" s="259"/>
      <c r="AF8" s="259"/>
      <c r="AG8" s="259"/>
    </row>
    <row r="9" spans="1:33" ht="15.75" thickBot="1" x14ac:dyDescent="0.3">
      <c r="A9" s="379"/>
      <c r="B9" s="380"/>
      <c r="C9" s="419"/>
      <c r="D9" s="387"/>
      <c r="E9" s="388"/>
      <c r="F9" s="388"/>
      <c r="G9" s="388"/>
      <c r="H9" s="389"/>
      <c r="I9" s="394"/>
      <c r="J9" s="395"/>
      <c r="K9" s="387"/>
      <c r="L9" s="389"/>
      <c r="M9" s="430" t="s">
        <v>13</v>
      </c>
      <c r="N9" s="431"/>
      <c r="O9" s="432" t="s">
        <v>14</v>
      </c>
      <c r="P9" s="433"/>
      <c r="Q9" s="255"/>
      <c r="R9" s="255"/>
      <c r="S9" s="255"/>
      <c r="T9" s="255"/>
      <c r="U9" s="255"/>
      <c r="V9" s="255"/>
      <c r="W9" s="255"/>
      <c r="X9" s="255"/>
      <c r="Y9" s="255"/>
      <c r="Z9" s="256"/>
      <c r="AA9" s="255"/>
      <c r="AB9" s="255"/>
      <c r="AC9" s="257"/>
      <c r="AD9" s="258"/>
      <c r="AE9" s="259"/>
      <c r="AF9" s="259"/>
      <c r="AG9" s="259"/>
    </row>
    <row r="10" spans="1:33" ht="15" customHeight="1" thickBot="1" x14ac:dyDescent="0.3">
      <c r="A10" s="146"/>
      <c r="B10" s="147"/>
      <c r="C10" s="147"/>
      <c r="D10" s="65"/>
      <c r="E10" s="65"/>
      <c r="F10" s="65"/>
      <c r="G10" s="65"/>
      <c r="H10" s="65"/>
      <c r="I10" s="143"/>
      <c r="J10" s="143"/>
      <c r="K10" s="65"/>
      <c r="L10" s="65"/>
      <c r="M10" s="144"/>
      <c r="N10" s="144"/>
      <c r="O10" s="145"/>
      <c r="P10" s="145"/>
      <c r="Q10" s="147"/>
      <c r="R10" s="147"/>
      <c r="S10" s="147"/>
      <c r="T10" s="147"/>
      <c r="U10" s="147"/>
      <c r="V10" s="147"/>
      <c r="W10" s="147"/>
      <c r="X10" s="147"/>
      <c r="Y10" s="147"/>
      <c r="Z10" s="148"/>
      <c r="AA10" s="147"/>
      <c r="AB10" s="147"/>
      <c r="AC10" s="149"/>
      <c r="AD10" s="150"/>
    </row>
    <row r="11" spans="1:33" ht="15" customHeight="1" x14ac:dyDescent="0.25">
      <c r="A11" s="375" t="s">
        <v>15</v>
      </c>
      <c r="B11" s="376"/>
      <c r="C11" s="434" t="s">
        <v>16</v>
      </c>
      <c r="D11" s="435"/>
      <c r="E11" s="435"/>
      <c r="F11" s="435"/>
      <c r="G11" s="435"/>
      <c r="H11" s="435"/>
      <c r="I11" s="435"/>
      <c r="J11" s="435"/>
      <c r="K11" s="435"/>
      <c r="L11" s="435"/>
      <c r="M11" s="435"/>
      <c r="N11" s="435"/>
      <c r="O11" s="435"/>
      <c r="P11" s="435"/>
      <c r="Q11" s="435"/>
      <c r="R11" s="435"/>
      <c r="S11" s="435"/>
      <c r="T11" s="435"/>
      <c r="U11" s="435"/>
      <c r="V11" s="435"/>
      <c r="W11" s="435"/>
      <c r="X11" s="435"/>
      <c r="Y11" s="435"/>
      <c r="Z11" s="435"/>
      <c r="AA11" s="435"/>
      <c r="AB11" s="435"/>
      <c r="AC11" s="435"/>
      <c r="AD11" s="436"/>
    </row>
    <row r="12" spans="1:33" ht="15" customHeight="1" x14ac:dyDescent="0.25">
      <c r="A12" s="377"/>
      <c r="B12" s="378"/>
      <c r="C12" s="437"/>
      <c r="D12" s="438"/>
      <c r="E12" s="438"/>
      <c r="F12" s="438"/>
      <c r="G12" s="438"/>
      <c r="H12" s="438"/>
      <c r="I12" s="438"/>
      <c r="J12" s="438"/>
      <c r="K12" s="438"/>
      <c r="L12" s="438"/>
      <c r="M12" s="438"/>
      <c r="N12" s="438"/>
      <c r="O12" s="438"/>
      <c r="P12" s="438"/>
      <c r="Q12" s="438"/>
      <c r="R12" s="438"/>
      <c r="S12" s="438"/>
      <c r="T12" s="438"/>
      <c r="U12" s="438"/>
      <c r="V12" s="438"/>
      <c r="W12" s="438"/>
      <c r="X12" s="438"/>
      <c r="Y12" s="438"/>
      <c r="Z12" s="438"/>
      <c r="AA12" s="438"/>
      <c r="AB12" s="438"/>
      <c r="AC12" s="438"/>
      <c r="AD12" s="439"/>
    </row>
    <row r="13" spans="1:33" ht="15" customHeight="1" thickBot="1" x14ac:dyDescent="0.3">
      <c r="A13" s="379"/>
      <c r="B13" s="380"/>
      <c r="C13" s="440"/>
      <c r="D13" s="441"/>
      <c r="E13" s="441"/>
      <c r="F13" s="441"/>
      <c r="G13" s="441"/>
      <c r="H13" s="441"/>
      <c r="I13" s="441"/>
      <c r="J13" s="441"/>
      <c r="K13" s="441"/>
      <c r="L13" s="441"/>
      <c r="M13" s="441"/>
      <c r="N13" s="441"/>
      <c r="O13" s="441"/>
      <c r="P13" s="441"/>
      <c r="Q13" s="441"/>
      <c r="R13" s="441"/>
      <c r="S13" s="441"/>
      <c r="T13" s="441"/>
      <c r="U13" s="441"/>
      <c r="V13" s="441"/>
      <c r="W13" s="441"/>
      <c r="X13" s="441"/>
      <c r="Y13" s="441"/>
      <c r="Z13" s="441"/>
      <c r="AA13" s="441"/>
      <c r="AB13" s="441"/>
      <c r="AC13" s="441"/>
      <c r="AD13" s="442"/>
    </row>
    <row r="14" spans="1:3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3" ht="44.1" customHeight="1" thickBot="1" x14ac:dyDescent="0.3">
      <c r="A15" s="428" t="s">
        <v>17</v>
      </c>
      <c r="B15" s="429"/>
      <c r="C15" s="363" t="s">
        <v>18</v>
      </c>
      <c r="D15" s="364"/>
      <c r="E15" s="364"/>
      <c r="F15" s="364"/>
      <c r="G15" s="364"/>
      <c r="H15" s="364"/>
      <c r="I15" s="364"/>
      <c r="J15" s="364"/>
      <c r="K15" s="365"/>
      <c r="L15" s="423" t="s">
        <v>19</v>
      </c>
      <c r="M15" s="427"/>
      <c r="N15" s="427"/>
      <c r="O15" s="427"/>
      <c r="P15" s="427"/>
      <c r="Q15" s="424"/>
      <c r="R15" s="420" t="s">
        <v>20</v>
      </c>
      <c r="S15" s="421"/>
      <c r="T15" s="421"/>
      <c r="U15" s="421"/>
      <c r="V15" s="421"/>
      <c r="W15" s="421"/>
      <c r="X15" s="422"/>
      <c r="Y15" s="423" t="s">
        <v>21</v>
      </c>
      <c r="Z15" s="424"/>
      <c r="AA15" s="456" t="s">
        <v>597</v>
      </c>
      <c r="AB15" s="457"/>
      <c r="AC15" s="457"/>
      <c r="AD15" s="458"/>
    </row>
    <row r="16" spans="1:33" ht="9" customHeight="1" thickBot="1" x14ac:dyDescent="0.3">
      <c r="A16" s="59"/>
      <c r="B16" s="54"/>
      <c r="C16" s="471"/>
      <c r="D16" s="471"/>
      <c r="E16" s="471"/>
      <c r="F16" s="471"/>
      <c r="G16" s="471"/>
      <c r="H16" s="471"/>
      <c r="I16" s="471"/>
      <c r="J16" s="471"/>
      <c r="K16" s="471"/>
      <c r="L16" s="471"/>
      <c r="M16" s="471"/>
      <c r="N16" s="471"/>
      <c r="O16" s="471"/>
      <c r="P16" s="471"/>
      <c r="Q16" s="471"/>
      <c r="R16" s="471"/>
      <c r="S16" s="471"/>
      <c r="T16" s="471"/>
      <c r="U16" s="471"/>
      <c r="V16" s="471"/>
      <c r="W16" s="471"/>
      <c r="X16" s="471"/>
      <c r="Y16" s="471"/>
      <c r="Z16" s="471"/>
      <c r="AA16" s="471"/>
      <c r="AB16" s="471"/>
      <c r="AC16" s="73"/>
      <c r="AD16" s="74"/>
    </row>
    <row r="17" spans="1:41" s="76" customFormat="1" ht="37.5" customHeight="1" thickBot="1" x14ac:dyDescent="0.3">
      <c r="A17" s="428" t="s">
        <v>22</v>
      </c>
      <c r="B17" s="429"/>
      <c r="C17" s="667" t="s">
        <v>109</v>
      </c>
      <c r="D17" s="668"/>
      <c r="E17" s="668"/>
      <c r="F17" s="668"/>
      <c r="G17" s="668"/>
      <c r="H17" s="668"/>
      <c r="I17" s="668"/>
      <c r="J17" s="668"/>
      <c r="K17" s="668"/>
      <c r="L17" s="668"/>
      <c r="M17" s="668"/>
      <c r="N17" s="668"/>
      <c r="O17" s="668"/>
      <c r="P17" s="668"/>
      <c r="Q17" s="669"/>
      <c r="R17" s="423" t="s">
        <v>24</v>
      </c>
      <c r="S17" s="427"/>
      <c r="T17" s="427"/>
      <c r="U17" s="427"/>
      <c r="V17" s="424"/>
      <c r="W17" s="425">
        <v>0.9</v>
      </c>
      <c r="X17" s="426"/>
      <c r="Y17" s="427" t="s">
        <v>25</v>
      </c>
      <c r="Z17" s="427"/>
      <c r="AA17" s="427"/>
      <c r="AB17" s="424"/>
      <c r="AC17" s="469">
        <v>0.2</v>
      </c>
      <c r="AD17" s="470"/>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23" t="s">
        <v>26</v>
      </c>
      <c r="B19" s="427"/>
      <c r="C19" s="427"/>
      <c r="D19" s="427"/>
      <c r="E19" s="427"/>
      <c r="F19" s="427"/>
      <c r="G19" s="427"/>
      <c r="H19" s="427"/>
      <c r="I19" s="427"/>
      <c r="J19" s="427"/>
      <c r="K19" s="427"/>
      <c r="L19" s="427"/>
      <c r="M19" s="427"/>
      <c r="N19" s="427"/>
      <c r="O19" s="427"/>
      <c r="P19" s="427"/>
      <c r="Q19" s="427"/>
      <c r="R19" s="427"/>
      <c r="S19" s="427"/>
      <c r="T19" s="427"/>
      <c r="U19" s="427"/>
      <c r="V19" s="427"/>
      <c r="W19" s="427"/>
      <c r="X19" s="427"/>
      <c r="Y19" s="427"/>
      <c r="Z19" s="427"/>
      <c r="AA19" s="427"/>
      <c r="AB19" s="427"/>
      <c r="AC19" s="427"/>
      <c r="AD19" s="424"/>
      <c r="AE19" s="83"/>
      <c r="AF19" s="83"/>
    </row>
    <row r="20" spans="1:41" ht="32.1" customHeight="1" thickBot="1" x14ac:dyDescent="0.3">
      <c r="A20" s="82"/>
      <c r="B20" s="60"/>
      <c r="C20" s="447" t="s">
        <v>27</v>
      </c>
      <c r="D20" s="448"/>
      <c r="E20" s="448"/>
      <c r="F20" s="448"/>
      <c r="G20" s="448"/>
      <c r="H20" s="448"/>
      <c r="I20" s="448"/>
      <c r="J20" s="448"/>
      <c r="K20" s="448"/>
      <c r="L20" s="448"/>
      <c r="M20" s="448"/>
      <c r="N20" s="448"/>
      <c r="O20" s="448"/>
      <c r="P20" s="449"/>
      <c r="Q20" s="444" t="s">
        <v>28</v>
      </c>
      <c r="R20" s="445"/>
      <c r="S20" s="445"/>
      <c r="T20" s="445"/>
      <c r="U20" s="445"/>
      <c r="V20" s="445"/>
      <c r="W20" s="445"/>
      <c r="X20" s="445"/>
      <c r="Y20" s="445"/>
      <c r="Z20" s="445"/>
      <c r="AA20" s="445"/>
      <c r="AB20" s="445"/>
      <c r="AC20" s="445"/>
      <c r="AD20" s="446"/>
      <c r="AE20" s="83"/>
      <c r="AF20" s="83"/>
    </row>
    <row r="21" spans="1:41" ht="32.1" customHeight="1" thickBot="1" x14ac:dyDescent="0.3">
      <c r="A21" s="59"/>
      <c r="B21" s="54"/>
      <c r="C21" s="167" t="s">
        <v>29</v>
      </c>
      <c r="D21" s="168" t="s">
        <v>30</v>
      </c>
      <c r="E21" s="168" t="s">
        <v>31</v>
      </c>
      <c r="F21" s="168" t="s">
        <v>8</v>
      </c>
      <c r="G21" s="168" t="s">
        <v>32</v>
      </c>
      <c r="H21" s="168" t="s">
        <v>33</v>
      </c>
      <c r="I21" s="168" t="s">
        <v>34</v>
      </c>
      <c r="J21" s="168" t="s">
        <v>35</v>
      </c>
      <c r="K21" s="168" t="s">
        <v>36</v>
      </c>
      <c r="L21" s="168" t="s">
        <v>37</v>
      </c>
      <c r="M21" s="168" t="s">
        <v>38</v>
      </c>
      <c r="N21" s="168" t="s">
        <v>39</v>
      </c>
      <c r="O21" s="168" t="s">
        <v>40</v>
      </c>
      <c r="P21" s="169" t="s">
        <v>41</v>
      </c>
      <c r="Q21" s="167" t="s">
        <v>29</v>
      </c>
      <c r="R21" s="168" t="s">
        <v>30</v>
      </c>
      <c r="S21" s="168" t="s">
        <v>31</v>
      </c>
      <c r="T21" s="168" t="s">
        <v>8</v>
      </c>
      <c r="U21" s="168" t="s">
        <v>32</v>
      </c>
      <c r="V21" s="168" t="s">
        <v>33</v>
      </c>
      <c r="W21" s="168" t="s">
        <v>34</v>
      </c>
      <c r="X21" s="168" t="s">
        <v>35</v>
      </c>
      <c r="Y21" s="168" t="s">
        <v>36</v>
      </c>
      <c r="Z21" s="168" t="s">
        <v>37</v>
      </c>
      <c r="AA21" s="168" t="s">
        <v>38</v>
      </c>
      <c r="AB21" s="168" t="s">
        <v>39</v>
      </c>
      <c r="AC21" s="168" t="s">
        <v>40</v>
      </c>
      <c r="AD21" s="169" t="s">
        <v>41</v>
      </c>
      <c r="AE21" s="3"/>
      <c r="AF21" s="3"/>
    </row>
    <row r="22" spans="1:41" ht="32.1" customHeight="1" x14ac:dyDescent="0.25">
      <c r="A22" s="408" t="s">
        <v>42</v>
      </c>
      <c r="B22" s="468"/>
      <c r="C22" s="157"/>
      <c r="D22" s="155"/>
      <c r="E22" s="155"/>
      <c r="F22" s="155"/>
      <c r="G22" s="155"/>
      <c r="H22" s="155"/>
      <c r="I22" s="155"/>
      <c r="J22" s="155"/>
      <c r="K22" s="155"/>
      <c r="L22" s="155"/>
      <c r="M22" s="155"/>
      <c r="N22" s="155"/>
      <c r="O22" s="155">
        <f>SUM(C22:N22)</f>
        <v>0</v>
      </c>
      <c r="P22" s="158"/>
      <c r="Q22" s="178">
        <v>683483817</v>
      </c>
      <c r="R22" s="179">
        <v>8537488</v>
      </c>
      <c r="S22" s="179">
        <v>11658906</v>
      </c>
      <c r="T22" s="179">
        <v>0</v>
      </c>
      <c r="U22" s="179">
        <v>31411000</v>
      </c>
      <c r="V22" s="179">
        <v>69659690</v>
      </c>
      <c r="W22" s="179">
        <v>0</v>
      </c>
      <c r="X22" s="179">
        <v>0</v>
      </c>
      <c r="Y22" s="179">
        <v>0</v>
      </c>
      <c r="Z22" s="179">
        <v>0</v>
      </c>
      <c r="AA22" s="179">
        <v>0</v>
      </c>
      <c r="AB22" s="179">
        <v>0</v>
      </c>
      <c r="AC22" s="155">
        <f>SUM(Q22:AB22)</f>
        <v>804750901</v>
      </c>
      <c r="AD22" s="161"/>
      <c r="AE22" s="3"/>
      <c r="AF22" s="3"/>
    </row>
    <row r="23" spans="1:41" ht="32.1" customHeight="1" x14ac:dyDescent="0.25">
      <c r="A23" s="409" t="s">
        <v>43</v>
      </c>
      <c r="B23" s="443"/>
      <c r="C23" s="152"/>
      <c r="D23" s="151"/>
      <c r="E23" s="151"/>
      <c r="F23" s="151"/>
      <c r="G23" s="151"/>
      <c r="H23" s="151"/>
      <c r="I23" s="151"/>
      <c r="J23" s="151"/>
      <c r="K23" s="151"/>
      <c r="L23" s="151"/>
      <c r="M23" s="151"/>
      <c r="N23" s="151"/>
      <c r="O23" s="151">
        <f>SUM(C23:N23)</f>
        <v>0</v>
      </c>
      <c r="P23" s="162" t="str">
        <f>IFERROR(O23/(SUMIF(C23:N23,"&gt;0",C22:N22))," ")</f>
        <v xml:space="preserve"> </v>
      </c>
      <c r="Q23" s="176">
        <f>215111267</f>
        <v>215111267</v>
      </c>
      <c r="R23" s="177">
        <f>480950967-Q23</f>
        <v>265839700</v>
      </c>
      <c r="S23" s="177">
        <f>598985084-Q23-R23</f>
        <v>118034117</v>
      </c>
      <c r="T23" s="177">
        <f>582264203-Q23-R23-S23</f>
        <v>-16720881</v>
      </c>
      <c r="U23" s="177">
        <f>608999034-Q23-R23-S23-T23</f>
        <v>26734831</v>
      </c>
      <c r="V23" s="177"/>
      <c r="W23" s="177"/>
      <c r="X23" s="177"/>
      <c r="Y23" s="177"/>
      <c r="Z23" s="177"/>
      <c r="AA23" s="177"/>
      <c r="AB23" s="177"/>
      <c r="AC23" s="151">
        <f>SUM(Q23:AB23)</f>
        <v>608999034</v>
      </c>
      <c r="AD23" s="160">
        <f>AC23/AC22</f>
        <v>0.75675470911961118</v>
      </c>
      <c r="AE23" s="3"/>
      <c r="AF23" s="3"/>
    </row>
    <row r="24" spans="1:41" ht="32.1" customHeight="1" x14ac:dyDescent="0.25">
      <c r="A24" s="409" t="s">
        <v>44</v>
      </c>
      <c r="B24" s="443"/>
      <c r="C24" s="152">
        <f>9390833+9911170+7076465</f>
        <v>26378468</v>
      </c>
      <c r="D24" s="151"/>
      <c r="E24" s="151"/>
      <c r="F24" s="151"/>
      <c r="G24" s="151"/>
      <c r="H24" s="151"/>
      <c r="I24" s="151"/>
      <c r="J24" s="151"/>
      <c r="K24" s="151"/>
      <c r="L24" s="151"/>
      <c r="M24" s="151"/>
      <c r="N24" s="151"/>
      <c r="O24" s="177">
        <f>SUM(C24:N24)</f>
        <v>26378468</v>
      </c>
      <c r="P24" s="156"/>
      <c r="Q24" s="176"/>
      <c r="R24" s="177">
        <f>2332686+5667247+15634065</f>
        <v>23633998</v>
      </c>
      <c r="S24" s="177">
        <f>2332686+9767318+40103208+10000000</f>
        <v>62203212</v>
      </c>
      <c r="T24" s="177">
        <f>2332686+37500+9767318+40103208+10000000</f>
        <v>62240712</v>
      </c>
      <c r="U24" s="177">
        <f>31411000+2558257+37500+8536960+9767318+40103208</f>
        <v>92414243</v>
      </c>
      <c r="V24" s="177">
        <f>2558257+37500+9767318+40103208</f>
        <v>52466283</v>
      </c>
      <c r="W24" s="177">
        <f>2558257+37500+6146000+9767318+40103208</f>
        <v>58612283</v>
      </c>
      <c r="X24" s="177">
        <f>814000+2558257+37500+12000000+9767318+40103208+20000000</f>
        <v>85280283</v>
      </c>
      <c r="Y24" s="177">
        <f>2558257+37500+10000000+9767318+40103208+20000000</f>
        <v>82466283</v>
      </c>
      <c r="Z24" s="177">
        <f>2558257+37500+14400000+9767318+40103208+20000000</f>
        <v>86866283</v>
      </c>
      <c r="AA24" s="177">
        <f>2558257+37500+13000000+9767318+40103208+4095218</f>
        <v>69561501</v>
      </c>
      <c r="AB24" s="177">
        <f>4557086+75000+14400000+9767318+40103208+40103208+20000000</f>
        <v>129005820</v>
      </c>
      <c r="AC24" s="151">
        <f>SUM(Q24:AB24)</f>
        <v>804750901</v>
      </c>
      <c r="AD24" s="160"/>
      <c r="AE24" s="3"/>
      <c r="AF24" s="3"/>
    </row>
    <row r="25" spans="1:41" ht="32.1" customHeight="1" thickBot="1" x14ac:dyDescent="0.3">
      <c r="A25" s="454" t="s">
        <v>45</v>
      </c>
      <c r="B25" s="455"/>
      <c r="C25" s="153">
        <v>7741652</v>
      </c>
      <c r="D25" s="154">
        <f>12069914-C25</f>
        <v>4328262</v>
      </c>
      <c r="E25" s="154">
        <f>19279460-C25-D25</f>
        <v>7209546</v>
      </c>
      <c r="F25" s="154">
        <f>26220277-C25-D25-E25</f>
        <v>6940817</v>
      </c>
      <c r="G25" s="154">
        <f>26378468-C25-D25-E25-F25</f>
        <v>158191</v>
      </c>
      <c r="H25" s="154"/>
      <c r="I25" s="154"/>
      <c r="J25" s="154"/>
      <c r="K25" s="154"/>
      <c r="L25" s="154"/>
      <c r="M25" s="154"/>
      <c r="N25" s="154"/>
      <c r="O25" s="183">
        <f>SUM(C25:N25)</f>
        <v>26378468</v>
      </c>
      <c r="P25" s="159">
        <f>IFERROR(O25/(SUMIF(C25:N25,"&gt;0",C24:O24))," ")</f>
        <v>1</v>
      </c>
      <c r="Q25" s="172"/>
      <c r="R25" s="173">
        <f>3897040</f>
        <v>3897040</v>
      </c>
      <c r="S25" s="173">
        <f>35155514-R25</f>
        <v>31258474</v>
      </c>
      <c r="T25" s="173">
        <f>85390370-R25-S25</f>
        <v>50234856</v>
      </c>
      <c r="U25" s="173">
        <f>141512957-R25-S25-T25</f>
        <v>56122587</v>
      </c>
      <c r="V25" s="173"/>
      <c r="W25" s="173"/>
      <c r="X25" s="173"/>
      <c r="Y25" s="173"/>
      <c r="Z25" s="173"/>
      <c r="AA25" s="173"/>
      <c r="AB25" s="173"/>
      <c r="AC25" s="154">
        <f>SUM(Q25:AB25)</f>
        <v>141512957</v>
      </c>
      <c r="AD25" s="276">
        <f>AC25/AC24</f>
        <v>0.17584690719097437</v>
      </c>
      <c r="AE25" s="3"/>
      <c r="AF25" s="3"/>
    </row>
    <row r="26" spans="1:41" ht="32.1" customHeight="1" thickBot="1" x14ac:dyDescent="0.3">
      <c r="A26" s="59"/>
      <c r="B26" s="54"/>
      <c r="C26" s="80"/>
      <c r="D26" s="80"/>
      <c r="E26" s="80"/>
      <c r="F26" s="80"/>
      <c r="G26" s="222"/>
      <c r="H26" s="222"/>
      <c r="I26" s="80"/>
      <c r="J26" s="80"/>
      <c r="K26" s="80"/>
      <c r="L26" s="80"/>
      <c r="M26" s="80"/>
      <c r="N26" s="80"/>
      <c r="O26" s="222"/>
      <c r="P26" s="80"/>
      <c r="Q26" s="80"/>
      <c r="R26" s="80"/>
      <c r="S26" s="80"/>
      <c r="T26" s="80"/>
      <c r="U26" s="80"/>
      <c r="V26" s="80"/>
      <c r="W26" s="80"/>
      <c r="X26" s="80"/>
      <c r="Y26" s="80"/>
      <c r="Z26" s="80"/>
      <c r="AA26" s="80"/>
      <c r="AB26" s="80"/>
      <c r="AC26" s="60"/>
      <c r="AD26" s="150"/>
    </row>
    <row r="27" spans="1:41" ht="33.75" customHeight="1" x14ac:dyDescent="0.25">
      <c r="A27" s="450" t="s">
        <v>46</v>
      </c>
      <c r="B27" s="451"/>
      <c r="C27" s="452"/>
      <c r="D27" s="452"/>
      <c r="E27" s="452"/>
      <c r="F27" s="452"/>
      <c r="G27" s="452"/>
      <c r="H27" s="452"/>
      <c r="I27" s="452"/>
      <c r="J27" s="452"/>
      <c r="K27" s="452"/>
      <c r="L27" s="452"/>
      <c r="M27" s="452"/>
      <c r="N27" s="452"/>
      <c r="O27" s="452"/>
      <c r="P27" s="452"/>
      <c r="Q27" s="452"/>
      <c r="R27" s="452"/>
      <c r="S27" s="452"/>
      <c r="T27" s="452"/>
      <c r="U27" s="452"/>
      <c r="V27" s="452"/>
      <c r="W27" s="452"/>
      <c r="X27" s="452"/>
      <c r="Y27" s="452"/>
      <c r="Z27" s="452"/>
      <c r="AA27" s="452"/>
      <c r="AB27" s="452"/>
      <c r="AC27" s="452"/>
      <c r="AD27" s="453"/>
    </row>
    <row r="28" spans="1:41" ht="15" customHeight="1" x14ac:dyDescent="0.25">
      <c r="A28" s="459" t="s">
        <v>47</v>
      </c>
      <c r="B28" s="461" t="s">
        <v>48</v>
      </c>
      <c r="C28" s="462"/>
      <c r="D28" s="443" t="s">
        <v>49</v>
      </c>
      <c r="E28" s="465"/>
      <c r="F28" s="465"/>
      <c r="G28" s="465"/>
      <c r="H28" s="465"/>
      <c r="I28" s="465"/>
      <c r="J28" s="465"/>
      <c r="K28" s="465"/>
      <c r="L28" s="465"/>
      <c r="M28" s="465"/>
      <c r="N28" s="465"/>
      <c r="O28" s="466"/>
      <c r="P28" s="411" t="s">
        <v>40</v>
      </c>
      <c r="Q28" s="411" t="s">
        <v>50</v>
      </c>
      <c r="R28" s="411"/>
      <c r="S28" s="411"/>
      <c r="T28" s="411"/>
      <c r="U28" s="411"/>
      <c r="V28" s="411"/>
      <c r="W28" s="411"/>
      <c r="X28" s="411"/>
      <c r="Y28" s="411"/>
      <c r="Z28" s="411"/>
      <c r="AA28" s="411"/>
      <c r="AB28" s="411"/>
      <c r="AC28" s="411"/>
      <c r="AD28" s="467"/>
    </row>
    <row r="29" spans="1:41" ht="27" customHeight="1" x14ac:dyDescent="0.25">
      <c r="A29" s="460"/>
      <c r="B29" s="463"/>
      <c r="C29" s="464"/>
      <c r="D29" s="88" t="s">
        <v>29</v>
      </c>
      <c r="E29" s="88" t="s">
        <v>30</v>
      </c>
      <c r="F29" s="88" t="s">
        <v>31</v>
      </c>
      <c r="G29" s="88" t="s">
        <v>8</v>
      </c>
      <c r="H29" s="88" t="s">
        <v>32</v>
      </c>
      <c r="I29" s="88" t="s">
        <v>33</v>
      </c>
      <c r="J29" s="88" t="s">
        <v>34</v>
      </c>
      <c r="K29" s="88" t="s">
        <v>35</v>
      </c>
      <c r="L29" s="88" t="s">
        <v>36</v>
      </c>
      <c r="M29" s="88" t="s">
        <v>37</v>
      </c>
      <c r="N29" s="88" t="s">
        <v>38</v>
      </c>
      <c r="O29" s="88" t="s">
        <v>39</v>
      </c>
      <c r="P29" s="466"/>
      <c r="Q29" s="411"/>
      <c r="R29" s="411"/>
      <c r="S29" s="411"/>
      <c r="T29" s="411"/>
      <c r="U29" s="411"/>
      <c r="V29" s="411"/>
      <c r="W29" s="411"/>
      <c r="X29" s="411"/>
      <c r="Y29" s="411"/>
      <c r="Z29" s="411"/>
      <c r="AA29" s="411"/>
      <c r="AB29" s="411"/>
      <c r="AC29" s="411"/>
      <c r="AD29" s="467"/>
    </row>
    <row r="30" spans="1:41" ht="56.25" customHeight="1" thickBot="1" x14ac:dyDescent="0.3">
      <c r="A30" s="217" t="s">
        <v>109</v>
      </c>
      <c r="B30" s="546"/>
      <c r="C30" s="547"/>
      <c r="D30" s="89"/>
      <c r="E30" s="89"/>
      <c r="F30" s="89"/>
      <c r="G30" s="89"/>
      <c r="H30" s="89"/>
      <c r="I30" s="89"/>
      <c r="J30" s="89"/>
      <c r="K30" s="89"/>
      <c r="L30" s="89"/>
      <c r="M30" s="89"/>
      <c r="N30" s="89"/>
      <c r="O30" s="89"/>
      <c r="P30" s="86">
        <f>SUM(D30:O30)</f>
        <v>0</v>
      </c>
      <c r="Q30" s="402"/>
      <c r="R30" s="402"/>
      <c r="S30" s="402"/>
      <c r="T30" s="402"/>
      <c r="U30" s="402"/>
      <c r="V30" s="402"/>
      <c r="W30" s="402"/>
      <c r="X30" s="402"/>
      <c r="Y30" s="402"/>
      <c r="Z30" s="402"/>
      <c r="AA30" s="402"/>
      <c r="AB30" s="402"/>
      <c r="AC30" s="402"/>
      <c r="AD30" s="403"/>
    </row>
    <row r="31" spans="1:41" ht="45" customHeight="1" x14ac:dyDescent="0.25">
      <c r="A31" s="535" t="s">
        <v>52</v>
      </c>
      <c r="B31" s="406"/>
      <c r="C31" s="406"/>
      <c r="D31" s="406"/>
      <c r="E31" s="406"/>
      <c r="F31" s="406"/>
      <c r="G31" s="406"/>
      <c r="H31" s="406"/>
      <c r="I31" s="406"/>
      <c r="J31" s="406"/>
      <c r="K31" s="406"/>
      <c r="L31" s="406"/>
      <c r="M31" s="406"/>
      <c r="N31" s="406"/>
      <c r="O31" s="406"/>
      <c r="P31" s="406"/>
      <c r="Q31" s="406"/>
      <c r="R31" s="406"/>
      <c r="S31" s="406"/>
      <c r="T31" s="406"/>
      <c r="U31" s="406"/>
      <c r="V31" s="406"/>
      <c r="W31" s="406"/>
      <c r="X31" s="406"/>
      <c r="Y31" s="406"/>
      <c r="Z31" s="406"/>
      <c r="AA31" s="406"/>
      <c r="AB31" s="406"/>
      <c r="AC31" s="406"/>
      <c r="AD31" s="407"/>
    </row>
    <row r="32" spans="1:41" ht="23.1" customHeight="1" x14ac:dyDescent="0.25">
      <c r="A32" s="409" t="s">
        <v>53</v>
      </c>
      <c r="B32" s="411" t="s">
        <v>54</v>
      </c>
      <c r="C32" s="411" t="s">
        <v>48</v>
      </c>
      <c r="D32" s="411" t="s">
        <v>55</v>
      </c>
      <c r="E32" s="411"/>
      <c r="F32" s="411"/>
      <c r="G32" s="411"/>
      <c r="H32" s="411"/>
      <c r="I32" s="411"/>
      <c r="J32" s="411"/>
      <c r="K32" s="411"/>
      <c r="L32" s="411"/>
      <c r="M32" s="411"/>
      <c r="N32" s="411"/>
      <c r="O32" s="411"/>
      <c r="P32" s="411"/>
      <c r="Q32" s="411" t="s">
        <v>56</v>
      </c>
      <c r="R32" s="411"/>
      <c r="S32" s="411"/>
      <c r="T32" s="411"/>
      <c r="U32" s="411"/>
      <c r="V32" s="411"/>
      <c r="W32" s="411"/>
      <c r="X32" s="411"/>
      <c r="Y32" s="411"/>
      <c r="Z32" s="411"/>
      <c r="AA32" s="411"/>
      <c r="AB32" s="411"/>
      <c r="AC32" s="411"/>
      <c r="AD32" s="467"/>
      <c r="AG32" s="87"/>
      <c r="AH32" s="87"/>
      <c r="AI32" s="87"/>
      <c r="AJ32" s="87"/>
      <c r="AK32" s="87"/>
      <c r="AL32" s="87"/>
      <c r="AM32" s="87"/>
      <c r="AN32" s="87"/>
      <c r="AO32" s="87"/>
    </row>
    <row r="33" spans="1:41" ht="27" customHeight="1" x14ac:dyDescent="0.25">
      <c r="A33" s="409"/>
      <c r="B33" s="411"/>
      <c r="C33" s="412"/>
      <c r="D33" s="88" t="s">
        <v>29</v>
      </c>
      <c r="E33" s="88" t="s">
        <v>30</v>
      </c>
      <c r="F33" s="88" t="s">
        <v>31</v>
      </c>
      <c r="G33" s="88" t="s">
        <v>8</v>
      </c>
      <c r="H33" s="88" t="s">
        <v>32</v>
      </c>
      <c r="I33" s="88" t="s">
        <v>33</v>
      </c>
      <c r="J33" s="88" t="s">
        <v>34</v>
      </c>
      <c r="K33" s="88" t="s">
        <v>35</v>
      </c>
      <c r="L33" s="88" t="s">
        <v>36</v>
      </c>
      <c r="M33" s="88" t="s">
        <v>37</v>
      </c>
      <c r="N33" s="88" t="s">
        <v>38</v>
      </c>
      <c r="O33" s="88" t="s">
        <v>39</v>
      </c>
      <c r="P33" s="88" t="s">
        <v>40</v>
      </c>
      <c r="Q33" s="411" t="s">
        <v>57</v>
      </c>
      <c r="R33" s="411"/>
      <c r="S33" s="411"/>
      <c r="T33" s="411" t="s">
        <v>58</v>
      </c>
      <c r="U33" s="411"/>
      <c r="V33" s="411"/>
      <c r="W33" s="463" t="s">
        <v>59</v>
      </c>
      <c r="X33" s="492"/>
      <c r="Y33" s="492"/>
      <c r="Z33" s="464"/>
      <c r="AA33" s="463" t="s">
        <v>60</v>
      </c>
      <c r="AB33" s="492"/>
      <c r="AC33" s="492"/>
      <c r="AD33" s="493"/>
      <c r="AG33" s="87"/>
      <c r="AH33" s="87"/>
      <c r="AI33" s="87"/>
      <c r="AJ33" s="87"/>
      <c r="AK33" s="87"/>
      <c r="AL33" s="87"/>
      <c r="AM33" s="87"/>
      <c r="AN33" s="87"/>
      <c r="AO33" s="87"/>
    </row>
    <row r="34" spans="1:41" ht="54.75" customHeight="1" x14ac:dyDescent="0.25">
      <c r="A34" s="475" t="s">
        <v>109</v>
      </c>
      <c r="B34" s="477">
        <v>0.2</v>
      </c>
      <c r="C34" s="90" t="s">
        <v>61</v>
      </c>
      <c r="D34" s="230">
        <f>D88</f>
        <v>0</v>
      </c>
      <c r="E34" s="230">
        <f t="shared" ref="E34:O34" si="0">E88</f>
        <v>0.10439999999999999</v>
      </c>
      <c r="F34" s="230">
        <f t="shared" si="0"/>
        <v>7.1999999999999981E-2</v>
      </c>
      <c r="G34" s="230">
        <f t="shared" si="0"/>
        <v>0.11249999999999999</v>
      </c>
      <c r="H34" s="230">
        <f t="shared" si="0"/>
        <v>9.2700000000000005E-2</v>
      </c>
      <c r="I34" s="230">
        <f t="shared" si="0"/>
        <v>9.1799999999999979E-2</v>
      </c>
      <c r="J34" s="230">
        <f t="shared" si="0"/>
        <v>8.7299999999999989E-2</v>
      </c>
      <c r="K34" s="230">
        <f t="shared" si="0"/>
        <v>7.8299999999999995E-2</v>
      </c>
      <c r="L34" s="230">
        <f t="shared" si="0"/>
        <v>7.3800000000000004E-2</v>
      </c>
      <c r="M34" s="230">
        <f t="shared" si="0"/>
        <v>9.1800000000000007E-2</v>
      </c>
      <c r="N34" s="230">
        <f t="shared" si="0"/>
        <v>6.5699999999999995E-2</v>
      </c>
      <c r="O34" s="230">
        <f t="shared" si="0"/>
        <v>2.9700000000000004E-2</v>
      </c>
      <c r="P34" s="230">
        <f>SUM(D34:O34)</f>
        <v>0.89999999999999991</v>
      </c>
      <c r="Q34" s="479" t="s">
        <v>568</v>
      </c>
      <c r="R34" s="480"/>
      <c r="S34" s="481"/>
      <c r="T34" s="480" t="s">
        <v>578</v>
      </c>
      <c r="U34" s="480"/>
      <c r="V34" s="481"/>
      <c r="W34" s="479" t="s">
        <v>570</v>
      </c>
      <c r="X34" s="480"/>
      <c r="Y34" s="480"/>
      <c r="Z34" s="481"/>
      <c r="AA34" s="479" t="s">
        <v>569</v>
      </c>
      <c r="AB34" s="480"/>
      <c r="AC34" s="480"/>
      <c r="AD34" s="485"/>
      <c r="AG34" s="87"/>
      <c r="AH34" s="87"/>
      <c r="AI34" s="87"/>
      <c r="AJ34" s="87"/>
      <c r="AK34" s="87"/>
      <c r="AL34" s="87"/>
      <c r="AM34" s="87"/>
      <c r="AN34" s="87"/>
      <c r="AO34" s="87"/>
    </row>
    <row r="35" spans="1:41" ht="45" customHeight="1" thickBot="1" x14ac:dyDescent="0.3">
      <c r="A35" s="476"/>
      <c r="B35" s="478"/>
      <c r="C35" s="93" t="s">
        <v>62</v>
      </c>
      <c r="D35" s="224">
        <f>D85</f>
        <v>0</v>
      </c>
      <c r="E35" s="224">
        <f t="shared" ref="E35:O35" si="1">E85</f>
        <v>4.8599999999999997E-2</v>
      </c>
      <c r="F35" s="224">
        <f t="shared" si="1"/>
        <v>8.7299999999999975E-2</v>
      </c>
      <c r="G35" s="224">
        <f t="shared" si="1"/>
        <v>0.12149999999999998</v>
      </c>
      <c r="H35" s="224">
        <f t="shared" si="1"/>
        <v>0.12869999999999998</v>
      </c>
      <c r="I35" s="224">
        <f t="shared" si="1"/>
        <v>0</v>
      </c>
      <c r="J35" s="224">
        <f t="shared" si="1"/>
        <v>0</v>
      </c>
      <c r="K35" s="224">
        <f t="shared" si="1"/>
        <v>0</v>
      </c>
      <c r="L35" s="224">
        <f t="shared" si="1"/>
        <v>0</v>
      </c>
      <c r="M35" s="224">
        <f t="shared" si="1"/>
        <v>0</v>
      </c>
      <c r="N35" s="224">
        <f t="shared" si="1"/>
        <v>0</v>
      </c>
      <c r="O35" s="224">
        <f t="shared" si="1"/>
        <v>0</v>
      </c>
      <c r="P35" s="224">
        <f>SUM(D35:O35)</f>
        <v>0.38609999999999994</v>
      </c>
      <c r="Q35" s="482"/>
      <c r="R35" s="483"/>
      <c r="S35" s="484"/>
      <c r="T35" s="483"/>
      <c r="U35" s="483"/>
      <c r="V35" s="484"/>
      <c r="W35" s="482"/>
      <c r="X35" s="483"/>
      <c r="Y35" s="483"/>
      <c r="Z35" s="484"/>
      <c r="AA35" s="482"/>
      <c r="AB35" s="483"/>
      <c r="AC35" s="483"/>
      <c r="AD35" s="486"/>
      <c r="AE35" s="49"/>
      <c r="AG35" s="87"/>
      <c r="AH35" s="87"/>
      <c r="AI35" s="87"/>
      <c r="AJ35" s="87"/>
      <c r="AK35" s="87"/>
      <c r="AL35" s="87"/>
      <c r="AM35" s="87"/>
      <c r="AN35" s="87"/>
      <c r="AO35" s="87"/>
    </row>
    <row r="36" spans="1:41" ht="26.1" customHeight="1" x14ac:dyDescent="0.25">
      <c r="A36" s="659" t="s">
        <v>63</v>
      </c>
      <c r="B36" s="661" t="s">
        <v>64</v>
      </c>
      <c r="C36" s="408" t="s">
        <v>65</v>
      </c>
      <c r="D36" s="410"/>
      <c r="E36" s="410"/>
      <c r="F36" s="410"/>
      <c r="G36" s="410"/>
      <c r="H36" s="410"/>
      <c r="I36" s="410"/>
      <c r="J36" s="410"/>
      <c r="K36" s="410"/>
      <c r="L36" s="410"/>
      <c r="M36" s="410"/>
      <c r="N36" s="410"/>
      <c r="O36" s="410"/>
      <c r="P36" s="491"/>
      <c r="Q36" s="512" t="s">
        <v>66</v>
      </c>
      <c r="R36" s="512"/>
      <c r="S36" s="512"/>
      <c r="T36" s="512"/>
      <c r="U36" s="512"/>
      <c r="V36" s="512"/>
      <c r="W36" s="512"/>
      <c r="X36" s="512"/>
      <c r="Y36" s="512"/>
      <c r="Z36" s="512"/>
      <c r="AA36" s="512"/>
      <c r="AB36" s="512"/>
      <c r="AC36" s="512"/>
      <c r="AD36" s="513"/>
      <c r="AG36" s="87"/>
      <c r="AH36" s="87"/>
      <c r="AI36" s="87"/>
      <c r="AJ36" s="87"/>
      <c r="AK36" s="87"/>
      <c r="AL36" s="87"/>
      <c r="AM36" s="87"/>
      <c r="AN36" s="87"/>
      <c r="AO36" s="87"/>
    </row>
    <row r="37" spans="1:41" ht="63" customHeight="1" thickBot="1" x14ac:dyDescent="0.3">
      <c r="A37" s="660"/>
      <c r="B37" s="662"/>
      <c r="C37" s="223" t="s">
        <v>67</v>
      </c>
      <c r="D37" s="239" t="s">
        <v>68</v>
      </c>
      <c r="E37" s="239" t="s">
        <v>69</v>
      </c>
      <c r="F37" s="239" t="s">
        <v>70</v>
      </c>
      <c r="G37" s="239" t="s">
        <v>71</v>
      </c>
      <c r="H37" s="239" t="s">
        <v>72</v>
      </c>
      <c r="I37" s="239" t="s">
        <v>73</v>
      </c>
      <c r="J37" s="239" t="s">
        <v>74</v>
      </c>
      <c r="K37" s="239" t="s">
        <v>75</v>
      </c>
      <c r="L37" s="239" t="s">
        <v>76</v>
      </c>
      <c r="M37" s="239" t="s">
        <v>77</v>
      </c>
      <c r="N37" s="239" t="s">
        <v>78</v>
      </c>
      <c r="O37" s="239" t="s">
        <v>79</v>
      </c>
      <c r="P37" s="240" t="s">
        <v>80</v>
      </c>
      <c r="Q37" s="515" t="s">
        <v>81</v>
      </c>
      <c r="R37" s="515"/>
      <c r="S37" s="515"/>
      <c r="T37" s="515"/>
      <c r="U37" s="515"/>
      <c r="V37" s="515"/>
      <c r="W37" s="515"/>
      <c r="X37" s="515"/>
      <c r="Y37" s="515"/>
      <c r="Z37" s="515"/>
      <c r="AA37" s="515"/>
      <c r="AB37" s="515"/>
      <c r="AC37" s="515"/>
      <c r="AD37" s="516"/>
      <c r="AG37" s="94"/>
      <c r="AH37" s="94"/>
      <c r="AI37" s="94"/>
      <c r="AJ37" s="94"/>
      <c r="AK37" s="94"/>
      <c r="AL37" s="94"/>
      <c r="AM37" s="94"/>
      <c r="AN37" s="94"/>
      <c r="AO37" s="94"/>
    </row>
    <row r="38" spans="1:41" ht="36" customHeight="1" x14ac:dyDescent="0.25">
      <c r="A38" s="517" t="s">
        <v>110</v>
      </c>
      <c r="B38" s="666">
        <v>0.02</v>
      </c>
      <c r="C38" s="241" t="s">
        <v>61</v>
      </c>
      <c r="D38" s="95">
        <v>0</v>
      </c>
      <c r="E38" s="95">
        <v>0.3</v>
      </c>
      <c r="F38" s="95">
        <v>0.3</v>
      </c>
      <c r="G38" s="95">
        <v>0.2</v>
      </c>
      <c r="H38" s="95">
        <v>0.06</v>
      </c>
      <c r="I38" s="95">
        <v>0.02</v>
      </c>
      <c r="J38" s="95">
        <v>0.02</v>
      </c>
      <c r="K38" s="95">
        <v>0.02</v>
      </c>
      <c r="L38" s="95">
        <v>0.02</v>
      </c>
      <c r="M38" s="95">
        <v>0.02</v>
      </c>
      <c r="N38" s="95">
        <v>0.02</v>
      </c>
      <c r="O38" s="95">
        <v>0.02</v>
      </c>
      <c r="P38" s="236">
        <f t="shared" ref="P38:P45" si="2">SUM(D38:O38)</f>
        <v>1.0000000000000002</v>
      </c>
      <c r="Q38" s="663" t="s">
        <v>596</v>
      </c>
      <c r="R38" s="664"/>
      <c r="S38" s="664"/>
      <c r="T38" s="664"/>
      <c r="U38" s="664"/>
      <c r="V38" s="664"/>
      <c r="W38" s="664"/>
      <c r="X38" s="664"/>
      <c r="Y38" s="664"/>
      <c r="Z38" s="664"/>
      <c r="AA38" s="664"/>
      <c r="AB38" s="664"/>
      <c r="AC38" s="664"/>
      <c r="AD38" s="665"/>
      <c r="AE38" s="97"/>
      <c r="AG38" s="98"/>
      <c r="AH38" s="98"/>
      <c r="AI38" s="98"/>
      <c r="AJ38" s="98"/>
      <c r="AK38" s="98"/>
      <c r="AL38" s="98"/>
      <c r="AM38" s="98"/>
      <c r="AN38" s="98"/>
      <c r="AO38" s="98"/>
    </row>
    <row r="39" spans="1:41" ht="36" customHeight="1" x14ac:dyDescent="0.25">
      <c r="A39" s="348"/>
      <c r="B39" s="650"/>
      <c r="C39" s="242" t="s">
        <v>62</v>
      </c>
      <c r="D39" s="100">
        <v>0</v>
      </c>
      <c r="E39" s="100">
        <v>0.3</v>
      </c>
      <c r="F39" s="100">
        <v>0.3</v>
      </c>
      <c r="G39" s="100">
        <v>0.2</v>
      </c>
      <c r="H39" s="100">
        <v>0.06</v>
      </c>
      <c r="I39" s="100"/>
      <c r="J39" s="100"/>
      <c r="K39" s="100"/>
      <c r="L39" s="100"/>
      <c r="M39" s="100"/>
      <c r="N39" s="100"/>
      <c r="O39" s="100"/>
      <c r="P39" s="243">
        <f t="shared" si="2"/>
        <v>0.8600000000000001</v>
      </c>
      <c r="Q39" s="656"/>
      <c r="R39" s="657"/>
      <c r="S39" s="657"/>
      <c r="T39" s="657"/>
      <c r="U39" s="657"/>
      <c r="V39" s="657"/>
      <c r="W39" s="657"/>
      <c r="X39" s="657"/>
      <c r="Y39" s="657"/>
      <c r="Z39" s="657"/>
      <c r="AA39" s="657"/>
      <c r="AB39" s="657"/>
      <c r="AC39" s="657"/>
      <c r="AD39" s="658"/>
      <c r="AE39" s="97"/>
    </row>
    <row r="40" spans="1:41" ht="36" customHeight="1" x14ac:dyDescent="0.25">
      <c r="A40" s="348" t="s">
        <v>111</v>
      </c>
      <c r="B40" s="650">
        <v>0.02</v>
      </c>
      <c r="C40" s="244" t="s">
        <v>61</v>
      </c>
      <c r="D40" s="103">
        <v>0</v>
      </c>
      <c r="E40" s="103">
        <v>0.02</v>
      </c>
      <c r="F40" s="103">
        <v>0.04</v>
      </c>
      <c r="G40" s="103">
        <v>0.1</v>
      </c>
      <c r="H40" s="103">
        <v>0.02</v>
      </c>
      <c r="I40" s="103">
        <v>0.1</v>
      </c>
      <c r="J40" s="103">
        <v>0.1</v>
      </c>
      <c r="K40" s="103">
        <v>0.1</v>
      </c>
      <c r="L40" s="103">
        <v>0.1</v>
      </c>
      <c r="M40" s="103">
        <v>0.2</v>
      </c>
      <c r="N40" s="103">
        <v>0.2</v>
      </c>
      <c r="O40" s="103">
        <v>0.02</v>
      </c>
      <c r="P40" s="237">
        <f t="shared" si="2"/>
        <v>1</v>
      </c>
      <c r="Q40" s="653" t="s">
        <v>579</v>
      </c>
      <c r="R40" s="654"/>
      <c r="S40" s="654"/>
      <c r="T40" s="654"/>
      <c r="U40" s="654"/>
      <c r="V40" s="654"/>
      <c r="W40" s="654"/>
      <c r="X40" s="654"/>
      <c r="Y40" s="654"/>
      <c r="Z40" s="654"/>
      <c r="AA40" s="654"/>
      <c r="AB40" s="654"/>
      <c r="AC40" s="654"/>
      <c r="AD40" s="655"/>
      <c r="AE40" s="97"/>
    </row>
    <row r="41" spans="1:41" ht="36" customHeight="1" x14ac:dyDescent="0.25">
      <c r="A41" s="348"/>
      <c r="B41" s="650"/>
      <c r="C41" s="242" t="s">
        <v>62</v>
      </c>
      <c r="D41" s="100">
        <v>0</v>
      </c>
      <c r="E41" s="100">
        <v>0</v>
      </c>
      <c r="F41" s="100">
        <v>0.06</v>
      </c>
      <c r="G41" s="100">
        <v>0.1</v>
      </c>
      <c r="H41" s="100">
        <v>0.02</v>
      </c>
      <c r="I41" s="100"/>
      <c r="J41" s="100"/>
      <c r="K41" s="100"/>
      <c r="L41" s="100"/>
      <c r="M41" s="100"/>
      <c r="N41" s="100"/>
      <c r="O41" s="100"/>
      <c r="P41" s="243">
        <f t="shared" si="2"/>
        <v>0.18</v>
      </c>
      <c r="Q41" s="653"/>
      <c r="R41" s="654"/>
      <c r="S41" s="654"/>
      <c r="T41" s="654"/>
      <c r="U41" s="654"/>
      <c r="V41" s="654"/>
      <c r="W41" s="654"/>
      <c r="X41" s="654"/>
      <c r="Y41" s="654"/>
      <c r="Z41" s="654"/>
      <c r="AA41" s="654"/>
      <c r="AB41" s="654"/>
      <c r="AC41" s="654"/>
      <c r="AD41" s="655"/>
      <c r="AE41" s="97"/>
    </row>
    <row r="42" spans="1:41" ht="36" customHeight="1" x14ac:dyDescent="0.25">
      <c r="A42" s="348" t="s">
        <v>112</v>
      </c>
      <c r="B42" s="650">
        <v>0.02</v>
      </c>
      <c r="C42" s="244" t="s">
        <v>61</v>
      </c>
      <c r="D42" s="103">
        <v>0</v>
      </c>
      <c r="E42" s="103">
        <v>0.04</v>
      </c>
      <c r="F42" s="103">
        <v>0.06</v>
      </c>
      <c r="G42" s="103">
        <v>0.1</v>
      </c>
      <c r="H42" s="103">
        <v>0.1</v>
      </c>
      <c r="I42" s="103">
        <v>0.1</v>
      </c>
      <c r="J42" s="103">
        <v>0.1</v>
      </c>
      <c r="K42" s="103">
        <v>0.1</v>
      </c>
      <c r="L42" s="103">
        <v>0.1</v>
      </c>
      <c r="M42" s="103">
        <v>0.1</v>
      </c>
      <c r="N42" s="103">
        <v>0.1</v>
      </c>
      <c r="O42" s="103">
        <v>0.1</v>
      </c>
      <c r="P42" s="237">
        <f t="shared" si="2"/>
        <v>0.99999999999999989</v>
      </c>
      <c r="Q42" s="656" t="s">
        <v>549</v>
      </c>
      <c r="R42" s="657"/>
      <c r="S42" s="657"/>
      <c r="T42" s="657"/>
      <c r="U42" s="657"/>
      <c r="V42" s="657"/>
      <c r="W42" s="657"/>
      <c r="X42" s="657"/>
      <c r="Y42" s="657"/>
      <c r="Z42" s="657"/>
      <c r="AA42" s="657"/>
      <c r="AB42" s="657"/>
      <c r="AC42" s="657"/>
      <c r="AD42" s="658"/>
      <c r="AE42" s="97"/>
    </row>
    <row r="43" spans="1:41" ht="36" customHeight="1" x14ac:dyDescent="0.25">
      <c r="A43" s="348"/>
      <c r="B43" s="650"/>
      <c r="C43" s="242" t="s">
        <v>62</v>
      </c>
      <c r="D43" s="100">
        <v>0</v>
      </c>
      <c r="E43" s="100">
        <v>0.04</v>
      </c>
      <c r="F43" s="100">
        <v>0.06</v>
      </c>
      <c r="G43" s="100">
        <v>0.1</v>
      </c>
      <c r="H43" s="100">
        <v>0.1</v>
      </c>
      <c r="I43" s="100"/>
      <c r="J43" s="100"/>
      <c r="K43" s="100"/>
      <c r="L43" s="100"/>
      <c r="M43" s="100"/>
      <c r="N43" s="100"/>
      <c r="O43" s="100"/>
      <c r="P43" s="243">
        <f t="shared" si="2"/>
        <v>0.30000000000000004</v>
      </c>
      <c r="Q43" s="656"/>
      <c r="R43" s="657"/>
      <c r="S43" s="657"/>
      <c r="T43" s="657"/>
      <c r="U43" s="657"/>
      <c r="V43" s="657"/>
      <c r="W43" s="657"/>
      <c r="X43" s="657"/>
      <c r="Y43" s="657"/>
      <c r="Z43" s="657"/>
      <c r="AA43" s="657"/>
      <c r="AB43" s="657"/>
      <c r="AC43" s="657"/>
      <c r="AD43" s="658"/>
      <c r="AE43" s="97"/>
    </row>
    <row r="44" spans="1:41" ht="36" customHeight="1" x14ac:dyDescent="0.25">
      <c r="A44" s="651" t="s">
        <v>113</v>
      </c>
      <c r="B44" s="649">
        <v>0.02</v>
      </c>
      <c r="C44" s="274" t="s">
        <v>61</v>
      </c>
      <c r="D44" s="275">
        <v>0</v>
      </c>
      <c r="E44" s="275">
        <v>0.05</v>
      </c>
      <c r="F44" s="103">
        <v>0.05</v>
      </c>
      <c r="G44" s="103">
        <v>0.1</v>
      </c>
      <c r="H44" s="103">
        <v>0.1</v>
      </c>
      <c r="I44" s="103">
        <v>0.1</v>
      </c>
      <c r="J44" s="103">
        <v>0.1</v>
      </c>
      <c r="K44" s="103">
        <v>0.15</v>
      </c>
      <c r="L44" s="103">
        <v>0.1</v>
      </c>
      <c r="M44" s="103">
        <v>0.1</v>
      </c>
      <c r="N44" s="103">
        <v>0.1</v>
      </c>
      <c r="O44" s="103">
        <v>0.05</v>
      </c>
      <c r="P44" s="237">
        <f t="shared" si="2"/>
        <v>1</v>
      </c>
      <c r="Q44" s="653" t="s">
        <v>546</v>
      </c>
      <c r="R44" s="654"/>
      <c r="S44" s="654"/>
      <c r="T44" s="654"/>
      <c r="U44" s="654"/>
      <c r="V44" s="654"/>
      <c r="W44" s="654"/>
      <c r="X44" s="654"/>
      <c r="Y44" s="654"/>
      <c r="Z44" s="654"/>
      <c r="AA44" s="654"/>
      <c r="AB44" s="654"/>
      <c r="AC44" s="654"/>
      <c r="AD44" s="655"/>
      <c r="AE44" s="97"/>
    </row>
    <row r="45" spans="1:41" ht="36" customHeight="1" x14ac:dyDescent="0.25">
      <c r="A45" s="652"/>
      <c r="B45" s="649"/>
      <c r="C45" s="242" t="s">
        <v>62</v>
      </c>
      <c r="D45" s="100">
        <v>0</v>
      </c>
      <c r="E45" s="100">
        <v>0.05</v>
      </c>
      <c r="F45" s="100">
        <v>0.05</v>
      </c>
      <c r="G45" s="100">
        <v>0.15</v>
      </c>
      <c r="H45" s="100">
        <v>0.1</v>
      </c>
      <c r="I45" s="100"/>
      <c r="J45" s="100"/>
      <c r="K45" s="100"/>
      <c r="L45" s="100"/>
      <c r="M45" s="100"/>
      <c r="N45" s="100"/>
      <c r="O45" s="100"/>
      <c r="P45" s="243">
        <f t="shared" si="2"/>
        <v>0.35</v>
      </c>
      <c r="Q45" s="653"/>
      <c r="R45" s="654"/>
      <c r="S45" s="654"/>
      <c r="T45" s="654"/>
      <c r="U45" s="654"/>
      <c r="V45" s="654"/>
      <c r="W45" s="654"/>
      <c r="X45" s="654"/>
      <c r="Y45" s="654"/>
      <c r="Z45" s="654"/>
      <c r="AA45" s="654"/>
      <c r="AB45" s="654"/>
      <c r="AC45" s="654"/>
      <c r="AD45" s="655"/>
      <c r="AE45" s="97"/>
    </row>
    <row r="46" spans="1:41" ht="36" customHeight="1" x14ac:dyDescent="0.25">
      <c r="A46" s="651" t="s">
        <v>114</v>
      </c>
      <c r="B46" s="649">
        <v>0.02</v>
      </c>
      <c r="C46" s="274" t="s">
        <v>61</v>
      </c>
      <c r="D46" s="275">
        <v>0</v>
      </c>
      <c r="E46" s="275">
        <v>0.05</v>
      </c>
      <c r="F46" s="103">
        <v>0.1</v>
      </c>
      <c r="G46" s="103">
        <v>0.1</v>
      </c>
      <c r="H46" s="103">
        <v>0.1</v>
      </c>
      <c r="I46" s="103">
        <v>0.1</v>
      </c>
      <c r="J46" s="103">
        <v>0.1</v>
      </c>
      <c r="K46" s="103">
        <v>0.1</v>
      </c>
      <c r="L46" s="103">
        <v>0.1</v>
      </c>
      <c r="M46" s="103">
        <v>0.1</v>
      </c>
      <c r="N46" s="103">
        <v>0.1</v>
      </c>
      <c r="O46" s="103">
        <v>0.05</v>
      </c>
      <c r="P46" s="237">
        <f t="shared" ref="P46:P57" si="3">SUM(D46:O46)</f>
        <v>0.99999999999999989</v>
      </c>
      <c r="Q46" s="653" t="s">
        <v>547</v>
      </c>
      <c r="R46" s="654"/>
      <c r="S46" s="654"/>
      <c r="T46" s="654"/>
      <c r="U46" s="654"/>
      <c r="V46" s="654"/>
      <c r="W46" s="654"/>
      <c r="X46" s="654"/>
      <c r="Y46" s="654"/>
      <c r="Z46" s="654"/>
      <c r="AA46" s="654"/>
      <c r="AB46" s="654"/>
      <c r="AC46" s="654"/>
      <c r="AD46" s="655"/>
      <c r="AE46" s="97"/>
    </row>
    <row r="47" spans="1:41" ht="36" customHeight="1" x14ac:dyDescent="0.25">
      <c r="A47" s="651"/>
      <c r="B47" s="649"/>
      <c r="C47" s="242" t="s">
        <v>62</v>
      </c>
      <c r="D47" s="100">
        <v>0</v>
      </c>
      <c r="E47" s="100">
        <v>0.05</v>
      </c>
      <c r="F47" s="100">
        <v>0.1</v>
      </c>
      <c r="G47" s="100">
        <v>0.1</v>
      </c>
      <c r="H47" s="100">
        <v>0.15</v>
      </c>
      <c r="I47" s="100"/>
      <c r="J47" s="100"/>
      <c r="K47" s="100"/>
      <c r="L47" s="100"/>
      <c r="M47" s="100"/>
      <c r="N47" s="100"/>
      <c r="O47" s="100"/>
      <c r="P47" s="243">
        <f t="shared" si="3"/>
        <v>0.4</v>
      </c>
      <c r="Q47" s="653"/>
      <c r="R47" s="654"/>
      <c r="S47" s="654"/>
      <c r="T47" s="654"/>
      <c r="U47" s="654"/>
      <c r="V47" s="654"/>
      <c r="W47" s="654"/>
      <c r="X47" s="654"/>
      <c r="Y47" s="654"/>
      <c r="Z47" s="654"/>
      <c r="AA47" s="654"/>
      <c r="AB47" s="654"/>
      <c r="AC47" s="654"/>
      <c r="AD47" s="655"/>
      <c r="AE47" s="97"/>
    </row>
    <row r="48" spans="1:41" ht="36" customHeight="1" x14ac:dyDescent="0.25">
      <c r="A48" s="651" t="s">
        <v>115</v>
      </c>
      <c r="B48" s="649">
        <v>0.02</v>
      </c>
      <c r="C48" s="274" t="s">
        <v>61</v>
      </c>
      <c r="D48" s="275">
        <v>0</v>
      </c>
      <c r="E48" s="275">
        <v>0.3</v>
      </c>
      <c r="F48" s="103">
        <v>0.05</v>
      </c>
      <c r="G48" s="103">
        <v>0.15</v>
      </c>
      <c r="H48" s="103">
        <v>0.15</v>
      </c>
      <c r="I48" s="103">
        <v>0.1</v>
      </c>
      <c r="J48" s="103">
        <v>0.05</v>
      </c>
      <c r="K48" s="103">
        <v>0.05</v>
      </c>
      <c r="L48" s="103">
        <v>0.05</v>
      </c>
      <c r="M48" s="103">
        <v>0.05</v>
      </c>
      <c r="N48" s="103">
        <v>0.03</v>
      </c>
      <c r="O48" s="103">
        <v>0.02</v>
      </c>
      <c r="P48" s="237">
        <f t="shared" si="3"/>
        <v>1.0000000000000002</v>
      </c>
      <c r="Q48" s="653" t="s">
        <v>548</v>
      </c>
      <c r="R48" s="654"/>
      <c r="S48" s="654"/>
      <c r="T48" s="654"/>
      <c r="U48" s="654"/>
      <c r="V48" s="654"/>
      <c r="W48" s="654"/>
      <c r="X48" s="654"/>
      <c r="Y48" s="654"/>
      <c r="Z48" s="654"/>
      <c r="AA48" s="654"/>
      <c r="AB48" s="654"/>
      <c r="AC48" s="654"/>
      <c r="AD48" s="655"/>
      <c r="AE48" s="97"/>
    </row>
    <row r="49" spans="1:31" ht="36" customHeight="1" x14ac:dyDescent="0.25">
      <c r="A49" s="651"/>
      <c r="B49" s="649"/>
      <c r="C49" s="242" t="s">
        <v>62</v>
      </c>
      <c r="D49" s="100">
        <v>0</v>
      </c>
      <c r="E49" s="100">
        <v>0.1</v>
      </c>
      <c r="F49" s="100">
        <v>0.2</v>
      </c>
      <c r="G49" s="100">
        <v>0.2</v>
      </c>
      <c r="H49" s="100">
        <v>0.15</v>
      </c>
      <c r="I49" s="100"/>
      <c r="J49" s="100"/>
      <c r="K49" s="100"/>
      <c r="L49" s="100"/>
      <c r="M49" s="100"/>
      <c r="N49" s="100"/>
      <c r="O49" s="100"/>
      <c r="P49" s="243">
        <f t="shared" si="3"/>
        <v>0.65</v>
      </c>
      <c r="Q49" s="653"/>
      <c r="R49" s="654"/>
      <c r="S49" s="654"/>
      <c r="T49" s="654"/>
      <c r="U49" s="654"/>
      <c r="V49" s="654"/>
      <c r="W49" s="654"/>
      <c r="X49" s="654"/>
      <c r="Y49" s="654"/>
      <c r="Z49" s="654"/>
      <c r="AA49" s="654"/>
      <c r="AB49" s="654"/>
      <c r="AC49" s="654"/>
      <c r="AD49" s="655"/>
      <c r="AE49" s="97"/>
    </row>
    <row r="50" spans="1:31" ht="36" customHeight="1" x14ac:dyDescent="0.25">
      <c r="A50" s="348" t="s">
        <v>116</v>
      </c>
      <c r="B50" s="650">
        <v>0.02</v>
      </c>
      <c r="C50" s="244" t="s">
        <v>61</v>
      </c>
      <c r="D50" s="103">
        <v>0</v>
      </c>
      <c r="E50" s="103">
        <v>0.05</v>
      </c>
      <c r="F50" s="103">
        <v>0.05</v>
      </c>
      <c r="G50" s="103">
        <v>0.15</v>
      </c>
      <c r="H50" s="103">
        <v>0.15</v>
      </c>
      <c r="I50" s="103">
        <v>0.1</v>
      </c>
      <c r="J50" s="103">
        <v>0.15</v>
      </c>
      <c r="K50" s="103">
        <v>0.1</v>
      </c>
      <c r="L50" s="103">
        <v>0.1</v>
      </c>
      <c r="M50" s="103">
        <v>0.1</v>
      </c>
      <c r="N50" s="103">
        <v>0.05</v>
      </c>
      <c r="O50" s="103">
        <v>0</v>
      </c>
      <c r="P50" s="237">
        <f t="shared" si="3"/>
        <v>1</v>
      </c>
      <c r="Q50" s="653" t="s">
        <v>571</v>
      </c>
      <c r="R50" s="654"/>
      <c r="S50" s="654"/>
      <c r="T50" s="654"/>
      <c r="U50" s="654"/>
      <c r="V50" s="654"/>
      <c r="W50" s="654"/>
      <c r="X50" s="654"/>
      <c r="Y50" s="654"/>
      <c r="Z50" s="654"/>
      <c r="AA50" s="654"/>
      <c r="AB50" s="654"/>
      <c r="AC50" s="654"/>
      <c r="AD50" s="655"/>
      <c r="AE50" s="97"/>
    </row>
    <row r="51" spans="1:31" ht="36" customHeight="1" x14ac:dyDescent="0.25">
      <c r="A51" s="348"/>
      <c r="B51" s="650"/>
      <c r="C51" s="242" t="s">
        <v>62</v>
      </c>
      <c r="D51" s="100">
        <v>0</v>
      </c>
      <c r="E51" s="100">
        <v>0</v>
      </c>
      <c r="F51" s="100">
        <v>0.05</v>
      </c>
      <c r="G51" s="100">
        <v>0.2</v>
      </c>
      <c r="H51" s="100">
        <v>0.15</v>
      </c>
      <c r="I51" s="100"/>
      <c r="J51" s="100"/>
      <c r="K51" s="100"/>
      <c r="L51" s="100"/>
      <c r="M51" s="100"/>
      <c r="N51" s="100"/>
      <c r="O51" s="100"/>
      <c r="P51" s="243">
        <f t="shared" si="3"/>
        <v>0.4</v>
      </c>
      <c r="Q51" s="653"/>
      <c r="R51" s="654"/>
      <c r="S51" s="654"/>
      <c r="T51" s="654"/>
      <c r="U51" s="654"/>
      <c r="V51" s="654"/>
      <c r="W51" s="654"/>
      <c r="X51" s="654"/>
      <c r="Y51" s="654"/>
      <c r="Z51" s="654"/>
      <c r="AA51" s="654"/>
      <c r="AB51" s="654"/>
      <c r="AC51" s="654"/>
      <c r="AD51" s="655"/>
      <c r="AE51" s="97"/>
    </row>
    <row r="52" spans="1:31" ht="36" customHeight="1" x14ac:dyDescent="0.25">
      <c r="A52" s="348" t="s">
        <v>117</v>
      </c>
      <c r="B52" s="650">
        <v>0.02</v>
      </c>
      <c r="C52" s="244" t="s">
        <v>61</v>
      </c>
      <c r="D52" s="103">
        <v>0</v>
      </c>
      <c r="E52" s="103">
        <v>0.05</v>
      </c>
      <c r="F52" s="103">
        <v>0.1</v>
      </c>
      <c r="G52" s="103">
        <v>0.1</v>
      </c>
      <c r="H52" s="103">
        <v>0.1</v>
      </c>
      <c r="I52" s="103">
        <v>0.1</v>
      </c>
      <c r="J52" s="103">
        <v>0.1</v>
      </c>
      <c r="K52" s="103">
        <v>0.1</v>
      </c>
      <c r="L52" s="103">
        <v>0.1</v>
      </c>
      <c r="M52" s="103">
        <v>0.1</v>
      </c>
      <c r="N52" s="103">
        <v>0.1</v>
      </c>
      <c r="O52" s="103">
        <v>0.05</v>
      </c>
      <c r="P52" s="237">
        <f t="shared" si="3"/>
        <v>0.99999999999999989</v>
      </c>
      <c r="Q52" s="656" t="s">
        <v>572</v>
      </c>
      <c r="R52" s="657"/>
      <c r="S52" s="657"/>
      <c r="T52" s="657"/>
      <c r="U52" s="657"/>
      <c r="V52" s="657"/>
      <c r="W52" s="657"/>
      <c r="X52" s="657"/>
      <c r="Y52" s="657"/>
      <c r="Z52" s="657"/>
      <c r="AA52" s="657"/>
      <c r="AB52" s="657"/>
      <c r="AC52" s="657"/>
      <c r="AD52" s="658"/>
      <c r="AE52" s="97"/>
    </row>
    <row r="53" spans="1:31" ht="36" customHeight="1" x14ac:dyDescent="0.25">
      <c r="A53" s="348"/>
      <c r="B53" s="650"/>
      <c r="C53" s="242" t="s">
        <v>62</v>
      </c>
      <c r="D53" s="100">
        <v>0</v>
      </c>
      <c r="E53" s="100">
        <v>0</v>
      </c>
      <c r="F53" s="100">
        <v>0.15</v>
      </c>
      <c r="G53" s="100">
        <v>0.1</v>
      </c>
      <c r="H53" s="100">
        <v>0.15</v>
      </c>
      <c r="I53" s="100"/>
      <c r="J53" s="100"/>
      <c r="K53" s="100"/>
      <c r="L53" s="100"/>
      <c r="M53" s="100"/>
      <c r="N53" s="100"/>
      <c r="O53" s="100"/>
      <c r="P53" s="243">
        <f t="shared" si="3"/>
        <v>0.4</v>
      </c>
      <c r="Q53" s="656"/>
      <c r="R53" s="657"/>
      <c r="S53" s="657"/>
      <c r="T53" s="657"/>
      <c r="U53" s="657"/>
      <c r="V53" s="657"/>
      <c r="W53" s="657"/>
      <c r="X53" s="657"/>
      <c r="Y53" s="657"/>
      <c r="Z53" s="657"/>
      <c r="AA53" s="657"/>
      <c r="AB53" s="657"/>
      <c r="AC53" s="657"/>
      <c r="AD53" s="658"/>
      <c r="AE53" s="97"/>
    </row>
    <row r="54" spans="1:31" ht="36" customHeight="1" x14ac:dyDescent="0.25">
      <c r="A54" s="348" t="s">
        <v>118</v>
      </c>
      <c r="B54" s="650">
        <v>0.02</v>
      </c>
      <c r="C54" s="244" t="s">
        <v>61</v>
      </c>
      <c r="D54" s="103">
        <v>0</v>
      </c>
      <c r="E54" s="103">
        <v>0</v>
      </c>
      <c r="F54" s="103">
        <v>0</v>
      </c>
      <c r="G54" s="103">
        <v>0.1</v>
      </c>
      <c r="H54" s="103">
        <v>0.1</v>
      </c>
      <c r="I54" s="103">
        <v>0.2</v>
      </c>
      <c r="J54" s="103">
        <v>0.2</v>
      </c>
      <c r="K54" s="103">
        <v>0.1</v>
      </c>
      <c r="L54" s="103">
        <v>0.1</v>
      </c>
      <c r="M54" s="103">
        <v>0.2</v>
      </c>
      <c r="N54" s="103">
        <v>0</v>
      </c>
      <c r="O54" s="103">
        <v>0</v>
      </c>
      <c r="P54" s="237">
        <f t="shared" si="3"/>
        <v>1</v>
      </c>
      <c r="Q54" s="653" t="s">
        <v>580</v>
      </c>
      <c r="R54" s="654"/>
      <c r="S54" s="654"/>
      <c r="T54" s="654"/>
      <c r="U54" s="654"/>
      <c r="V54" s="654"/>
      <c r="W54" s="654"/>
      <c r="X54" s="654"/>
      <c r="Y54" s="654"/>
      <c r="Z54" s="654"/>
      <c r="AA54" s="654"/>
      <c r="AB54" s="654"/>
      <c r="AC54" s="654"/>
      <c r="AD54" s="655"/>
      <c r="AE54" s="97"/>
    </row>
    <row r="55" spans="1:31" ht="36" customHeight="1" x14ac:dyDescent="0.25">
      <c r="A55" s="348"/>
      <c r="B55" s="650"/>
      <c r="C55" s="242" t="s">
        <v>62</v>
      </c>
      <c r="D55" s="100">
        <v>0</v>
      </c>
      <c r="E55" s="100">
        <v>0</v>
      </c>
      <c r="F55" s="100">
        <v>0</v>
      </c>
      <c r="G55" s="100">
        <v>0.05</v>
      </c>
      <c r="H55" s="100">
        <v>0.15</v>
      </c>
      <c r="I55" s="100"/>
      <c r="J55" s="100"/>
      <c r="K55" s="100"/>
      <c r="L55" s="100"/>
      <c r="M55" s="100"/>
      <c r="N55" s="100"/>
      <c r="O55" s="100"/>
      <c r="P55" s="243">
        <f t="shared" si="3"/>
        <v>0.2</v>
      </c>
      <c r="Q55" s="653"/>
      <c r="R55" s="654"/>
      <c r="S55" s="654"/>
      <c r="T55" s="654"/>
      <c r="U55" s="654"/>
      <c r="V55" s="654"/>
      <c r="W55" s="654"/>
      <c r="X55" s="654"/>
      <c r="Y55" s="654"/>
      <c r="Z55" s="654"/>
      <c r="AA55" s="654"/>
      <c r="AB55" s="654"/>
      <c r="AC55" s="654"/>
      <c r="AD55" s="655"/>
      <c r="AE55" s="97"/>
    </row>
    <row r="56" spans="1:31" ht="36" customHeight="1" x14ac:dyDescent="0.25">
      <c r="A56" s="348" t="s">
        <v>119</v>
      </c>
      <c r="B56" s="650">
        <v>0.02</v>
      </c>
      <c r="C56" s="244" t="s">
        <v>61</v>
      </c>
      <c r="D56" s="103">
        <v>0</v>
      </c>
      <c r="E56" s="103">
        <v>0.3</v>
      </c>
      <c r="F56" s="103">
        <v>0.05</v>
      </c>
      <c r="G56" s="103">
        <v>0.15</v>
      </c>
      <c r="H56" s="103">
        <v>0.15</v>
      </c>
      <c r="I56" s="103">
        <v>0.1</v>
      </c>
      <c r="J56" s="103">
        <v>0.05</v>
      </c>
      <c r="K56" s="103">
        <v>0.05</v>
      </c>
      <c r="L56" s="103">
        <v>0.05</v>
      </c>
      <c r="M56" s="103">
        <v>0.05</v>
      </c>
      <c r="N56" s="103">
        <v>0.03</v>
      </c>
      <c r="O56" s="103">
        <v>0.02</v>
      </c>
      <c r="P56" s="237">
        <f t="shared" si="3"/>
        <v>1.0000000000000002</v>
      </c>
      <c r="Q56" s="653" t="s">
        <v>581</v>
      </c>
      <c r="R56" s="654"/>
      <c r="S56" s="654"/>
      <c r="T56" s="654"/>
      <c r="U56" s="654"/>
      <c r="V56" s="654"/>
      <c r="W56" s="654"/>
      <c r="X56" s="654"/>
      <c r="Y56" s="654"/>
      <c r="Z56" s="654"/>
      <c r="AA56" s="654"/>
      <c r="AB56" s="654"/>
      <c r="AC56" s="654"/>
      <c r="AD56" s="655"/>
      <c r="AE56" s="97"/>
    </row>
    <row r="57" spans="1:31" ht="36" customHeight="1" thickBot="1" x14ac:dyDescent="0.3">
      <c r="A57" s="675"/>
      <c r="B57" s="679"/>
      <c r="C57" s="245" t="s">
        <v>62</v>
      </c>
      <c r="D57" s="105">
        <v>0</v>
      </c>
      <c r="E57" s="105">
        <v>0</v>
      </c>
      <c r="F57" s="105">
        <v>0</v>
      </c>
      <c r="G57" s="105">
        <v>0.15</v>
      </c>
      <c r="H57" s="105">
        <v>0.4</v>
      </c>
      <c r="I57" s="105"/>
      <c r="J57" s="105"/>
      <c r="K57" s="105"/>
      <c r="L57" s="105"/>
      <c r="M57" s="105"/>
      <c r="N57" s="105"/>
      <c r="O57" s="105"/>
      <c r="P57" s="246">
        <f t="shared" si="3"/>
        <v>0.55000000000000004</v>
      </c>
      <c r="Q57" s="676"/>
      <c r="R57" s="677"/>
      <c r="S57" s="677"/>
      <c r="T57" s="677"/>
      <c r="U57" s="677"/>
      <c r="V57" s="677"/>
      <c r="W57" s="677"/>
      <c r="X57" s="677"/>
      <c r="Y57" s="677"/>
      <c r="Z57" s="677"/>
      <c r="AA57" s="677"/>
      <c r="AB57" s="677"/>
      <c r="AC57" s="677"/>
      <c r="AD57" s="678"/>
      <c r="AE57" s="97"/>
    </row>
    <row r="58" spans="1:31" x14ac:dyDescent="0.25">
      <c r="A58" s="259"/>
      <c r="Q58" s="300"/>
      <c r="R58" s="300"/>
      <c r="S58" s="300"/>
      <c r="T58" s="300"/>
      <c r="U58" s="300"/>
      <c r="V58" s="300"/>
      <c r="W58" s="300"/>
      <c r="X58" s="300"/>
      <c r="Y58" s="300"/>
      <c r="Z58" s="300"/>
      <c r="AA58" s="300"/>
      <c r="AB58" s="300"/>
      <c r="AC58" s="300"/>
      <c r="AD58" s="300"/>
    </row>
    <row r="59" spans="1:31" x14ac:dyDescent="0.25">
      <c r="A59" s="259"/>
      <c r="Q59" s="259"/>
      <c r="R59" s="259"/>
      <c r="S59" s="259"/>
      <c r="T59" s="259"/>
      <c r="U59" s="259"/>
      <c r="V59" s="259"/>
      <c r="W59" s="259"/>
      <c r="X59" s="259"/>
      <c r="Y59" s="259"/>
      <c r="Z59" s="259"/>
      <c r="AA59" s="259"/>
      <c r="AB59" s="259"/>
      <c r="AC59" s="259"/>
      <c r="AD59" s="259"/>
    </row>
    <row r="60" spans="1:31" x14ac:dyDescent="0.25">
      <c r="A60" s="259"/>
      <c r="Q60" s="259"/>
      <c r="R60" s="259"/>
      <c r="S60" s="259"/>
      <c r="T60" s="259"/>
      <c r="U60" s="259"/>
      <c r="V60" s="259"/>
      <c r="W60" s="259"/>
      <c r="X60" s="259"/>
      <c r="Y60" s="259"/>
      <c r="Z60" s="259"/>
      <c r="AA60" s="259"/>
      <c r="AB60" s="259"/>
      <c r="AC60" s="259"/>
      <c r="AD60" s="259"/>
    </row>
    <row r="61" spans="1:31" x14ac:dyDescent="0.25">
      <c r="A61" s="259"/>
      <c r="Q61" s="259"/>
      <c r="R61" s="259"/>
      <c r="S61" s="259"/>
      <c r="T61" s="259"/>
      <c r="U61" s="259"/>
      <c r="V61" s="259"/>
      <c r="W61" s="259"/>
      <c r="X61" s="259"/>
      <c r="Y61" s="259"/>
      <c r="Z61" s="259"/>
      <c r="AA61" s="259"/>
      <c r="AB61" s="259"/>
      <c r="AC61" s="259"/>
      <c r="AD61" s="259"/>
    </row>
    <row r="62" spans="1:31" hidden="1" x14ac:dyDescent="0.25">
      <c r="A62" s="338" t="s">
        <v>89</v>
      </c>
      <c r="B62" s="340" t="s">
        <v>64</v>
      </c>
      <c r="C62" s="342" t="s">
        <v>65</v>
      </c>
      <c r="D62" s="647"/>
      <c r="E62" s="647"/>
      <c r="F62" s="647"/>
      <c r="G62" s="647"/>
      <c r="H62" s="647"/>
      <c r="I62" s="647"/>
      <c r="J62" s="647"/>
      <c r="K62" s="647"/>
      <c r="L62" s="647"/>
      <c r="M62" s="647"/>
      <c r="N62" s="647"/>
      <c r="O62" s="647"/>
      <c r="P62" s="648"/>
      <c r="Q62" s="260"/>
      <c r="R62" s="260"/>
      <c r="S62" s="259"/>
      <c r="T62" s="259"/>
      <c r="U62" s="259"/>
      <c r="V62" s="259"/>
      <c r="W62" s="259"/>
      <c r="X62" s="259"/>
      <c r="Y62" s="259"/>
      <c r="Z62" s="259"/>
      <c r="AA62" s="259"/>
      <c r="AB62" s="259"/>
      <c r="AC62" s="259"/>
      <c r="AD62" s="259"/>
    </row>
    <row r="63" spans="1:31" hidden="1" x14ac:dyDescent="0.25">
      <c r="A63" s="645"/>
      <c r="B63" s="646"/>
      <c r="C63" s="216" t="s">
        <v>67</v>
      </c>
      <c r="D63" s="216" t="s">
        <v>68</v>
      </c>
      <c r="E63" s="216" t="s">
        <v>69</v>
      </c>
      <c r="F63" s="216" t="s">
        <v>70</v>
      </c>
      <c r="G63" s="216" t="s">
        <v>71</v>
      </c>
      <c r="H63" s="216" t="s">
        <v>72</v>
      </c>
      <c r="I63" s="216" t="s">
        <v>73</v>
      </c>
      <c r="J63" s="216" t="s">
        <v>74</v>
      </c>
      <c r="K63" s="216" t="s">
        <v>75</v>
      </c>
      <c r="L63" s="216" t="s">
        <v>76</v>
      </c>
      <c r="M63" s="216" t="s">
        <v>77</v>
      </c>
      <c r="N63" s="216" t="s">
        <v>78</v>
      </c>
      <c r="O63" s="216" t="s">
        <v>79</v>
      </c>
      <c r="P63" s="216" t="s">
        <v>80</v>
      </c>
      <c r="Q63" s="260"/>
      <c r="R63" s="260"/>
      <c r="S63" s="259"/>
      <c r="T63" s="259"/>
      <c r="U63" s="259"/>
      <c r="V63" s="259"/>
      <c r="W63" s="259"/>
      <c r="X63" s="259"/>
      <c r="Y63" s="259"/>
      <c r="Z63" s="259"/>
      <c r="AA63" s="259"/>
      <c r="AB63" s="259"/>
      <c r="AC63" s="259"/>
      <c r="AD63" s="259"/>
    </row>
    <row r="64" spans="1:31" hidden="1" x14ac:dyDescent="0.25">
      <c r="A64" s="326" t="str">
        <f>A38</f>
        <v xml:space="preserve">7. Realizar ajustes a las metodologías de semilleros y jornadas significativas de acuerdo con las necesidades de cada grupo poblacional teniendo en cuenta sus diferencias y diversidad </v>
      </c>
      <c r="B64" s="345">
        <f>B38</f>
        <v>0.02</v>
      </c>
      <c r="C64" s="215" t="s">
        <v>61</v>
      </c>
      <c r="D64" s="214">
        <f>D38*$B$38/$P$38</f>
        <v>0</v>
      </c>
      <c r="E64" s="214">
        <f t="shared" ref="E64:O65" si="4">E38*$B$38/$P$38</f>
        <v>5.9999999999999984E-3</v>
      </c>
      <c r="F64" s="214">
        <f t="shared" si="4"/>
        <v>5.9999999999999984E-3</v>
      </c>
      <c r="G64" s="214">
        <f t="shared" si="4"/>
        <v>3.9999999999999992E-3</v>
      </c>
      <c r="H64" s="214">
        <f t="shared" si="4"/>
        <v>1.1999999999999997E-3</v>
      </c>
      <c r="I64" s="214">
        <f t="shared" si="4"/>
        <v>3.9999999999999991E-4</v>
      </c>
      <c r="J64" s="214">
        <f t="shared" si="4"/>
        <v>3.9999999999999991E-4</v>
      </c>
      <c r="K64" s="214">
        <f t="shared" si="4"/>
        <v>3.9999999999999991E-4</v>
      </c>
      <c r="L64" s="214">
        <f t="shared" si="4"/>
        <v>3.9999999999999991E-4</v>
      </c>
      <c r="M64" s="214">
        <f t="shared" si="4"/>
        <v>3.9999999999999991E-4</v>
      </c>
      <c r="N64" s="214">
        <f t="shared" si="4"/>
        <v>3.9999999999999991E-4</v>
      </c>
      <c r="O64" s="214">
        <f t="shared" si="4"/>
        <v>3.9999999999999991E-4</v>
      </c>
      <c r="P64" s="213">
        <f t="shared" ref="P64:P83" si="5">SUM(D64:O64)</f>
        <v>2.0000000000000004E-2</v>
      </c>
      <c r="Q64" s="262">
        <v>0.05</v>
      </c>
      <c r="R64" s="263">
        <f t="shared" ref="R64:R84" si="6">+P64-Q64</f>
        <v>-0.03</v>
      </c>
      <c r="S64" s="259"/>
      <c r="T64" s="259"/>
      <c r="U64" s="259"/>
      <c r="V64" s="259"/>
      <c r="W64" s="259"/>
      <c r="X64" s="259"/>
      <c r="Y64" s="259"/>
      <c r="Z64" s="259"/>
      <c r="AA64" s="259"/>
      <c r="AB64" s="259"/>
      <c r="AC64" s="259"/>
      <c r="AD64" s="259"/>
    </row>
    <row r="65" spans="1:30" hidden="1" x14ac:dyDescent="0.25">
      <c r="A65" s="327"/>
      <c r="B65" s="346"/>
      <c r="C65" s="212" t="s">
        <v>62</v>
      </c>
      <c r="D65" s="211">
        <f>D39*$B$38/$P$38</f>
        <v>0</v>
      </c>
      <c r="E65" s="211">
        <f t="shared" si="4"/>
        <v>5.9999999999999984E-3</v>
      </c>
      <c r="F65" s="211">
        <f t="shared" si="4"/>
        <v>5.9999999999999984E-3</v>
      </c>
      <c r="G65" s="211">
        <f t="shared" si="4"/>
        <v>3.9999999999999992E-3</v>
      </c>
      <c r="H65" s="211">
        <f t="shared" si="4"/>
        <v>1.1999999999999997E-3</v>
      </c>
      <c r="I65" s="211">
        <f t="shared" si="4"/>
        <v>0</v>
      </c>
      <c r="J65" s="211">
        <f t="shared" si="4"/>
        <v>0</v>
      </c>
      <c r="K65" s="211">
        <f t="shared" si="4"/>
        <v>0</v>
      </c>
      <c r="L65" s="211">
        <f t="shared" si="4"/>
        <v>0</v>
      </c>
      <c r="M65" s="211">
        <f t="shared" si="4"/>
        <v>0</v>
      </c>
      <c r="N65" s="211">
        <f t="shared" si="4"/>
        <v>0</v>
      </c>
      <c r="O65" s="211">
        <f t="shared" si="4"/>
        <v>0</v>
      </c>
      <c r="P65" s="210">
        <f t="shared" si="5"/>
        <v>1.7199999999999997E-2</v>
      </c>
      <c r="Q65" s="264">
        <f>+P65</f>
        <v>1.7199999999999997E-2</v>
      </c>
      <c r="R65" s="263">
        <f t="shared" si="6"/>
        <v>0</v>
      </c>
      <c r="S65" s="259"/>
      <c r="T65" s="259"/>
      <c r="U65" s="259"/>
      <c r="V65" s="259"/>
      <c r="W65" s="259"/>
      <c r="X65" s="259"/>
      <c r="Y65" s="259"/>
      <c r="Z65" s="259"/>
      <c r="AA65" s="259"/>
      <c r="AB65" s="259"/>
      <c r="AC65" s="259"/>
      <c r="AD65" s="259"/>
    </row>
    <row r="66" spans="1:30" hidden="1" x14ac:dyDescent="0.25">
      <c r="A66" s="326" t="str">
        <f>A40</f>
        <v>8. Realizar semilleros y jornadas significativas  que brinden herramientas para el  empoderamiento. Dirigidos a niñas, adolescentes y mujeres jóvenes en sus diferencias y diversidad</v>
      </c>
      <c r="B66" s="345">
        <f>B40</f>
        <v>0.02</v>
      </c>
      <c r="C66" s="215" t="s">
        <v>61</v>
      </c>
      <c r="D66" s="214">
        <f>D40*$B$40/$P$40</f>
        <v>0</v>
      </c>
      <c r="E66" s="214">
        <f t="shared" ref="E66:O67" si="7">E40*$B$40/$P$40</f>
        <v>4.0000000000000002E-4</v>
      </c>
      <c r="F66" s="214">
        <f t="shared" si="7"/>
        <v>8.0000000000000004E-4</v>
      </c>
      <c r="G66" s="214">
        <f t="shared" si="7"/>
        <v>2E-3</v>
      </c>
      <c r="H66" s="214">
        <f t="shared" si="7"/>
        <v>4.0000000000000002E-4</v>
      </c>
      <c r="I66" s="214">
        <f t="shared" si="7"/>
        <v>2E-3</v>
      </c>
      <c r="J66" s="214">
        <f t="shared" si="7"/>
        <v>2E-3</v>
      </c>
      <c r="K66" s="214">
        <f t="shared" si="7"/>
        <v>2E-3</v>
      </c>
      <c r="L66" s="214">
        <f t="shared" si="7"/>
        <v>2E-3</v>
      </c>
      <c r="M66" s="214">
        <f t="shared" si="7"/>
        <v>4.0000000000000001E-3</v>
      </c>
      <c r="N66" s="214">
        <f t="shared" si="7"/>
        <v>4.0000000000000001E-3</v>
      </c>
      <c r="O66" s="214">
        <f t="shared" si="7"/>
        <v>4.0000000000000002E-4</v>
      </c>
      <c r="P66" s="213">
        <f t="shared" si="5"/>
        <v>0.02</v>
      </c>
      <c r="Q66" s="262">
        <v>2.5000000000000001E-2</v>
      </c>
      <c r="R66" s="263">
        <f t="shared" si="6"/>
        <v>-5.000000000000001E-3</v>
      </c>
      <c r="S66" s="259"/>
      <c r="T66" s="259"/>
      <c r="U66" s="259"/>
      <c r="V66" s="259"/>
      <c r="W66" s="259"/>
      <c r="X66" s="259"/>
      <c r="Y66" s="259"/>
      <c r="Z66" s="259"/>
      <c r="AA66" s="259"/>
      <c r="AB66" s="259"/>
      <c r="AC66" s="259"/>
      <c r="AD66" s="259"/>
    </row>
    <row r="67" spans="1:30" hidden="1" x14ac:dyDescent="0.25">
      <c r="A67" s="327"/>
      <c r="B67" s="346"/>
      <c r="C67" s="212" t="s">
        <v>62</v>
      </c>
      <c r="D67" s="211">
        <f>D41*$B$40/$P$40</f>
        <v>0</v>
      </c>
      <c r="E67" s="211">
        <f t="shared" si="7"/>
        <v>0</v>
      </c>
      <c r="F67" s="211">
        <f t="shared" si="7"/>
        <v>1.1999999999999999E-3</v>
      </c>
      <c r="G67" s="211">
        <f t="shared" si="7"/>
        <v>2E-3</v>
      </c>
      <c r="H67" s="211">
        <f t="shared" si="7"/>
        <v>4.0000000000000002E-4</v>
      </c>
      <c r="I67" s="211">
        <f t="shared" si="7"/>
        <v>0</v>
      </c>
      <c r="J67" s="211">
        <f t="shared" si="7"/>
        <v>0</v>
      </c>
      <c r="K67" s="211">
        <f t="shared" si="7"/>
        <v>0</v>
      </c>
      <c r="L67" s="211">
        <f t="shared" si="7"/>
        <v>0</v>
      </c>
      <c r="M67" s="211">
        <f t="shared" si="7"/>
        <v>0</v>
      </c>
      <c r="N67" s="211">
        <f t="shared" si="7"/>
        <v>0</v>
      </c>
      <c r="O67" s="211">
        <f t="shared" si="7"/>
        <v>0</v>
      </c>
      <c r="P67" s="210">
        <f t="shared" si="5"/>
        <v>3.5999999999999999E-3</v>
      </c>
      <c r="Q67" s="264">
        <f>+P67</f>
        <v>3.5999999999999999E-3</v>
      </c>
      <c r="R67" s="263">
        <f t="shared" si="6"/>
        <v>0</v>
      </c>
      <c r="S67" s="259"/>
      <c r="T67" s="259"/>
      <c r="U67" s="259"/>
      <c r="V67" s="259"/>
      <c r="W67" s="259"/>
      <c r="X67" s="259"/>
      <c r="Y67" s="259"/>
      <c r="Z67" s="259"/>
      <c r="AA67" s="259"/>
      <c r="AB67" s="259"/>
      <c r="AC67" s="259"/>
      <c r="AD67" s="259"/>
    </row>
    <row r="68" spans="1:30" hidden="1" x14ac:dyDescent="0.25">
      <c r="A68" s="326" t="str">
        <f>A42</f>
        <v>9. Desarrollar acciones de difusión, visibilización divulgación de la estrategia de empoderamiento.</v>
      </c>
      <c r="B68" s="345">
        <f>B42</f>
        <v>0.02</v>
      </c>
      <c r="C68" s="215" t="s">
        <v>61</v>
      </c>
      <c r="D68" s="214">
        <f>D42*$B$42/$P$42</f>
        <v>0</v>
      </c>
      <c r="E68" s="214">
        <f t="shared" ref="E68:O69" si="8">E42*$B$42/$P$42</f>
        <v>8.0000000000000015E-4</v>
      </c>
      <c r="F68" s="214">
        <f t="shared" si="8"/>
        <v>1.2000000000000001E-3</v>
      </c>
      <c r="G68" s="214">
        <f t="shared" si="8"/>
        <v>2.0000000000000005E-3</v>
      </c>
      <c r="H68" s="214">
        <f t="shared" si="8"/>
        <v>2.0000000000000005E-3</v>
      </c>
      <c r="I68" s="214">
        <f t="shared" si="8"/>
        <v>2.0000000000000005E-3</v>
      </c>
      <c r="J68" s="214">
        <f t="shared" si="8"/>
        <v>2.0000000000000005E-3</v>
      </c>
      <c r="K68" s="214">
        <f t="shared" si="8"/>
        <v>2.0000000000000005E-3</v>
      </c>
      <c r="L68" s="214">
        <f t="shared" si="8"/>
        <v>2.0000000000000005E-3</v>
      </c>
      <c r="M68" s="214">
        <f t="shared" si="8"/>
        <v>2.0000000000000005E-3</v>
      </c>
      <c r="N68" s="214">
        <f t="shared" si="8"/>
        <v>2.0000000000000005E-3</v>
      </c>
      <c r="O68" s="214">
        <f t="shared" si="8"/>
        <v>2.0000000000000005E-3</v>
      </c>
      <c r="P68" s="213">
        <f t="shared" si="5"/>
        <v>2.0000000000000004E-2</v>
      </c>
      <c r="Q68" s="262">
        <v>2.5000000000000001E-2</v>
      </c>
      <c r="R68" s="263">
        <f t="shared" si="6"/>
        <v>-4.9999999999999975E-3</v>
      </c>
      <c r="S68" s="259"/>
      <c r="T68" s="259"/>
      <c r="U68" s="259"/>
      <c r="V68" s="259"/>
      <c r="W68" s="259"/>
      <c r="X68" s="259"/>
      <c r="Y68" s="259"/>
      <c r="Z68" s="259"/>
      <c r="AA68" s="259"/>
      <c r="AB68" s="259"/>
      <c r="AC68" s="259"/>
      <c r="AD68" s="259"/>
    </row>
    <row r="69" spans="1:30" hidden="1" x14ac:dyDescent="0.25">
      <c r="A69" s="327"/>
      <c r="B69" s="346"/>
      <c r="C69" s="212" t="s">
        <v>62</v>
      </c>
      <c r="D69" s="211">
        <f>D43*$B$42/$P$42</f>
        <v>0</v>
      </c>
      <c r="E69" s="211">
        <f t="shared" si="8"/>
        <v>8.0000000000000015E-4</v>
      </c>
      <c r="F69" s="211">
        <f t="shared" si="8"/>
        <v>1.2000000000000001E-3</v>
      </c>
      <c r="G69" s="211">
        <f t="shared" si="8"/>
        <v>2.0000000000000005E-3</v>
      </c>
      <c r="H69" s="211">
        <f t="shared" si="8"/>
        <v>2.0000000000000005E-3</v>
      </c>
      <c r="I69" s="211">
        <f t="shared" si="8"/>
        <v>0</v>
      </c>
      <c r="J69" s="211">
        <f t="shared" si="8"/>
        <v>0</v>
      </c>
      <c r="K69" s="211">
        <f t="shared" si="8"/>
        <v>0</v>
      </c>
      <c r="L69" s="211">
        <f t="shared" si="8"/>
        <v>0</v>
      </c>
      <c r="M69" s="211">
        <f t="shared" si="8"/>
        <v>0</v>
      </c>
      <c r="N69" s="211">
        <f t="shared" si="8"/>
        <v>0</v>
      </c>
      <c r="O69" s="211">
        <f t="shared" si="8"/>
        <v>0</v>
      </c>
      <c r="P69" s="210">
        <f t="shared" si="5"/>
        <v>6.0000000000000001E-3</v>
      </c>
      <c r="Q69" s="264">
        <f>+P69</f>
        <v>6.0000000000000001E-3</v>
      </c>
      <c r="R69" s="263">
        <f t="shared" si="6"/>
        <v>0</v>
      </c>
      <c r="S69" s="259"/>
      <c r="T69" s="259"/>
      <c r="U69" s="259"/>
      <c r="V69" s="259"/>
      <c r="W69" s="259"/>
      <c r="X69" s="259"/>
      <c r="Y69" s="259"/>
      <c r="Z69" s="259"/>
      <c r="AA69" s="259"/>
      <c r="AB69" s="259"/>
      <c r="AC69" s="259"/>
      <c r="AD69" s="259"/>
    </row>
    <row r="70" spans="1:30" hidden="1" x14ac:dyDescent="0.25">
      <c r="A70" s="326" t="str">
        <f>A44</f>
        <v>10. Desarrollar escuelas de educación emocional enfocadas en fortalecer capacidades y herramientas para gestionar la salud mental de las mujeres en su diversidad en la ciudad de Bogotá.</v>
      </c>
      <c r="B70" s="345">
        <f>B44</f>
        <v>0.02</v>
      </c>
      <c r="C70" s="215" t="s">
        <v>61</v>
      </c>
      <c r="D70" s="214">
        <f>D44*$B$40/$P$44</f>
        <v>0</v>
      </c>
      <c r="E70" s="214">
        <f t="shared" ref="E70:O71" si="9">E44*$B$40/$P$44</f>
        <v>1E-3</v>
      </c>
      <c r="F70" s="214">
        <f t="shared" si="9"/>
        <v>1E-3</v>
      </c>
      <c r="G70" s="214">
        <f t="shared" si="9"/>
        <v>2E-3</v>
      </c>
      <c r="H70" s="214">
        <f t="shared" si="9"/>
        <v>2E-3</v>
      </c>
      <c r="I70" s="214">
        <f t="shared" si="9"/>
        <v>2E-3</v>
      </c>
      <c r="J70" s="214">
        <f t="shared" si="9"/>
        <v>2E-3</v>
      </c>
      <c r="K70" s="214">
        <f t="shared" si="9"/>
        <v>3.0000000000000001E-3</v>
      </c>
      <c r="L70" s="214">
        <f t="shared" si="9"/>
        <v>2E-3</v>
      </c>
      <c r="M70" s="214">
        <f t="shared" si="9"/>
        <v>2E-3</v>
      </c>
      <c r="N70" s="214">
        <f t="shared" si="9"/>
        <v>2E-3</v>
      </c>
      <c r="O70" s="214">
        <f t="shared" si="9"/>
        <v>1E-3</v>
      </c>
      <c r="P70" s="213">
        <f t="shared" si="5"/>
        <v>2.0000000000000004E-2</v>
      </c>
      <c r="Q70" s="262">
        <v>0.02</v>
      </c>
      <c r="R70" s="263">
        <f t="shared" si="6"/>
        <v>0</v>
      </c>
      <c r="S70" s="259"/>
      <c r="T70" s="259"/>
      <c r="U70" s="259"/>
      <c r="V70" s="259"/>
      <c r="W70" s="259"/>
      <c r="X70" s="259"/>
      <c r="Y70" s="259"/>
      <c r="Z70" s="259"/>
      <c r="AA70" s="259"/>
      <c r="AB70" s="259"/>
      <c r="AC70" s="259"/>
      <c r="AD70" s="259"/>
    </row>
    <row r="71" spans="1:30" hidden="1" x14ac:dyDescent="0.25">
      <c r="A71" s="327"/>
      <c r="B71" s="346"/>
      <c r="C71" s="212" t="s">
        <v>62</v>
      </c>
      <c r="D71" s="211">
        <f>D45*$B$40/$P$44</f>
        <v>0</v>
      </c>
      <c r="E71" s="211">
        <f t="shared" si="9"/>
        <v>1E-3</v>
      </c>
      <c r="F71" s="211">
        <f t="shared" si="9"/>
        <v>1E-3</v>
      </c>
      <c r="G71" s="211">
        <f t="shared" si="9"/>
        <v>3.0000000000000001E-3</v>
      </c>
      <c r="H71" s="211">
        <f t="shared" si="9"/>
        <v>2E-3</v>
      </c>
      <c r="I71" s="211">
        <f t="shared" si="9"/>
        <v>0</v>
      </c>
      <c r="J71" s="211">
        <f t="shared" si="9"/>
        <v>0</v>
      </c>
      <c r="K71" s="211">
        <f t="shared" si="9"/>
        <v>0</v>
      </c>
      <c r="L71" s="211">
        <f t="shared" si="9"/>
        <v>0</v>
      </c>
      <c r="M71" s="211">
        <f t="shared" si="9"/>
        <v>0</v>
      </c>
      <c r="N71" s="211">
        <f t="shared" si="9"/>
        <v>0</v>
      </c>
      <c r="O71" s="211">
        <f t="shared" si="9"/>
        <v>0</v>
      </c>
      <c r="P71" s="210">
        <f t="shared" si="5"/>
        <v>7.0000000000000001E-3</v>
      </c>
      <c r="Q71" s="264">
        <f>+P71</f>
        <v>7.0000000000000001E-3</v>
      </c>
      <c r="R71" s="263">
        <f t="shared" si="6"/>
        <v>0</v>
      </c>
      <c r="S71" s="259"/>
      <c r="T71" s="259"/>
      <c r="U71" s="259"/>
      <c r="V71" s="259"/>
      <c r="W71" s="259"/>
      <c r="X71" s="259"/>
      <c r="Y71" s="259"/>
      <c r="Z71" s="259"/>
      <c r="AA71" s="259"/>
      <c r="AB71" s="259"/>
      <c r="AC71" s="259"/>
      <c r="AD71" s="259"/>
    </row>
    <row r="72" spans="1:30" hidden="1" x14ac:dyDescent="0.25">
      <c r="A72" s="326" t="str">
        <f>A46</f>
        <v>11. Desarrollar espacios de encuentro de mujeres para el cuidado emocional denominados Espacios Respiro.</v>
      </c>
      <c r="B72" s="345">
        <f>B46</f>
        <v>0.02</v>
      </c>
      <c r="C72" s="215" t="s">
        <v>61</v>
      </c>
      <c r="D72" s="214">
        <f>D46*$B$46/$P$46</f>
        <v>0</v>
      </c>
      <c r="E72" s="214">
        <f t="shared" ref="E72:O73" si="10">E46*$B$46/$P$46</f>
        <v>1.0000000000000002E-3</v>
      </c>
      <c r="F72" s="214">
        <f t="shared" si="10"/>
        <v>2.0000000000000005E-3</v>
      </c>
      <c r="G72" s="214">
        <f t="shared" si="10"/>
        <v>2.0000000000000005E-3</v>
      </c>
      <c r="H72" s="214">
        <f t="shared" si="10"/>
        <v>2.0000000000000005E-3</v>
      </c>
      <c r="I72" s="214">
        <f t="shared" si="10"/>
        <v>2.0000000000000005E-3</v>
      </c>
      <c r="J72" s="214">
        <f t="shared" si="10"/>
        <v>2.0000000000000005E-3</v>
      </c>
      <c r="K72" s="214">
        <f t="shared" si="10"/>
        <v>2.0000000000000005E-3</v>
      </c>
      <c r="L72" s="214">
        <f t="shared" si="10"/>
        <v>2.0000000000000005E-3</v>
      </c>
      <c r="M72" s="214">
        <f t="shared" si="10"/>
        <v>2.0000000000000005E-3</v>
      </c>
      <c r="N72" s="214">
        <f t="shared" si="10"/>
        <v>2.0000000000000005E-3</v>
      </c>
      <c r="O72" s="214">
        <f t="shared" si="10"/>
        <v>1.0000000000000002E-3</v>
      </c>
      <c r="P72" s="213">
        <f t="shared" si="5"/>
        <v>2.0000000000000004E-2</v>
      </c>
      <c r="Q72" s="262">
        <v>0.02</v>
      </c>
      <c r="R72" s="263">
        <f t="shared" si="6"/>
        <v>0</v>
      </c>
      <c r="S72" s="259"/>
      <c r="T72" s="259"/>
      <c r="U72" s="259"/>
      <c r="V72" s="259"/>
      <c r="W72" s="259"/>
      <c r="X72" s="259"/>
      <c r="Y72" s="259"/>
      <c r="Z72" s="259"/>
      <c r="AA72" s="259"/>
      <c r="AB72" s="259"/>
      <c r="AC72" s="259"/>
      <c r="AD72" s="259"/>
    </row>
    <row r="73" spans="1:30" hidden="1" x14ac:dyDescent="0.25">
      <c r="A73" s="327"/>
      <c r="B73" s="346"/>
      <c r="C73" s="212" t="s">
        <v>62</v>
      </c>
      <c r="D73" s="211">
        <f>D47*$B$46/$P$46</f>
        <v>0</v>
      </c>
      <c r="E73" s="211">
        <f t="shared" si="10"/>
        <v>1.0000000000000002E-3</v>
      </c>
      <c r="F73" s="211">
        <f t="shared" si="10"/>
        <v>2.0000000000000005E-3</v>
      </c>
      <c r="G73" s="211">
        <f t="shared" si="10"/>
        <v>2.0000000000000005E-3</v>
      </c>
      <c r="H73" s="211">
        <f t="shared" si="10"/>
        <v>3.0000000000000005E-3</v>
      </c>
      <c r="I73" s="211">
        <f t="shared" si="10"/>
        <v>0</v>
      </c>
      <c r="J73" s="211">
        <f t="shared" si="10"/>
        <v>0</v>
      </c>
      <c r="K73" s="211">
        <f t="shared" si="10"/>
        <v>0</v>
      </c>
      <c r="L73" s="211">
        <f t="shared" si="10"/>
        <v>0</v>
      </c>
      <c r="M73" s="211">
        <f t="shared" si="10"/>
        <v>0</v>
      </c>
      <c r="N73" s="211">
        <f t="shared" si="10"/>
        <v>0</v>
      </c>
      <c r="O73" s="211">
        <f t="shared" si="10"/>
        <v>0</v>
      </c>
      <c r="P73" s="210">
        <f t="shared" si="5"/>
        <v>8.0000000000000019E-3</v>
      </c>
      <c r="Q73" s="264">
        <f>+P73</f>
        <v>8.0000000000000019E-3</v>
      </c>
      <c r="R73" s="263">
        <f t="shared" si="6"/>
        <v>0</v>
      </c>
      <c r="S73" s="259"/>
      <c r="T73" s="259"/>
      <c r="U73" s="259"/>
      <c r="V73" s="259"/>
      <c r="W73" s="259"/>
      <c r="X73" s="259"/>
      <c r="Y73" s="259"/>
      <c r="Z73" s="259"/>
      <c r="AA73" s="259"/>
      <c r="AB73" s="259"/>
      <c r="AC73" s="259"/>
      <c r="AD73" s="259"/>
    </row>
    <row r="74" spans="1:30" hidden="1" x14ac:dyDescent="0.25">
      <c r="A74" s="326" t="str">
        <f>A48</f>
        <v xml:space="preserve">12.Diseñar e implementar una estrategia de difusión y socialización de la caja de herramientas construida en el marco de la estrategia de capacidades psicoemocionales  </v>
      </c>
      <c r="B74" s="345">
        <f>B48</f>
        <v>0.02</v>
      </c>
      <c r="C74" s="215" t="s">
        <v>61</v>
      </c>
      <c r="D74" s="214">
        <f>D48*$B$48/$P$48</f>
        <v>0</v>
      </c>
      <c r="E74" s="214">
        <f t="shared" ref="E74:O75" si="11">E48*$B$48/$P$48</f>
        <v>5.9999999999999984E-3</v>
      </c>
      <c r="F74" s="214">
        <f t="shared" si="11"/>
        <v>9.999999999999998E-4</v>
      </c>
      <c r="G74" s="214">
        <f t="shared" si="11"/>
        <v>2.9999999999999992E-3</v>
      </c>
      <c r="H74" s="214">
        <f t="shared" si="11"/>
        <v>2.9999999999999992E-3</v>
      </c>
      <c r="I74" s="214">
        <f t="shared" si="11"/>
        <v>1.9999999999999996E-3</v>
      </c>
      <c r="J74" s="214">
        <f t="shared" si="11"/>
        <v>9.999999999999998E-4</v>
      </c>
      <c r="K74" s="214">
        <f t="shared" si="11"/>
        <v>9.999999999999998E-4</v>
      </c>
      <c r="L74" s="214">
        <f t="shared" si="11"/>
        <v>9.999999999999998E-4</v>
      </c>
      <c r="M74" s="214">
        <f t="shared" si="11"/>
        <v>9.999999999999998E-4</v>
      </c>
      <c r="N74" s="214">
        <f t="shared" si="11"/>
        <v>5.9999999999999984E-4</v>
      </c>
      <c r="O74" s="214">
        <f t="shared" si="11"/>
        <v>3.9999999999999991E-4</v>
      </c>
      <c r="P74" s="213">
        <f t="shared" si="5"/>
        <v>0.02</v>
      </c>
      <c r="Q74" s="262">
        <v>0.02</v>
      </c>
      <c r="R74" s="263">
        <f t="shared" si="6"/>
        <v>0</v>
      </c>
      <c r="S74" s="259"/>
      <c r="T74" s="259"/>
      <c r="U74" s="259"/>
      <c r="V74" s="259"/>
      <c r="W74" s="259"/>
      <c r="X74" s="259"/>
      <c r="Y74" s="259"/>
      <c r="Z74" s="259"/>
      <c r="AA74" s="259"/>
      <c r="AB74" s="259"/>
      <c r="AC74" s="259"/>
      <c r="AD74" s="259"/>
    </row>
    <row r="75" spans="1:30" hidden="1" x14ac:dyDescent="0.25">
      <c r="A75" s="327"/>
      <c r="B75" s="346"/>
      <c r="C75" s="212" t="s">
        <v>62</v>
      </c>
      <c r="D75" s="211">
        <f>D49*$B$48/$P$48</f>
        <v>0</v>
      </c>
      <c r="E75" s="211">
        <f t="shared" si="11"/>
        <v>1.9999999999999996E-3</v>
      </c>
      <c r="F75" s="211">
        <f t="shared" si="11"/>
        <v>3.9999999999999992E-3</v>
      </c>
      <c r="G75" s="211">
        <f t="shared" si="11"/>
        <v>3.9999999999999992E-3</v>
      </c>
      <c r="H75" s="211">
        <f t="shared" si="11"/>
        <v>2.9999999999999992E-3</v>
      </c>
      <c r="I75" s="211">
        <f t="shared" si="11"/>
        <v>0</v>
      </c>
      <c r="J75" s="211">
        <f t="shared" si="11"/>
        <v>0</v>
      </c>
      <c r="K75" s="211">
        <f t="shared" si="11"/>
        <v>0</v>
      </c>
      <c r="L75" s="211">
        <f t="shared" si="11"/>
        <v>0</v>
      </c>
      <c r="M75" s="211">
        <f t="shared" si="11"/>
        <v>0</v>
      </c>
      <c r="N75" s="211">
        <f t="shared" si="11"/>
        <v>0</v>
      </c>
      <c r="O75" s="211">
        <f t="shared" si="11"/>
        <v>0</v>
      </c>
      <c r="P75" s="210">
        <f t="shared" si="5"/>
        <v>1.2999999999999998E-2</v>
      </c>
      <c r="Q75" s="264">
        <f>+P75</f>
        <v>1.2999999999999998E-2</v>
      </c>
      <c r="R75" s="263">
        <f t="shared" si="6"/>
        <v>0</v>
      </c>
      <c r="S75" s="259"/>
      <c r="T75" s="259"/>
      <c r="U75" s="259"/>
      <c r="V75" s="259"/>
      <c r="W75" s="259"/>
      <c r="X75" s="259"/>
      <c r="Y75" s="259"/>
      <c r="Z75" s="259"/>
      <c r="AA75" s="259"/>
      <c r="AB75" s="259"/>
      <c r="AC75" s="259"/>
      <c r="AD75" s="259"/>
    </row>
    <row r="76" spans="1:30" hidden="1" x14ac:dyDescent="0.25">
      <c r="A76" s="326" t="str">
        <f>A50</f>
        <v xml:space="preserve">13.   Implementar la Fase I y II de la EDCM . Espacios EMAA mujeres en sus diferencias y diversidad; hombres trans y personas no binarias. Jornadas de Dignidad Menstrual. </v>
      </c>
      <c r="B76" s="345">
        <f>B50</f>
        <v>0.02</v>
      </c>
      <c r="C76" s="215" t="s">
        <v>61</v>
      </c>
      <c r="D76" s="214">
        <f>D50*$B$50/$P$50</f>
        <v>0</v>
      </c>
      <c r="E76" s="214">
        <f t="shared" ref="E76:O77" si="12">E50*$B$50/$P$50</f>
        <v>1E-3</v>
      </c>
      <c r="F76" s="214">
        <f t="shared" si="12"/>
        <v>1E-3</v>
      </c>
      <c r="G76" s="214">
        <f t="shared" si="12"/>
        <v>3.0000000000000001E-3</v>
      </c>
      <c r="H76" s="214">
        <f t="shared" si="12"/>
        <v>3.0000000000000001E-3</v>
      </c>
      <c r="I76" s="214">
        <f t="shared" si="12"/>
        <v>2E-3</v>
      </c>
      <c r="J76" s="214">
        <f t="shared" si="12"/>
        <v>3.0000000000000001E-3</v>
      </c>
      <c r="K76" s="214">
        <f t="shared" si="12"/>
        <v>2E-3</v>
      </c>
      <c r="L76" s="214">
        <f t="shared" si="12"/>
        <v>2E-3</v>
      </c>
      <c r="M76" s="214">
        <f t="shared" si="12"/>
        <v>2E-3</v>
      </c>
      <c r="N76" s="214">
        <f t="shared" si="12"/>
        <v>1E-3</v>
      </c>
      <c r="O76" s="214">
        <f t="shared" si="12"/>
        <v>0</v>
      </c>
      <c r="P76" s="213">
        <f t="shared" si="5"/>
        <v>2.0000000000000004E-2</v>
      </c>
      <c r="Q76" s="262"/>
      <c r="R76" s="263"/>
      <c r="S76" s="259"/>
      <c r="T76" s="259"/>
      <c r="U76" s="259"/>
      <c r="V76" s="259"/>
      <c r="W76" s="259"/>
      <c r="X76" s="259"/>
      <c r="Y76" s="259"/>
      <c r="Z76" s="259"/>
      <c r="AA76" s="259"/>
      <c r="AB76" s="259"/>
      <c r="AC76" s="259"/>
      <c r="AD76" s="259"/>
    </row>
    <row r="77" spans="1:30" hidden="1" x14ac:dyDescent="0.25">
      <c r="A77" s="327"/>
      <c r="B77" s="346"/>
      <c r="C77" s="212" t="s">
        <v>62</v>
      </c>
      <c r="D77" s="211">
        <f>D51*$B$50/$P$50</f>
        <v>0</v>
      </c>
      <c r="E77" s="211">
        <f t="shared" si="12"/>
        <v>0</v>
      </c>
      <c r="F77" s="211">
        <f t="shared" si="12"/>
        <v>1E-3</v>
      </c>
      <c r="G77" s="211">
        <f t="shared" si="12"/>
        <v>4.0000000000000001E-3</v>
      </c>
      <c r="H77" s="211">
        <f t="shared" si="12"/>
        <v>3.0000000000000001E-3</v>
      </c>
      <c r="I77" s="211">
        <f t="shared" si="12"/>
        <v>0</v>
      </c>
      <c r="J77" s="211">
        <f t="shared" si="12"/>
        <v>0</v>
      </c>
      <c r="K77" s="211">
        <f t="shared" si="12"/>
        <v>0</v>
      </c>
      <c r="L77" s="211">
        <f t="shared" si="12"/>
        <v>0</v>
      </c>
      <c r="M77" s="211">
        <f t="shared" si="12"/>
        <v>0</v>
      </c>
      <c r="N77" s="211">
        <f t="shared" si="12"/>
        <v>0</v>
      </c>
      <c r="O77" s="211">
        <f t="shared" si="12"/>
        <v>0</v>
      </c>
      <c r="P77" s="210">
        <f t="shared" si="5"/>
        <v>8.0000000000000002E-3</v>
      </c>
      <c r="Q77" s="264"/>
      <c r="R77" s="263"/>
      <c r="S77" s="259"/>
      <c r="T77" s="259"/>
      <c r="U77" s="259"/>
      <c r="V77" s="259"/>
      <c r="W77" s="259"/>
      <c r="X77" s="259"/>
      <c r="Y77" s="259"/>
      <c r="Z77" s="259"/>
      <c r="AA77" s="259"/>
      <c r="AB77" s="259"/>
      <c r="AC77" s="259"/>
      <c r="AD77" s="259"/>
    </row>
    <row r="78" spans="1:30" hidden="1" x14ac:dyDescent="0.25">
      <c r="A78" s="326" t="str">
        <f>A52</f>
        <v xml:space="preserve">14. Realizar la Mesa Interinstitucional activa, implementando Plan de Trabajo  </v>
      </c>
      <c r="B78" s="345">
        <f>B52</f>
        <v>0.02</v>
      </c>
      <c r="C78" s="215" t="s">
        <v>61</v>
      </c>
      <c r="D78" s="214">
        <f>D52*$B$52/$P$52</f>
        <v>0</v>
      </c>
      <c r="E78" s="214">
        <f t="shared" ref="E78:O79" si="13">E52*$B$52/$P$52</f>
        <v>1.0000000000000002E-3</v>
      </c>
      <c r="F78" s="214">
        <f t="shared" si="13"/>
        <v>2.0000000000000005E-3</v>
      </c>
      <c r="G78" s="214">
        <f t="shared" si="13"/>
        <v>2.0000000000000005E-3</v>
      </c>
      <c r="H78" s="214">
        <f t="shared" si="13"/>
        <v>2.0000000000000005E-3</v>
      </c>
      <c r="I78" s="214">
        <f t="shared" si="13"/>
        <v>2.0000000000000005E-3</v>
      </c>
      <c r="J78" s="214">
        <f t="shared" si="13"/>
        <v>2.0000000000000005E-3</v>
      </c>
      <c r="K78" s="214">
        <f t="shared" si="13"/>
        <v>2.0000000000000005E-3</v>
      </c>
      <c r="L78" s="214">
        <f t="shared" si="13"/>
        <v>2.0000000000000005E-3</v>
      </c>
      <c r="M78" s="214">
        <f t="shared" si="13"/>
        <v>2.0000000000000005E-3</v>
      </c>
      <c r="N78" s="214">
        <f t="shared" si="13"/>
        <v>2.0000000000000005E-3</v>
      </c>
      <c r="O78" s="214">
        <f t="shared" si="13"/>
        <v>1.0000000000000002E-3</v>
      </c>
      <c r="P78" s="213">
        <f t="shared" si="5"/>
        <v>2.0000000000000004E-2</v>
      </c>
      <c r="Q78" s="262">
        <v>0.02</v>
      </c>
      <c r="R78" s="263">
        <f>+P78-Q78</f>
        <v>0</v>
      </c>
      <c r="S78" s="259"/>
      <c r="T78" s="259"/>
      <c r="U78" s="259"/>
      <c r="V78" s="259"/>
      <c r="W78" s="259"/>
      <c r="X78" s="259"/>
      <c r="Y78" s="259"/>
      <c r="Z78" s="259"/>
      <c r="AA78" s="259"/>
      <c r="AB78" s="259"/>
      <c r="AC78" s="259"/>
      <c r="AD78" s="259"/>
    </row>
    <row r="79" spans="1:30" hidden="1" x14ac:dyDescent="0.25">
      <c r="A79" s="327"/>
      <c r="B79" s="346"/>
      <c r="C79" s="212" t="s">
        <v>62</v>
      </c>
      <c r="D79" s="211">
        <f>D53*$B$52/$P$52</f>
        <v>0</v>
      </c>
      <c r="E79" s="211">
        <f t="shared" si="13"/>
        <v>0</v>
      </c>
      <c r="F79" s="211">
        <f t="shared" si="13"/>
        <v>3.0000000000000005E-3</v>
      </c>
      <c r="G79" s="211">
        <f t="shared" si="13"/>
        <v>2.0000000000000005E-3</v>
      </c>
      <c r="H79" s="211">
        <f t="shared" si="13"/>
        <v>3.0000000000000005E-3</v>
      </c>
      <c r="I79" s="211">
        <f t="shared" si="13"/>
        <v>0</v>
      </c>
      <c r="J79" s="211">
        <f t="shared" si="13"/>
        <v>0</v>
      </c>
      <c r="K79" s="211">
        <f t="shared" si="13"/>
        <v>0</v>
      </c>
      <c r="L79" s="211">
        <f t="shared" si="13"/>
        <v>0</v>
      </c>
      <c r="M79" s="211">
        <f t="shared" si="13"/>
        <v>0</v>
      </c>
      <c r="N79" s="211">
        <f t="shared" si="13"/>
        <v>0</v>
      </c>
      <c r="O79" s="211">
        <f t="shared" si="13"/>
        <v>0</v>
      </c>
      <c r="P79" s="210">
        <f t="shared" si="5"/>
        <v>8.0000000000000019E-3</v>
      </c>
      <c r="Q79" s="264">
        <f>+P79</f>
        <v>8.0000000000000019E-3</v>
      </c>
      <c r="R79" s="263">
        <f>+P79-Q79</f>
        <v>0</v>
      </c>
      <c r="S79" s="259"/>
      <c r="T79" s="259"/>
      <c r="U79" s="259"/>
      <c r="V79" s="259"/>
      <c r="W79" s="259"/>
      <c r="X79" s="259"/>
      <c r="Y79" s="259"/>
      <c r="Z79" s="259"/>
      <c r="AA79" s="259"/>
      <c r="AB79" s="259"/>
      <c r="AC79" s="259"/>
      <c r="AD79" s="259"/>
    </row>
    <row r="80" spans="1:30" hidden="1" x14ac:dyDescent="0.25">
      <c r="A80" s="326" t="str">
        <f>A54</f>
        <v xml:space="preserve">15. Definir e implementar acciones de las fases III y IV de la Estrategia de Cuidado Menstrual dirigidas a mujeres y personas con experiencias menstruales en sus diferencias y diversidad, según priorización y pertinencia. </v>
      </c>
      <c r="B80" s="345">
        <f>B54</f>
        <v>0.02</v>
      </c>
      <c r="C80" s="215" t="s">
        <v>61</v>
      </c>
      <c r="D80" s="214">
        <f>D54*$B$54/$P$54</f>
        <v>0</v>
      </c>
      <c r="E80" s="214">
        <f t="shared" ref="E80:O81" si="14">E54*$B$54/$P$54</f>
        <v>0</v>
      </c>
      <c r="F80" s="214">
        <f t="shared" si="14"/>
        <v>0</v>
      </c>
      <c r="G80" s="214">
        <f t="shared" si="14"/>
        <v>2E-3</v>
      </c>
      <c r="H80" s="214">
        <f t="shared" si="14"/>
        <v>2E-3</v>
      </c>
      <c r="I80" s="214">
        <f t="shared" si="14"/>
        <v>4.0000000000000001E-3</v>
      </c>
      <c r="J80" s="214">
        <f t="shared" si="14"/>
        <v>4.0000000000000001E-3</v>
      </c>
      <c r="K80" s="214">
        <f t="shared" si="14"/>
        <v>2E-3</v>
      </c>
      <c r="L80" s="214">
        <f t="shared" si="14"/>
        <v>2E-3</v>
      </c>
      <c r="M80" s="214">
        <f t="shared" si="14"/>
        <v>4.0000000000000001E-3</v>
      </c>
      <c r="N80" s="214">
        <f t="shared" si="14"/>
        <v>0</v>
      </c>
      <c r="O80" s="214">
        <f t="shared" si="14"/>
        <v>0</v>
      </c>
      <c r="P80" s="213">
        <f t="shared" si="5"/>
        <v>0.02</v>
      </c>
      <c r="Q80" s="262">
        <v>0.02</v>
      </c>
      <c r="R80" s="263">
        <f>+P80-Q80</f>
        <v>0</v>
      </c>
      <c r="S80" s="259"/>
      <c r="T80" s="259"/>
      <c r="U80" s="259"/>
      <c r="V80" s="259"/>
      <c r="W80" s="259"/>
      <c r="X80" s="259"/>
      <c r="Y80" s="259"/>
      <c r="Z80" s="259"/>
      <c r="AA80" s="259"/>
      <c r="AB80" s="259"/>
      <c r="AC80" s="259"/>
      <c r="AD80" s="259"/>
    </row>
    <row r="81" spans="1:30" hidden="1" x14ac:dyDescent="0.25">
      <c r="A81" s="327"/>
      <c r="B81" s="346"/>
      <c r="C81" s="212" t="s">
        <v>62</v>
      </c>
      <c r="D81" s="211">
        <f>D55*$B$54/$P$54</f>
        <v>0</v>
      </c>
      <c r="E81" s="211">
        <f t="shared" si="14"/>
        <v>0</v>
      </c>
      <c r="F81" s="211">
        <f t="shared" si="14"/>
        <v>0</v>
      </c>
      <c r="G81" s="211">
        <f t="shared" si="14"/>
        <v>1E-3</v>
      </c>
      <c r="H81" s="211">
        <f t="shared" si="14"/>
        <v>3.0000000000000001E-3</v>
      </c>
      <c r="I81" s="211">
        <f t="shared" si="14"/>
        <v>0</v>
      </c>
      <c r="J81" s="211">
        <f t="shared" si="14"/>
        <v>0</v>
      </c>
      <c r="K81" s="211">
        <f t="shared" si="14"/>
        <v>0</v>
      </c>
      <c r="L81" s="211">
        <f t="shared" si="14"/>
        <v>0</v>
      </c>
      <c r="M81" s="211">
        <f t="shared" si="14"/>
        <v>0</v>
      </c>
      <c r="N81" s="211">
        <f t="shared" si="14"/>
        <v>0</v>
      </c>
      <c r="O81" s="211">
        <f t="shared" si="14"/>
        <v>0</v>
      </c>
      <c r="P81" s="210">
        <f t="shared" si="5"/>
        <v>4.0000000000000001E-3</v>
      </c>
      <c r="Q81" s="264">
        <f>+P81</f>
        <v>4.0000000000000001E-3</v>
      </c>
      <c r="R81" s="263">
        <f>+P81-Q81</f>
        <v>0</v>
      </c>
      <c r="S81" s="259"/>
      <c r="T81" s="259"/>
      <c r="U81" s="259"/>
      <c r="V81" s="259"/>
      <c r="W81" s="259"/>
      <c r="X81" s="259"/>
      <c r="Y81" s="259"/>
      <c r="Z81" s="259"/>
      <c r="AA81" s="259"/>
      <c r="AB81" s="259"/>
      <c r="AC81" s="259"/>
      <c r="AD81" s="259"/>
    </row>
    <row r="82" spans="1:30" hidden="1" x14ac:dyDescent="0.25">
      <c r="A82" s="326" t="str">
        <f>A56</f>
        <v>16. Diseñar y poner en acción el Plan Estratégico de Comunicaciones de la EDCM</v>
      </c>
      <c r="B82" s="345">
        <f>B56</f>
        <v>0.02</v>
      </c>
      <c r="C82" s="215" t="s">
        <v>61</v>
      </c>
      <c r="D82" s="214">
        <f>D56*$B$56/$P$56</f>
        <v>0</v>
      </c>
      <c r="E82" s="214">
        <f t="shared" ref="E82:O83" si="15">E56*$B$56/$P$56</f>
        <v>5.9999999999999984E-3</v>
      </c>
      <c r="F82" s="214">
        <f t="shared" si="15"/>
        <v>9.999999999999998E-4</v>
      </c>
      <c r="G82" s="214">
        <f t="shared" si="15"/>
        <v>2.9999999999999992E-3</v>
      </c>
      <c r="H82" s="214">
        <f t="shared" si="15"/>
        <v>2.9999999999999992E-3</v>
      </c>
      <c r="I82" s="214">
        <f t="shared" si="15"/>
        <v>1.9999999999999996E-3</v>
      </c>
      <c r="J82" s="214">
        <f t="shared" si="15"/>
        <v>9.999999999999998E-4</v>
      </c>
      <c r="K82" s="214">
        <f t="shared" si="15"/>
        <v>9.999999999999998E-4</v>
      </c>
      <c r="L82" s="214">
        <f t="shared" si="15"/>
        <v>9.999999999999998E-4</v>
      </c>
      <c r="M82" s="214">
        <f t="shared" si="15"/>
        <v>9.999999999999998E-4</v>
      </c>
      <c r="N82" s="214">
        <f t="shared" si="15"/>
        <v>5.9999999999999984E-4</v>
      </c>
      <c r="O82" s="214">
        <f t="shared" si="15"/>
        <v>3.9999999999999991E-4</v>
      </c>
      <c r="P82" s="213">
        <f t="shared" si="5"/>
        <v>0.02</v>
      </c>
      <c r="Q82" s="262"/>
      <c r="R82" s="263"/>
      <c r="S82" s="259"/>
      <c r="T82" s="259"/>
      <c r="U82" s="259"/>
      <c r="V82" s="259"/>
      <c r="W82" s="259"/>
      <c r="X82" s="259"/>
      <c r="Y82" s="259"/>
      <c r="Z82" s="259"/>
      <c r="AA82" s="259"/>
      <c r="AB82" s="259"/>
      <c r="AC82" s="259"/>
      <c r="AD82" s="259"/>
    </row>
    <row r="83" spans="1:30" hidden="1" x14ac:dyDescent="0.25">
      <c r="A83" s="327"/>
      <c r="B83" s="346"/>
      <c r="C83" s="212" t="s">
        <v>62</v>
      </c>
      <c r="D83" s="211">
        <f>D57*$B$56/$P$56</f>
        <v>0</v>
      </c>
      <c r="E83" s="211">
        <f t="shared" si="15"/>
        <v>0</v>
      </c>
      <c r="F83" s="211">
        <f t="shared" si="15"/>
        <v>0</v>
      </c>
      <c r="G83" s="211">
        <f t="shared" si="15"/>
        <v>2.9999999999999992E-3</v>
      </c>
      <c r="H83" s="211">
        <f t="shared" si="15"/>
        <v>7.9999999999999984E-3</v>
      </c>
      <c r="I83" s="211">
        <f t="shared" si="15"/>
        <v>0</v>
      </c>
      <c r="J83" s="211">
        <f t="shared" si="15"/>
        <v>0</v>
      </c>
      <c r="K83" s="211">
        <f t="shared" si="15"/>
        <v>0</v>
      </c>
      <c r="L83" s="211">
        <f t="shared" si="15"/>
        <v>0</v>
      </c>
      <c r="M83" s="211">
        <f t="shared" si="15"/>
        <v>0</v>
      </c>
      <c r="N83" s="211">
        <f t="shared" si="15"/>
        <v>0</v>
      </c>
      <c r="O83" s="211">
        <f t="shared" si="15"/>
        <v>0</v>
      </c>
      <c r="P83" s="210">
        <f t="shared" si="5"/>
        <v>1.0999999999999998E-2</v>
      </c>
      <c r="Q83" s="264"/>
      <c r="R83" s="263"/>
      <c r="S83" s="259"/>
      <c r="T83" s="259"/>
      <c r="U83" s="259"/>
      <c r="V83" s="259"/>
      <c r="W83" s="259"/>
      <c r="X83" s="259"/>
      <c r="Y83" s="259"/>
      <c r="Z83" s="259"/>
      <c r="AA83" s="259"/>
      <c r="AB83" s="259"/>
      <c r="AC83" s="259"/>
      <c r="AD83" s="259"/>
    </row>
    <row r="84" spans="1:30" hidden="1" x14ac:dyDescent="0.25">
      <c r="A84" s="261"/>
      <c r="B84" s="208"/>
      <c r="C84" s="209"/>
      <c r="D84" s="204">
        <f>D65+D67+D69+D71+D73+D75+D77+D79+D81+D83</f>
        <v>0</v>
      </c>
      <c r="E84" s="204">
        <f t="shared" ref="E84:O84" si="16">E65+E67+E69+E71+E73+E75+E77+E79+E81+E83</f>
        <v>1.0799999999999999E-2</v>
      </c>
      <c r="F84" s="204">
        <f t="shared" si="16"/>
        <v>1.9399999999999997E-2</v>
      </c>
      <c r="G84" s="204">
        <f t="shared" si="16"/>
        <v>2.7E-2</v>
      </c>
      <c r="H84" s="204">
        <f t="shared" si="16"/>
        <v>2.8599999999999993E-2</v>
      </c>
      <c r="I84" s="204">
        <f t="shared" si="16"/>
        <v>0</v>
      </c>
      <c r="J84" s="204">
        <f t="shared" si="16"/>
        <v>0</v>
      </c>
      <c r="K84" s="204">
        <f t="shared" si="16"/>
        <v>0</v>
      </c>
      <c r="L84" s="204">
        <f t="shared" si="16"/>
        <v>0</v>
      </c>
      <c r="M84" s="204">
        <f t="shared" si="16"/>
        <v>0</v>
      </c>
      <c r="N84" s="204">
        <f t="shared" si="16"/>
        <v>0</v>
      </c>
      <c r="O84" s="204">
        <f t="shared" si="16"/>
        <v>0</v>
      </c>
      <c r="P84" s="204">
        <f>P65+P67+P69+P71+P73+P75+P77</f>
        <v>6.2799999999999995E-2</v>
      </c>
      <c r="Q84" s="260"/>
      <c r="R84" s="263">
        <f t="shared" si="6"/>
        <v>6.2799999999999995E-2</v>
      </c>
      <c r="S84" s="259"/>
      <c r="T84" s="259"/>
      <c r="U84" s="259"/>
      <c r="V84" s="259"/>
      <c r="W84" s="259"/>
      <c r="X84" s="259"/>
      <c r="Y84" s="259"/>
      <c r="Z84" s="259"/>
      <c r="AA84" s="259"/>
      <c r="AB84" s="259"/>
      <c r="AC84" s="259"/>
      <c r="AD84" s="259"/>
    </row>
    <row r="85" spans="1:30" hidden="1" x14ac:dyDescent="0.25">
      <c r="A85" s="262"/>
      <c r="B85" s="206"/>
      <c r="C85" s="203" t="s">
        <v>62</v>
      </c>
      <c r="D85" s="202">
        <f>D84*$W$17/$B$34</f>
        <v>0</v>
      </c>
      <c r="E85" s="202">
        <f t="shared" ref="E85:O85" si="17">E84*$W$17/$B$34</f>
        <v>4.8599999999999997E-2</v>
      </c>
      <c r="F85" s="202">
        <f t="shared" si="17"/>
        <v>8.7299999999999975E-2</v>
      </c>
      <c r="G85" s="202">
        <f t="shared" si="17"/>
        <v>0.12149999999999998</v>
      </c>
      <c r="H85" s="202">
        <f t="shared" si="17"/>
        <v>0.12869999999999998</v>
      </c>
      <c r="I85" s="202">
        <f t="shared" si="17"/>
        <v>0</v>
      </c>
      <c r="J85" s="202">
        <f t="shared" si="17"/>
        <v>0</v>
      </c>
      <c r="K85" s="202">
        <f t="shared" si="17"/>
        <v>0</v>
      </c>
      <c r="L85" s="202">
        <f t="shared" si="17"/>
        <v>0</v>
      </c>
      <c r="M85" s="202">
        <f t="shared" si="17"/>
        <v>0</v>
      </c>
      <c r="N85" s="202">
        <f t="shared" si="17"/>
        <v>0</v>
      </c>
      <c r="O85" s="202">
        <f t="shared" si="17"/>
        <v>0</v>
      </c>
      <c r="P85" s="201">
        <f>SUM(D85:O85)</f>
        <v>0.38609999999999994</v>
      </c>
      <c r="Q85" s="261"/>
      <c r="R85" s="260"/>
      <c r="S85" s="259"/>
      <c r="T85" s="259"/>
      <c r="U85" s="259"/>
      <c r="V85" s="259"/>
      <c r="W85" s="259"/>
      <c r="X85" s="259"/>
      <c r="Y85" s="259"/>
      <c r="Z85" s="259"/>
      <c r="AA85" s="259"/>
      <c r="AB85" s="259"/>
      <c r="AC85" s="259"/>
      <c r="AD85" s="259"/>
    </row>
    <row r="86" spans="1:30" hidden="1" x14ac:dyDescent="0.25">
      <c r="A86" s="261"/>
      <c r="B86" s="205"/>
      <c r="C86" s="205"/>
      <c r="D86" s="205"/>
      <c r="E86" s="205"/>
      <c r="F86" s="205"/>
      <c r="G86" s="205"/>
      <c r="H86" s="205"/>
      <c r="I86" s="205"/>
      <c r="J86" s="205"/>
      <c r="K86" s="205"/>
      <c r="L86" s="205"/>
      <c r="M86" s="205"/>
      <c r="N86" s="205"/>
      <c r="O86" s="205"/>
      <c r="P86" s="205"/>
      <c r="Q86" s="261"/>
      <c r="R86" s="261"/>
      <c r="S86" s="259"/>
      <c r="T86" s="259"/>
      <c r="U86" s="259"/>
      <c r="V86" s="259"/>
      <c r="W86" s="259"/>
      <c r="X86" s="259"/>
      <c r="Y86" s="259"/>
      <c r="Z86" s="259"/>
      <c r="AA86" s="259"/>
      <c r="AB86" s="259"/>
      <c r="AC86" s="259"/>
      <c r="AD86" s="259"/>
    </row>
    <row r="87" spans="1:30" hidden="1" x14ac:dyDescent="0.25">
      <c r="A87" s="262"/>
      <c r="B87" s="108"/>
      <c r="C87" s="108"/>
      <c r="D87" s="204">
        <f>+D64+D66+D68+D70+D72+D74+D76+D78+D80+D82</f>
        <v>0</v>
      </c>
      <c r="E87" s="204">
        <f t="shared" ref="E87:O87" si="18">+E64+E66+E68+E70+E72+E74+E76+E78+E80+E82</f>
        <v>2.3199999999999998E-2</v>
      </c>
      <c r="F87" s="204">
        <f t="shared" si="18"/>
        <v>1.5999999999999997E-2</v>
      </c>
      <c r="G87" s="204">
        <f t="shared" si="18"/>
        <v>2.4999999999999998E-2</v>
      </c>
      <c r="H87" s="204">
        <f t="shared" si="18"/>
        <v>2.06E-2</v>
      </c>
      <c r="I87" s="204">
        <f t="shared" si="18"/>
        <v>2.0399999999999998E-2</v>
      </c>
      <c r="J87" s="204">
        <f t="shared" si="18"/>
        <v>1.9400000000000001E-2</v>
      </c>
      <c r="K87" s="204">
        <f t="shared" si="18"/>
        <v>1.7399999999999999E-2</v>
      </c>
      <c r="L87" s="204">
        <f t="shared" si="18"/>
        <v>1.6400000000000001E-2</v>
      </c>
      <c r="M87" s="204">
        <f t="shared" si="18"/>
        <v>2.0400000000000001E-2</v>
      </c>
      <c r="N87" s="204">
        <f t="shared" si="18"/>
        <v>1.46E-2</v>
      </c>
      <c r="O87" s="204">
        <f t="shared" si="18"/>
        <v>6.6000000000000008E-3</v>
      </c>
      <c r="P87" s="204">
        <f>SUM(D87:O87)</f>
        <v>0.19999999999999998</v>
      </c>
      <c r="Q87" s="262"/>
      <c r="R87" s="262"/>
      <c r="S87" s="259"/>
      <c r="T87" s="259"/>
      <c r="U87" s="259"/>
      <c r="V87" s="259"/>
      <c r="W87" s="259"/>
      <c r="X87" s="259"/>
      <c r="Y87" s="259"/>
      <c r="Z87" s="259"/>
      <c r="AA87" s="259"/>
      <c r="AB87" s="259"/>
      <c r="AC87" s="259"/>
      <c r="AD87" s="259"/>
    </row>
    <row r="88" spans="1:30" hidden="1" x14ac:dyDescent="0.25">
      <c r="A88" s="262"/>
      <c r="B88" s="108"/>
      <c r="C88" s="203" t="s">
        <v>61</v>
      </c>
      <c r="D88" s="202">
        <f t="shared" ref="D88:O88" si="19">D87*$W$17/$B$34</f>
        <v>0</v>
      </c>
      <c r="E88" s="202">
        <f t="shared" si="19"/>
        <v>0.10439999999999999</v>
      </c>
      <c r="F88" s="202">
        <f t="shared" si="19"/>
        <v>7.1999999999999981E-2</v>
      </c>
      <c r="G88" s="202">
        <f t="shared" si="19"/>
        <v>0.11249999999999999</v>
      </c>
      <c r="H88" s="202">
        <f t="shared" si="19"/>
        <v>9.2700000000000005E-2</v>
      </c>
      <c r="I88" s="202">
        <f t="shared" si="19"/>
        <v>9.1799999999999979E-2</v>
      </c>
      <c r="J88" s="202">
        <f t="shared" si="19"/>
        <v>8.7299999999999989E-2</v>
      </c>
      <c r="K88" s="202">
        <f t="shared" si="19"/>
        <v>7.8299999999999995E-2</v>
      </c>
      <c r="L88" s="202">
        <f t="shared" si="19"/>
        <v>7.3800000000000004E-2</v>
      </c>
      <c r="M88" s="202">
        <f t="shared" si="19"/>
        <v>9.1800000000000007E-2</v>
      </c>
      <c r="N88" s="202">
        <f t="shared" si="19"/>
        <v>6.5699999999999995E-2</v>
      </c>
      <c r="O88" s="202">
        <f t="shared" si="19"/>
        <v>2.9700000000000004E-2</v>
      </c>
      <c r="P88" s="201">
        <f>SUM(D88:O88)</f>
        <v>0.89999999999999991</v>
      </c>
      <c r="Q88" s="262"/>
      <c r="R88" s="262"/>
      <c r="S88" s="259"/>
      <c r="T88" s="259"/>
      <c r="U88" s="259"/>
      <c r="V88" s="259"/>
      <c r="W88" s="259"/>
      <c r="X88" s="259"/>
      <c r="Y88" s="259"/>
      <c r="Z88" s="259"/>
      <c r="AA88" s="259"/>
      <c r="AB88" s="259"/>
      <c r="AC88" s="259"/>
      <c r="AD88" s="259"/>
    </row>
    <row r="89" spans="1:30" hidden="1" x14ac:dyDescent="0.25">
      <c r="A89" s="259"/>
      <c r="Q89" s="259"/>
      <c r="R89" s="259"/>
      <c r="S89" s="259"/>
      <c r="T89" s="259"/>
      <c r="U89" s="259"/>
      <c r="V89" s="259"/>
      <c r="W89" s="259"/>
      <c r="X89" s="259"/>
      <c r="Y89" s="259"/>
      <c r="Z89" s="259"/>
      <c r="AA89" s="259"/>
      <c r="AB89" s="259"/>
      <c r="AC89" s="259"/>
      <c r="AD89" s="259"/>
    </row>
    <row r="90" spans="1:30" hidden="1" x14ac:dyDescent="0.25">
      <c r="A90" s="259"/>
      <c r="Q90" s="259"/>
      <c r="R90" s="259"/>
      <c r="S90" s="259"/>
      <c r="T90" s="259"/>
      <c r="U90" s="259"/>
      <c r="V90" s="259"/>
      <c r="W90" s="259"/>
      <c r="X90" s="259"/>
      <c r="Y90" s="259"/>
      <c r="Z90" s="259"/>
      <c r="AA90" s="259"/>
      <c r="AB90" s="259"/>
      <c r="AC90" s="259"/>
      <c r="AD90" s="259"/>
    </row>
    <row r="91" spans="1:30" hidden="1" x14ac:dyDescent="0.25">
      <c r="A91" s="259"/>
      <c r="Q91" s="259"/>
      <c r="R91" s="259"/>
      <c r="S91" s="259"/>
      <c r="T91" s="259"/>
      <c r="U91" s="259"/>
      <c r="V91" s="259"/>
      <c r="W91" s="259"/>
      <c r="X91" s="259"/>
      <c r="Y91" s="259"/>
      <c r="Z91" s="259"/>
      <c r="AA91" s="259"/>
      <c r="AB91" s="259"/>
      <c r="AC91" s="259"/>
      <c r="AD91" s="259"/>
    </row>
    <row r="92" spans="1:30" hidden="1" x14ac:dyDescent="0.25">
      <c r="A92" s="259"/>
      <c r="Q92" s="259"/>
      <c r="R92" s="259"/>
      <c r="S92" s="259"/>
      <c r="T92" s="259"/>
      <c r="U92" s="259"/>
      <c r="V92" s="259"/>
      <c r="W92" s="259"/>
      <c r="X92" s="259"/>
      <c r="Y92" s="259"/>
      <c r="Z92" s="259"/>
      <c r="AA92" s="259"/>
      <c r="AB92" s="259"/>
      <c r="AC92" s="259"/>
      <c r="AD92" s="259"/>
    </row>
    <row r="93" spans="1:30" hidden="1" x14ac:dyDescent="0.25">
      <c r="A93" s="259"/>
      <c r="Q93" s="259"/>
      <c r="R93" s="259"/>
      <c r="S93" s="259"/>
      <c r="T93" s="259"/>
      <c r="U93" s="259"/>
      <c r="V93" s="259"/>
      <c r="W93" s="259"/>
      <c r="X93" s="259"/>
      <c r="Y93" s="259"/>
      <c r="Z93" s="259"/>
      <c r="AA93" s="259"/>
      <c r="AB93" s="259"/>
      <c r="AC93" s="259"/>
      <c r="AD93" s="259"/>
    </row>
    <row r="94" spans="1:30" hidden="1" x14ac:dyDescent="0.25">
      <c r="A94" s="259"/>
      <c r="Q94" s="259"/>
      <c r="R94" s="259"/>
      <c r="S94" s="259"/>
      <c r="T94" s="259"/>
      <c r="U94" s="259"/>
      <c r="V94" s="259"/>
      <c r="W94" s="259"/>
      <c r="X94" s="259"/>
      <c r="Y94" s="259"/>
      <c r="Z94" s="259"/>
      <c r="AA94" s="259"/>
      <c r="AB94" s="259"/>
      <c r="AC94" s="259"/>
      <c r="AD94" s="259"/>
    </row>
    <row r="95" spans="1:30" hidden="1" x14ac:dyDescent="0.25">
      <c r="A95" s="259"/>
      <c r="Q95" s="259"/>
      <c r="R95" s="259"/>
      <c r="S95" s="259"/>
      <c r="T95" s="259"/>
      <c r="U95" s="259"/>
      <c r="V95" s="259"/>
      <c r="W95" s="259"/>
      <c r="X95" s="259"/>
      <c r="Y95" s="259"/>
      <c r="Z95" s="259"/>
      <c r="AA95" s="259"/>
      <c r="AB95" s="259"/>
      <c r="AC95" s="259"/>
      <c r="AD95" s="259"/>
    </row>
    <row r="96" spans="1:30" x14ac:dyDescent="0.25">
      <c r="A96" s="259"/>
      <c r="Q96" s="259"/>
      <c r="R96" s="259"/>
      <c r="S96" s="259"/>
      <c r="T96" s="259"/>
      <c r="U96" s="259"/>
      <c r="V96" s="259"/>
      <c r="W96" s="259"/>
      <c r="X96" s="259"/>
      <c r="Y96" s="259"/>
      <c r="Z96" s="259"/>
      <c r="AA96" s="259"/>
      <c r="AB96" s="259"/>
      <c r="AC96" s="259"/>
      <c r="AD96" s="259"/>
    </row>
    <row r="97" spans="1:30" x14ac:dyDescent="0.25">
      <c r="A97" s="259"/>
      <c r="Q97" s="259"/>
      <c r="R97" s="259"/>
      <c r="S97" s="259"/>
      <c r="T97" s="259"/>
      <c r="U97" s="259"/>
      <c r="V97" s="259"/>
      <c r="W97" s="259"/>
      <c r="X97" s="259"/>
      <c r="Y97" s="259"/>
      <c r="Z97" s="259"/>
      <c r="AA97" s="259"/>
      <c r="AB97" s="259"/>
      <c r="AC97" s="259"/>
      <c r="AD97" s="259"/>
    </row>
    <row r="98" spans="1:30" x14ac:dyDescent="0.25">
      <c r="A98" s="259"/>
      <c r="Q98" s="259"/>
      <c r="R98" s="259"/>
      <c r="S98" s="259"/>
      <c r="T98" s="259"/>
      <c r="U98" s="259"/>
      <c r="V98" s="259"/>
      <c r="W98" s="259"/>
      <c r="X98" s="259"/>
      <c r="Y98" s="259"/>
      <c r="Z98" s="259"/>
      <c r="AA98" s="259"/>
      <c r="AB98" s="259"/>
      <c r="AC98" s="259"/>
      <c r="AD98" s="259"/>
    </row>
    <row r="99" spans="1:30" x14ac:dyDescent="0.25">
      <c r="A99" s="259"/>
      <c r="Q99" s="259"/>
      <c r="R99" s="259"/>
      <c r="S99" s="259"/>
      <c r="T99" s="259"/>
      <c r="U99" s="259"/>
      <c r="V99" s="259"/>
      <c r="W99" s="259"/>
      <c r="X99" s="259"/>
      <c r="Y99" s="259"/>
      <c r="Z99" s="259"/>
      <c r="AA99" s="259"/>
      <c r="AB99" s="259"/>
      <c r="AC99" s="259"/>
      <c r="AD99" s="259"/>
    </row>
    <row r="100" spans="1:30" x14ac:dyDescent="0.25">
      <c r="A100" s="259"/>
      <c r="Q100" s="259"/>
      <c r="R100" s="259"/>
      <c r="S100" s="259"/>
      <c r="T100" s="259"/>
      <c r="U100" s="259"/>
      <c r="V100" s="259"/>
      <c r="W100" s="259"/>
      <c r="X100" s="259"/>
      <c r="Y100" s="259"/>
      <c r="Z100" s="259"/>
      <c r="AA100" s="259"/>
      <c r="AB100" s="259"/>
      <c r="AC100" s="259"/>
      <c r="AD100" s="259"/>
    </row>
    <row r="101" spans="1:30" x14ac:dyDescent="0.25">
      <c r="A101" s="259"/>
      <c r="Q101" s="259"/>
      <c r="R101" s="259"/>
      <c r="S101" s="259"/>
      <c r="T101" s="259"/>
      <c r="U101" s="259"/>
      <c r="V101" s="259"/>
      <c r="W101" s="259"/>
      <c r="X101" s="259"/>
      <c r="Y101" s="259"/>
      <c r="Z101" s="259"/>
      <c r="AA101" s="259"/>
      <c r="AB101" s="259"/>
      <c r="AC101" s="259"/>
      <c r="AD101" s="259"/>
    </row>
    <row r="102" spans="1:30" x14ac:dyDescent="0.25">
      <c r="Q102" s="259"/>
      <c r="R102" s="259"/>
      <c r="S102" s="259"/>
      <c r="T102" s="259"/>
      <c r="U102" s="259"/>
      <c r="V102" s="259"/>
      <c r="W102" s="259"/>
      <c r="X102" s="259"/>
      <c r="Y102" s="259"/>
      <c r="Z102" s="259"/>
      <c r="AA102" s="259"/>
      <c r="AB102" s="259"/>
      <c r="AC102" s="259"/>
      <c r="AD102" s="259"/>
    </row>
    <row r="103" spans="1:30" x14ac:dyDescent="0.25">
      <c r="Q103" s="259"/>
      <c r="R103" s="259"/>
      <c r="S103" s="259"/>
      <c r="T103" s="259"/>
      <c r="U103" s="259"/>
      <c r="V103" s="259"/>
      <c r="W103" s="259"/>
      <c r="X103" s="259"/>
      <c r="Y103" s="259"/>
      <c r="Z103" s="259"/>
      <c r="AA103" s="259"/>
      <c r="AB103" s="259"/>
      <c r="AC103" s="259"/>
      <c r="AD103" s="259"/>
    </row>
    <row r="104" spans="1:30" x14ac:dyDescent="0.25">
      <c r="Q104" s="259"/>
      <c r="R104" s="259"/>
      <c r="S104" s="259"/>
      <c r="T104" s="259"/>
      <c r="U104" s="259"/>
      <c r="V104" s="259"/>
      <c r="W104" s="259"/>
      <c r="X104" s="259"/>
      <c r="Y104" s="259"/>
      <c r="Z104" s="259"/>
      <c r="AA104" s="259"/>
      <c r="AB104" s="259"/>
      <c r="AC104" s="259"/>
      <c r="AD104" s="259"/>
    </row>
    <row r="105" spans="1:30" x14ac:dyDescent="0.25">
      <c r="Q105" s="259"/>
      <c r="R105" s="259"/>
      <c r="S105" s="259"/>
      <c r="T105" s="259"/>
      <c r="U105" s="259"/>
      <c r="V105" s="259"/>
      <c r="W105" s="259"/>
      <c r="X105" s="259"/>
      <c r="Y105" s="259"/>
      <c r="Z105" s="259"/>
      <c r="AA105" s="259"/>
      <c r="AB105" s="259"/>
      <c r="AC105" s="259"/>
      <c r="AD105" s="259"/>
    </row>
    <row r="106" spans="1:30" x14ac:dyDescent="0.25">
      <c r="Q106" s="259"/>
      <c r="R106" s="259"/>
      <c r="S106" s="259"/>
      <c r="T106" s="259"/>
      <c r="U106" s="259"/>
      <c r="V106" s="259"/>
      <c r="W106" s="259"/>
      <c r="X106" s="259"/>
      <c r="Y106" s="259"/>
      <c r="Z106" s="259"/>
      <c r="AA106" s="259"/>
      <c r="AB106" s="259"/>
      <c r="AC106" s="259"/>
      <c r="AD106" s="259"/>
    </row>
    <row r="107" spans="1:30" x14ac:dyDescent="0.25">
      <c r="Q107" s="259"/>
      <c r="R107" s="259"/>
      <c r="S107" s="259"/>
      <c r="T107" s="259"/>
      <c r="U107" s="259"/>
      <c r="V107" s="259"/>
      <c r="W107" s="259"/>
      <c r="X107" s="259"/>
      <c r="Y107" s="259"/>
      <c r="Z107" s="259"/>
      <c r="AA107" s="259"/>
      <c r="AB107" s="259"/>
      <c r="AC107" s="259"/>
      <c r="AD107" s="259"/>
    </row>
    <row r="108" spans="1:30" x14ac:dyDescent="0.25">
      <c r="Q108" s="259"/>
      <c r="R108" s="259"/>
      <c r="S108" s="259"/>
      <c r="T108" s="259"/>
      <c r="U108" s="259"/>
      <c r="V108" s="259"/>
      <c r="W108" s="259"/>
      <c r="X108" s="259"/>
      <c r="Y108" s="259"/>
      <c r="Z108" s="259"/>
      <c r="AA108" s="259"/>
      <c r="AB108" s="259"/>
      <c r="AC108" s="259"/>
      <c r="AD108" s="259"/>
    </row>
    <row r="109" spans="1:30" x14ac:dyDescent="0.25">
      <c r="Q109" s="259"/>
      <c r="R109" s="259"/>
      <c r="S109" s="259"/>
      <c r="T109" s="259"/>
      <c r="U109" s="259"/>
      <c r="V109" s="259"/>
      <c r="W109" s="259"/>
      <c r="X109" s="259"/>
      <c r="Y109" s="259"/>
      <c r="Z109" s="259"/>
      <c r="AA109" s="259"/>
      <c r="AB109" s="259"/>
      <c r="AC109" s="259"/>
      <c r="AD109" s="259"/>
    </row>
    <row r="110" spans="1:30" x14ac:dyDescent="0.25">
      <c r="Q110" s="259"/>
      <c r="R110" s="259"/>
      <c r="S110" s="259"/>
      <c r="T110" s="259"/>
      <c r="U110" s="259"/>
      <c r="V110" s="259"/>
      <c r="W110" s="259"/>
      <c r="X110" s="259"/>
      <c r="Y110" s="259"/>
      <c r="Z110" s="259"/>
      <c r="AA110" s="259"/>
      <c r="AB110" s="259"/>
      <c r="AC110" s="259"/>
      <c r="AD110" s="259"/>
    </row>
    <row r="111" spans="1:30" x14ac:dyDescent="0.25">
      <c r="Q111" s="259"/>
      <c r="R111" s="259"/>
      <c r="S111" s="259"/>
      <c r="T111" s="259"/>
      <c r="U111" s="259"/>
      <c r="V111" s="259"/>
      <c r="W111" s="259"/>
      <c r="X111" s="259"/>
      <c r="Y111" s="259"/>
      <c r="Z111" s="259"/>
      <c r="AA111" s="259"/>
      <c r="AB111" s="259"/>
      <c r="AC111" s="259"/>
      <c r="AD111" s="259"/>
    </row>
    <row r="112" spans="1:30" x14ac:dyDescent="0.25">
      <c r="Q112" s="259"/>
      <c r="R112" s="259"/>
      <c r="S112" s="259"/>
      <c r="T112" s="259"/>
      <c r="U112" s="259"/>
      <c r="V112" s="259"/>
      <c r="W112" s="259"/>
      <c r="X112" s="259"/>
      <c r="Y112" s="259"/>
      <c r="Z112" s="259"/>
      <c r="AA112" s="259"/>
      <c r="AB112" s="259"/>
      <c r="AC112" s="259"/>
      <c r="AD112" s="259"/>
    </row>
    <row r="113" spans="17:30" x14ac:dyDescent="0.25">
      <c r="Q113" s="259"/>
      <c r="R113" s="259"/>
      <c r="S113" s="259"/>
      <c r="T113" s="259"/>
      <c r="U113" s="259"/>
      <c r="V113" s="259"/>
      <c r="W113" s="259"/>
      <c r="X113" s="259"/>
      <c r="Y113" s="259"/>
      <c r="Z113" s="259"/>
      <c r="AA113" s="259"/>
      <c r="AB113" s="259"/>
      <c r="AC113" s="259"/>
      <c r="AD113" s="259"/>
    </row>
    <row r="114" spans="17:30" x14ac:dyDescent="0.25">
      <c r="Q114" s="259"/>
      <c r="R114" s="259"/>
      <c r="S114" s="259"/>
      <c r="T114" s="259"/>
      <c r="U114" s="259"/>
      <c r="V114" s="259"/>
      <c r="W114" s="259"/>
      <c r="X114" s="259"/>
      <c r="Y114" s="259"/>
      <c r="Z114" s="259"/>
      <c r="AA114" s="259"/>
      <c r="AB114" s="259"/>
      <c r="AC114" s="259"/>
      <c r="AD114" s="259"/>
    </row>
    <row r="115" spans="17:30" x14ac:dyDescent="0.25">
      <c r="Q115" s="259"/>
      <c r="R115" s="259"/>
      <c r="S115" s="259"/>
      <c r="T115" s="259"/>
      <c r="U115" s="259"/>
      <c r="V115" s="259"/>
      <c r="W115" s="259"/>
      <c r="X115" s="259"/>
      <c r="Y115" s="259"/>
      <c r="Z115" s="259"/>
      <c r="AA115" s="259"/>
      <c r="AB115" s="259"/>
      <c r="AC115" s="259"/>
      <c r="AD115" s="259"/>
    </row>
    <row r="116" spans="17:30" x14ac:dyDescent="0.25">
      <c r="Q116" s="259"/>
      <c r="R116" s="259"/>
      <c r="S116" s="259"/>
      <c r="T116" s="259"/>
      <c r="U116" s="259"/>
      <c r="V116" s="259"/>
      <c r="W116" s="259"/>
      <c r="X116" s="259"/>
      <c r="Y116" s="259"/>
      <c r="Z116" s="259"/>
      <c r="AA116" s="259"/>
      <c r="AB116" s="259"/>
      <c r="AC116" s="259"/>
      <c r="AD116" s="259"/>
    </row>
    <row r="117" spans="17:30" x14ac:dyDescent="0.25">
      <c r="Q117" s="259"/>
      <c r="R117" s="259"/>
      <c r="S117" s="259"/>
      <c r="T117" s="259"/>
      <c r="U117" s="259"/>
      <c r="V117" s="259"/>
      <c r="W117" s="259"/>
      <c r="X117" s="259"/>
      <c r="Y117" s="259"/>
      <c r="Z117" s="259"/>
      <c r="AA117" s="259"/>
      <c r="AB117" s="259"/>
      <c r="AC117" s="259"/>
      <c r="AD117" s="259"/>
    </row>
    <row r="118" spans="17:30" x14ac:dyDescent="0.25">
      <c r="Q118" s="259"/>
      <c r="R118" s="259"/>
      <c r="S118" s="259"/>
      <c r="T118" s="259"/>
      <c r="U118" s="259"/>
      <c r="V118" s="259"/>
      <c r="W118" s="259"/>
      <c r="X118" s="259"/>
      <c r="Y118" s="259"/>
      <c r="Z118" s="259"/>
      <c r="AA118" s="259"/>
      <c r="AB118" s="259"/>
      <c r="AC118" s="259"/>
      <c r="AD118" s="259"/>
    </row>
    <row r="119" spans="17:30" x14ac:dyDescent="0.25">
      <c r="Q119" s="259"/>
      <c r="R119" s="259"/>
      <c r="S119" s="259"/>
      <c r="T119" s="259"/>
      <c r="U119" s="259"/>
      <c r="V119" s="259"/>
      <c r="W119" s="259"/>
      <c r="X119" s="259"/>
      <c r="Y119" s="259"/>
      <c r="Z119" s="259"/>
      <c r="AA119" s="259"/>
      <c r="AB119" s="259"/>
      <c r="AC119" s="259"/>
      <c r="AD119" s="259"/>
    </row>
    <row r="120" spans="17:30" x14ac:dyDescent="0.25">
      <c r="Q120" s="259"/>
      <c r="R120" s="259"/>
      <c r="S120" s="259"/>
      <c r="T120" s="259"/>
      <c r="U120" s="259"/>
      <c r="V120" s="259"/>
      <c r="W120" s="259"/>
      <c r="X120" s="259"/>
      <c r="Y120" s="259"/>
      <c r="Z120" s="259"/>
      <c r="AA120" s="259"/>
      <c r="AB120" s="259"/>
      <c r="AC120" s="259"/>
      <c r="AD120" s="259"/>
    </row>
    <row r="121" spans="17:30" x14ac:dyDescent="0.25">
      <c r="Q121" s="259"/>
      <c r="R121" s="259"/>
      <c r="S121" s="259"/>
      <c r="T121" s="259"/>
      <c r="U121" s="259"/>
      <c r="V121" s="259"/>
      <c r="W121" s="259"/>
      <c r="X121" s="259"/>
      <c r="Y121" s="259"/>
      <c r="Z121" s="259"/>
      <c r="AA121" s="259"/>
      <c r="AB121" s="259"/>
      <c r="AC121" s="259"/>
      <c r="AD121" s="259"/>
    </row>
    <row r="122" spans="17:30" x14ac:dyDescent="0.25">
      <c r="Q122" s="259"/>
      <c r="R122" s="259"/>
      <c r="S122" s="259"/>
      <c r="T122" s="259"/>
      <c r="U122" s="259"/>
      <c r="V122" s="259"/>
      <c r="W122" s="259"/>
      <c r="X122" s="259"/>
      <c r="Y122" s="259"/>
      <c r="Z122" s="259"/>
      <c r="AA122" s="259"/>
      <c r="AB122" s="259"/>
      <c r="AC122" s="259"/>
      <c r="AD122" s="259"/>
    </row>
    <row r="123" spans="17:30" x14ac:dyDescent="0.25">
      <c r="Q123" s="259"/>
      <c r="R123" s="259"/>
      <c r="S123" s="259"/>
      <c r="T123" s="259"/>
      <c r="U123" s="259"/>
      <c r="V123" s="259"/>
      <c r="W123" s="259"/>
      <c r="X123" s="259"/>
      <c r="Y123" s="259"/>
      <c r="Z123" s="259"/>
      <c r="AA123" s="259"/>
      <c r="AB123" s="259"/>
      <c r="AC123" s="259"/>
      <c r="AD123" s="259"/>
    </row>
    <row r="124" spans="17:30" x14ac:dyDescent="0.25">
      <c r="Q124" s="259"/>
      <c r="R124" s="259"/>
      <c r="S124" s="259"/>
      <c r="T124" s="259"/>
      <c r="U124" s="259"/>
      <c r="V124" s="259"/>
      <c r="W124" s="259"/>
      <c r="X124" s="259"/>
      <c r="Y124" s="259"/>
      <c r="Z124" s="259"/>
      <c r="AA124" s="259"/>
      <c r="AB124" s="259"/>
      <c r="AC124" s="259"/>
      <c r="AD124" s="259"/>
    </row>
    <row r="125" spans="17:30" x14ac:dyDescent="0.25">
      <c r="Q125" s="259"/>
      <c r="R125" s="259"/>
      <c r="S125" s="259"/>
      <c r="T125" s="259"/>
      <c r="U125" s="259"/>
      <c r="V125" s="259"/>
      <c r="W125" s="259"/>
      <c r="X125" s="259"/>
      <c r="Y125" s="259"/>
      <c r="Z125" s="259"/>
      <c r="AA125" s="259"/>
      <c r="AB125" s="259"/>
      <c r="AC125" s="259"/>
      <c r="AD125" s="259"/>
    </row>
    <row r="126" spans="17:30" x14ac:dyDescent="0.25">
      <c r="Q126" s="259"/>
      <c r="R126" s="259"/>
      <c r="S126" s="259"/>
      <c r="T126" s="259"/>
      <c r="U126" s="259"/>
      <c r="V126" s="259"/>
      <c r="W126" s="259"/>
      <c r="X126" s="259"/>
      <c r="Y126" s="259"/>
      <c r="Z126" s="259"/>
      <c r="AA126" s="259"/>
      <c r="AB126" s="259"/>
      <c r="AC126" s="259"/>
      <c r="AD126" s="259"/>
    </row>
    <row r="127" spans="17:30" x14ac:dyDescent="0.25">
      <c r="Q127" s="259"/>
      <c r="R127" s="259"/>
      <c r="S127" s="259"/>
      <c r="T127" s="259"/>
      <c r="U127" s="259"/>
      <c r="V127" s="259"/>
      <c r="W127" s="259"/>
      <c r="X127" s="259"/>
      <c r="Y127" s="259"/>
      <c r="Z127" s="259"/>
      <c r="AA127" s="259"/>
      <c r="AB127" s="259"/>
      <c r="AC127" s="259"/>
      <c r="AD127" s="259"/>
    </row>
    <row r="128" spans="17:30" x14ac:dyDescent="0.25">
      <c r="Q128" s="259"/>
      <c r="R128" s="259"/>
      <c r="S128" s="259"/>
      <c r="T128" s="259"/>
      <c r="U128" s="259"/>
      <c r="V128" s="259"/>
      <c r="W128" s="259"/>
      <c r="X128" s="259"/>
      <c r="Y128" s="259"/>
      <c r="Z128" s="259"/>
      <c r="AA128" s="259"/>
      <c r="AB128" s="259"/>
      <c r="AC128" s="259"/>
      <c r="AD128" s="259"/>
    </row>
    <row r="129" spans="17:30" x14ac:dyDescent="0.25">
      <c r="Q129" s="259"/>
      <c r="R129" s="259"/>
      <c r="S129" s="259"/>
      <c r="T129" s="259"/>
      <c r="U129" s="259"/>
      <c r="V129" s="259"/>
      <c r="W129" s="259"/>
      <c r="X129" s="259"/>
      <c r="Y129" s="259"/>
      <c r="Z129" s="259"/>
      <c r="AA129" s="259"/>
      <c r="AB129" s="259"/>
      <c r="AC129" s="259"/>
      <c r="AD129" s="259"/>
    </row>
    <row r="130" spans="17:30" x14ac:dyDescent="0.25">
      <c r="Q130" s="259"/>
      <c r="R130" s="259"/>
      <c r="S130" s="259"/>
      <c r="T130" s="259"/>
      <c r="U130" s="259"/>
      <c r="V130" s="259"/>
      <c r="W130" s="259"/>
      <c r="X130" s="259"/>
      <c r="Y130" s="259"/>
      <c r="Z130" s="259"/>
      <c r="AA130" s="259"/>
      <c r="AB130" s="259"/>
      <c r="AC130" s="259"/>
      <c r="AD130" s="259"/>
    </row>
    <row r="131" spans="17:30" x14ac:dyDescent="0.25">
      <c r="Q131" s="259"/>
      <c r="R131" s="259"/>
      <c r="S131" s="259"/>
      <c r="T131" s="259"/>
      <c r="U131" s="259"/>
      <c r="V131" s="259"/>
      <c r="W131" s="259"/>
      <c r="X131" s="259"/>
      <c r="Y131" s="259"/>
      <c r="Z131" s="259"/>
      <c r="AA131" s="259"/>
      <c r="AB131" s="259"/>
      <c r="AC131" s="259"/>
      <c r="AD131" s="259"/>
    </row>
    <row r="132" spans="17:30" x14ac:dyDescent="0.25">
      <c r="Q132" s="259"/>
      <c r="R132" s="259"/>
      <c r="S132" s="259"/>
      <c r="T132" s="259"/>
      <c r="U132" s="259"/>
      <c r="V132" s="259"/>
      <c r="W132" s="259"/>
      <c r="X132" s="259"/>
      <c r="Y132" s="259"/>
      <c r="Z132" s="259"/>
      <c r="AA132" s="259"/>
      <c r="AB132" s="259"/>
      <c r="AC132" s="259"/>
      <c r="AD132" s="259"/>
    </row>
    <row r="133" spans="17:30" x14ac:dyDescent="0.25">
      <c r="Q133" s="259"/>
      <c r="R133" s="259"/>
      <c r="S133" s="259"/>
      <c r="T133" s="259"/>
      <c r="U133" s="259"/>
      <c r="V133" s="259"/>
      <c r="W133" s="259"/>
      <c r="X133" s="259"/>
      <c r="Y133" s="259"/>
      <c r="Z133" s="259"/>
      <c r="AA133" s="259"/>
      <c r="AB133" s="259"/>
      <c r="AC133" s="259"/>
      <c r="AD133" s="259"/>
    </row>
    <row r="134" spans="17:30" x14ac:dyDescent="0.25">
      <c r="Q134" s="259"/>
      <c r="R134" s="259"/>
      <c r="S134" s="259"/>
      <c r="T134" s="259"/>
      <c r="U134" s="259"/>
      <c r="V134" s="259"/>
      <c r="W134" s="259"/>
      <c r="X134" s="259"/>
      <c r="Y134" s="259"/>
      <c r="Z134" s="259"/>
      <c r="AA134" s="259"/>
      <c r="AB134" s="259"/>
      <c r="AC134" s="259"/>
      <c r="AD134" s="259"/>
    </row>
    <row r="135" spans="17:30" x14ac:dyDescent="0.25">
      <c r="Q135" s="259"/>
      <c r="R135" s="259"/>
      <c r="S135" s="259"/>
      <c r="T135" s="259"/>
      <c r="U135" s="259"/>
      <c r="V135" s="259"/>
      <c r="W135" s="259"/>
      <c r="X135" s="259"/>
      <c r="Y135" s="259"/>
      <c r="Z135" s="259"/>
      <c r="AA135" s="259"/>
      <c r="AB135" s="259"/>
      <c r="AC135" s="259"/>
      <c r="AD135" s="259"/>
    </row>
    <row r="136" spans="17:30" x14ac:dyDescent="0.25">
      <c r="Q136" s="259"/>
      <c r="R136" s="259"/>
      <c r="S136" s="259"/>
      <c r="T136" s="259"/>
      <c r="U136" s="259"/>
      <c r="V136" s="259"/>
      <c r="W136" s="259"/>
      <c r="X136" s="259"/>
      <c r="Y136" s="259"/>
      <c r="Z136" s="259"/>
      <c r="AA136" s="259"/>
      <c r="AB136" s="259"/>
      <c r="AC136" s="259"/>
      <c r="AD136" s="259"/>
    </row>
    <row r="137" spans="17:30" x14ac:dyDescent="0.25">
      <c r="Q137" s="259"/>
      <c r="R137" s="259"/>
      <c r="S137" s="259"/>
      <c r="T137" s="259"/>
      <c r="U137" s="259"/>
      <c r="V137" s="259"/>
      <c r="W137" s="259"/>
      <c r="X137" s="259"/>
      <c r="Y137" s="259"/>
      <c r="Z137" s="259"/>
      <c r="AA137" s="259"/>
      <c r="AB137" s="259"/>
      <c r="AC137" s="259"/>
      <c r="AD137" s="259"/>
    </row>
    <row r="138" spans="17:30" x14ac:dyDescent="0.25">
      <c r="Q138" s="259"/>
      <c r="R138" s="259"/>
      <c r="S138" s="259"/>
      <c r="T138" s="259"/>
      <c r="U138" s="259"/>
      <c r="V138" s="259"/>
      <c r="W138" s="259"/>
      <c r="X138" s="259"/>
      <c r="Y138" s="259"/>
      <c r="Z138" s="259"/>
      <c r="AA138" s="259"/>
      <c r="AB138" s="259"/>
      <c r="AC138" s="259"/>
      <c r="AD138" s="259"/>
    </row>
    <row r="139" spans="17:30" x14ac:dyDescent="0.25">
      <c r="Q139" s="259"/>
      <c r="R139" s="259"/>
      <c r="S139" s="259"/>
      <c r="T139" s="259"/>
      <c r="U139" s="259"/>
      <c r="V139" s="259"/>
      <c r="W139" s="259"/>
      <c r="X139" s="259"/>
      <c r="Y139" s="259"/>
      <c r="Z139" s="259"/>
      <c r="AA139" s="259"/>
      <c r="AB139" s="259"/>
      <c r="AC139" s="259"/>
      <c r="AD139" s="259"/>
    </row>
    <row r="140" spans="17:30" x14ac:dyDescent="0.25">
      <c r="Q140" s="259"/>
      <c r="R140" s="259"/>
      <c r="S140" s="259"/>
      <c r="T140" s="259"/>
      <c r="U140" s="259"/>
      <c r="V140" s="259"/>
      <c r="W140" s="259"/>
      <c r="X140" s="259"/>
      <c r="Y140" s="259"/>
      <c r="Z140" s="259"/>
      <c r="AA140" s="259"/>
      <c r="AB140" s="259"/>
      <c r="AC140" s="259"/>
      <c r="AD140" s="259"/>
    </row>
    <row r="141" spans="17:30" x14ac:dyDescent="0.25">
      <c r="Q141" s="259"/>
      <c r="R141" s="259"/>
      <c r="S141" s="259"/>
      <c r="T141" s="259"/>
      <c r="U141" s="259"/>
      <c r="V141" s="259"/>
      <c r="W141" s="259"/>
      <c r="X141" s="259"/>
      <c r="Y141" s="259"/>
      <c r="Z141" s="259"/>
      <c r="AA141" s="259"/>
      <c r="AB141" s="259"/>
      <c r="AC141" s="259"/>
      <c r="AD141" s="259"/>
    </row>
    <row r="142" spans="17:30" x14ac:dyDescent="0.25">
      <c r="Q142" s="259"/>
      <c r="R142" s="259"/>
      <c r="S142" s="259"/>
      <c r="T142" s="259"/>
      <c r="U142" s="259"/>
      <c r="V142" s="259"/>
      <c r="W142" s="259"/>
      <c r="X142" s="259"/>
      <c r="Y142" s="259"/>
      <c r="Z142" s="259"/>
      <c r="AA142" s="259"/>
      <c r="AB142" s="259"/>
      <c r="AC142" s="259"/>
      <c r="AD142" s="259"/>
    </row>
    <row r="143" spans="17:30" x14ac:dyDescent="0.25">
      <c r="Q143" s="259"/>
      <c r="R143" s="259"/>
      <c r="S143" s="259"/>
      <c r="T143" s="259"/>
      <c r="U143" s="259"/>
      <c r="V143" s="259"/>
      <c r="W143" s="259"/>
      <c r="X143" s="259"/>
      <c r="Y143" s="259"/>
      <c r="Z143" s="259"/>
      <c r="AA143" s="259"/>
      <c r="AB143" s="259"/>
      <c r="AC143" s="259"/>
      <c r="AD143" s="259"/>
    </row>
    <row r="144" spans="17:30" x14ac:dyDescent="0.25">
      <c r="Q144" s="259"/>
      <c r="R144" s="259"/>
      <c r="S144" s="259"/>
      <c r="T144" s="259"/>
      <c r="U144" s="259"/>
      <c r="V144" s="259"/>
      <c r="W144" s="259"/>
      <c r="X144" s="259"/>
      <c r="Y144" s="259"/>
      <c r="Z144" s="259"/>
      <c r="AA144" s="259"/>
      <c r="AB144" s="259"/>
      <c r="AC144" s="259"/>
      <c r="AD144" s="259"/>
    </row>
    <row r="145" spans="17:30" x14ac:dyDescent="0.25">
      <c r="Q145" s="259"/>
      <c r="R145" s="259"/>
      <c r="S145" s="259"/>
      <c r="T145" s="259"/>
      <c r="U145" s="259"/>
      <c r="V145" s="259"/>
      <c r="W145" s="259"/>
      <c r="X145" s="259"/>
      <c r="Y145" s="259"/>
      <c r="Z145" s="259"/>
      <c r="AA145" s="259"/>
      <c r="AB145" s="259"/>
      <c r="AC145" s="259"/>
      <c r="AD145" s="259"/>
    </row>
    <row r="146" spans="17:30" x14ac:dyDescent="0.25">
      <c r="Q146" s="259"/>
      <c r="R146" s="259"/>
      <c r="S146" s="259"/>
      <c r="T146" s="259"/>
      <c r="U146" s="259"/>
      <c r="V146" s="259"/>
      <c r="W146" s="259"/>
      <c r="X146" s="259"/>
      <c r="Y146" s="259"/>
      <c r="Z146" s="259"/>
      <c r="AA146" s="259"/>
      <c r="AB146" s="259"/>
      <c r="AC146" s="259"/>
      <c r="AD146" s="259"/>
    </row>
    <row r="147" spans="17:30" x14ac:dyDescent="0.25">
      <c r="Q147" s="259"/>
      <c r="R147" s="259"/>
      <c r="S147" s="259"/>
      <c r="T147" s="259"/>
      <c r="U147" s="259"/>
      <c r="V147" s="259"/>
      <c r="W147" s="259"/>
      <c r="X147" s="259"/>
      <c r="Y147" s="259"/>
      <c r="Z147" s="259"/>
      <c r="AA147" s="259"/>
      <c r="AB147" s="259"/>
      <c r="AC147" s="259"/>
      <c r="AD147" s="259"/>
    </row>
    <row r="148" spans="17:30" x14ac:dyDescent="0.25">
      <c r="Q148" s="259"/>
      <c r="R148" s="259"/>
      <c r="S148" s="259"/>
      <c r="T148" s="259"/>
      <c r="U148" s="259"/>
      <c r="V148" s="259"/>
      <c r="W148" s="259"/>
      <c r="X148" s="259"/>
      <c r="Y148" s="259"/>
      <c r="Z148" s="259"/>
      <c r="AA148" s="259"/>
      <c r="AB148" s="259"/>
      <c r="AC148" s="259"/>
      <c r="AD148" s="259"/>
    </row>
    <row r="149" spans="17:30" x14ac:dyDescent="0.25">
      <c r="Q149" s="259"/>
      <c r="R149" s="259"/>
      <c r="S149" s="259"/>
      <c r="T149" s="259"/>
      <c r="U149" s="259"/>
      <c r="V149" s="259"/>
      <c r="W149" s="259"/>
      <c r="X149" s="259"/>
      <c r="Y149" s="259"/>
      <c r="Z149" s="259"/>
      <c r="AA149" s="259"/>
      <c r="AB149" s="259"/>
      <c r="AC149" s="259"/>
      <c r="AD149" s="259"/>
    </row>
    <row r="150" spans="17:30" x14ac:dyDescent="0.25">
      <c r="Q150" s="259"/>
      <c r="R150" s="259"/>
      <c r="S150" s="259"/>
      <c r="T150" s="259"/>
      <c r="U150" s="259"/>
      <c r="V150" s="259"/>
      <c r="W150" s="259"/>
      <c r="X150" s="259"/>
      <c r="Y150" s="259"/>
      <c r="Z150" s="259"/>
      <c r="AA150" s="259"/>
      <c r="AB150" s="259"/>
      <c r="AC150" s="259"/>
      <c r="AD150" s="259"/>
    </row>
    <row r="151" spans="17:30" x14ac:dyDescent="0.25">
      <c r="Q151" s="259"/>
      <c r="R151" s="259"/>
      <c r="S151" s="259"/>
      <c r="T151" s="259"/>
      <c r="U151" s="259"/>
      <c r="V151" s="259"/>
      <c r="W151" s="259"/>
      <c r="X151" s="259"/>
      <c r="Y151" s="259"/>
      <c r="Z151" s="259"/>
      <c r="AA151" s="259"/>
      <c r="AB151" s="259"/>
      <c r="AC151" s="259"/>
      <c r="AD151" s="259"/>
    </row>
    <row r="152" spans="17:30" x14ac:dyDescent="0.25">
      <c r="Q152" s="259"/>
      <c r="R152" s="259"/>
      <c r="S152" s="259"/>
      <c r="T152" s="259"/>
      <c r="U152" s="259"/>
      <c r="V152" s="259"/>
      <c r="W152" s="259"/>
      <c r="X152" s="259"/>
      <c r="Y152" s="259"/>
      <c r="Z152" s="259"/>
      <c r="AA152" s="259"/>
      <c r="AB152" s="259"/>
      <c r="AC152" s="259"/>
      <c r="AD152" s="259"/>
    </row>
    <row r="153" spans="17:30" x14ac:dyDescent="0.25">
      <c r="Q153" s="259"/>
      <c r="R153" s="259"/>
      <c r="S153" s="259"/>
      <c r="T153" s="259"/>
      <c r="U153" s="259"/>
      <c r="V153" s="259"/>
      <c r="W153" s="259"/>
      <c r="X153" s="259"/>
      <c r="Y153" s="259"/>
      <c r="Z153" s="259"/>
      <c r="AA153" s="259"/>
      <c r="AB153" s="259"/>
      <c r="AC153" s="259"/>
      <c r="AD153" s="259"/>
    </row>
    <row r="154" spans="17:30" x14ac:dyDescent="0.25">
      <c r="Q154" s="259"/>
      <c r="R154" s="259"/>
      <c r="S154" s="259"/>
      <c r="T154" s="259"/>
      <c r="U154" s="259"/>
      <c r="V154" s="259"/>
      <c r="W154" s="259"/>
      <c r="X154" s="259"/>
      <c r="Y154" s="259"/>
      <c r="Z154" s="259"/>
      <c r="AA154" s="259"/>
      <c r="AB154" s="259"/>
      <c r="AC154" s="259"/>
      <c r="AD154" s="259"/>
    </row>
    <row r="155" spans="17:30" x14ac:dyDescent="0.25">
      <c r="Q155" s="259"/>
      <c r="R155" s="259"/>
      <c r="S155" s="259"/>
      <c r="T155" s="259"/>
      <c r="U155" s="259"/>
      <c r="V155" s="259"/>
      <c r="W155" s="259"/>
      <c r="X155" s="259"/>
      <c r="Y155" s="259"/>
      <c r="Z155" s="259"/>
      <c r="AA155" s="259"/>
      <c r="AB155" s="259"/>
      <c r="AC155" s="259"/>
      <c r="AD155" s="259"/>
    </row>
    <row r="156" spans="17:30" x14ac:dyDescent="0.25">
      <c r="Q156" s="259"/>
      <c r="R156" s="259"/>
      <c r="S156" s="259"/>
      <c r="T156" s="259"/>
      <c r="U156" s="259"/>
      <c r="V156" s="259"/>
      <c r="W156" s="259"/>
      <c r="X156" s="259"/>
      <c r="Y156" s="259"/>
      <c r="Z156" s="259"/>
      <c r="AA156" s="259"/>
      <c r="AB156" s="259"/>
      <c r="AC156" s="259"/>
      <c r="AD156" s="259"/>
    </row>
    <row r="157" spans="17:30" x14ac:dyDescent="0.25">
      <c r="Q157" s="259"/>
      <c r="R157" s="259"/>
      <c r="S157" s="259"/>
      <c r="T157" s="259"/>
      <c r="U157" s="259"/>
      <c r="V157" s="259"/>
      <c r="W157" s="259"/>
      <c r="X157" s="259"/>
      <c r="Y157" s="259"/>
      <c r="Z157" s="259"/>
      <c r="AA157" s="259"/>
      <c r="AB157" s="259"/>
      <c r="AC157" s="259"/>
      <c r="AD157" s="259"/>
    </row>
    <row r="158" spans="17:30" x14ac:dyDescent="0.25">
      <c r="Q158" s="259"/>
      <c r="R158" s="259"/>
      <c r="S158" s="259"/>
      <c r="T158" s="259"/>
      <c r="U158" s="259"/>
      <c r="V158" s="259"/>
      <c r="W158" s="259"/>
      <c r="X158" s="259"/>
      <c r="Y158" s="259"/>
      <c r="Z158" s="259"/>
      <c r="AA158" s="259"/>
      <c r="AB158" s="259"/>
      <c r="AC158" s="259"/>
      <c r="AD158" s="259"/>
    </row>
    <row r="159" spans="17:30" x14ac:dyDescent="0.25">
      <c r="Q159" s="259"/>
      <c r="R159" s="259"/>
      <c r="S159" s="259"/>
      <c r="T159" s="259"/>
      <c r="U159" s="259"/>
      <c r="V159" s="259"/>
      <c r="W159" s="259"/>
      <c r="X159" s="259"/>
      <c r="Y159" s="259"/>
      <c r="Z159" s="259"/>
      <c r="AA159" s="259"/>
      <c r="AB159" s="259"/>
      <c r="AC159" s="259"/>
      <c r="AD159" s="259"/>
    </row>
    <row r="160" spans="17:30" x14ac:dyDescent="0.25">
      <c r="Q160" s="259"/>
      <c r="R160" s="259"/>
      <c r="S160" s="259"/>
      <c r="T160" s="259"/>
      <c r="U160" s="259"/>
      <c r="V160" s="259"/>
      <c r="W160" s="259"/>
      <c r="X160" s="259"/>
      <c r="Y160" s="259"/>
      <c r="Z160" s="259"/>
      <c r="AA160" s="259"/>
      <c r="AB160" s="259"/>
      <c r="AC160" s="259"/>
      <c r="AD160" s="259"/>
    </row>
    <row r="161" spans="17:30" x14ac:dyDescent="0.25">
      <c r="Q161" s="259"/>
      <c r="R161" s="259"/>
      <c r="S161" s="259"/>
      <c r="T161" s="259"/>
      <c r="U161" s="259"/>
      <c r="V161" s="259"/>
      <c r="W161" s="259"/>
      <c r="X161" s="259"/>
      <c r="Y161" s="259"/>
      <c r="Z161" s="259"/>
      <c r="AA161" s="259"/>
      <c r="AB161" s="259"/>
      <c r="AC161" s="259"/>
      <c r="AD161" s="259"/>
    </row>
    <row r="162" spans="17:30" x14ac:dyDescent="0.25">
      <c r="Q162" s="259"/>
      <c r="R162" s="259"/>
      <c r="S162" s="259"/>
      <c r="T162" s="259"/>
      <c r="U162" s="259"/>
      <c r="V162" s="259"/>
      <c r="W162" s="259"/>
      <c r="X162" s="259"/>
      <c r="Y162" s="259"/>
      <c r="Z162" s="259"/>
      <c r="AA162" s="259"/>
      <c r="AB162" s="259"/>
      <c r="AC162" s="259"/>
      <c r="AD162" s="259"/>
    </row>
    <row r="163" spans="17:30" x14ac:dyDescent="0.25">
      <c r="Q163" s="259"/>
      <c r="R163" s="259"/>
      <c r="S163" s="259"/>
      <c r="T163" s="259"/>
      <c r="U163" s="259"/>
      <c r="V163" s="259"/>
      <c r="W163" s="259"/>
      <c r="X163" s="259"/>
      <c r="Y163" s="259"/>
      <c r="Z163" s="259"/>
      <c r="AA163" s="259"/>
      <c r="AB163" s="259"/>
      <c r="AC163" s="259"/>
      <c r="AD163" s="259"/>
    </row>
    <row r="164" spans="17:30" x14ac:dyDescent="0.25">
      <c r="Q164" s="259"/>
      <c r="R164" s="259"/>
      <c r="S164" s="259"/>
      <c r="T164" s="259"/>
      <c r="U164" s="259"/>
      <c r="V164" s="259"/>
      <c r="W164" s="259"/>
      <c r="X164" s="259"/>
      <c r="Y164" s="259"/>
      <c r="Z164" s="259"/>
      <c r="AA164" s="259"/>
      <c r="AB164" s="259"/>
      <c r="AC164" s="259"/>
      <c r="AD164" s="259"/>
    </row>
    <row r="165" spans="17:30" x14ac:dyDescent="0.25">
      <c r="Q165" s="259"/>
      <c r="R165" s="259"/>
      <c r="S165" s="259"/>
      <c r="T165" s="259"/>
      <c r="U165" s="259"/>
      <c r="V165" s="259"/>
      <c r="W165" s="259"/>
      <c r="X165" s="259"/>
      <c r="Y165" s="259"/>
      <c r="Z165" s="259"/>
      <c r="AA165" s="259"/>
      <c r="AB165" s="259"/>
      <c r="AC165" s="259"/>
      <c r="AD165" s="259"/>
    </row>
    <row r="166" spans="17:30" x14ac:dyDescent="0.25">
      <c r="Q166" s="259"/>
      <c r="R166" s="259"/>
      <c r="S166" s="259"/>
      <c r="T166" s="259"/>
      <c r="U166" s="259"/>
      <c r="V166" s="259"/>
      <c r="W166" s="259"/>
      <c r="X166" s="259"/>
      <c r="Y166" s="259"/>
      <c r="Z166" s="259"/>
      <c r="AA166" s="259"/>
      <c r="AB166" s="259"/>
      <c r="AC166" s="259"/>
      <c r="AD166" s="259"/>
    </row>
    <row r="167" spans="17:30" x14ac:dyDescent="0.25">
      <c r="Q167" s="259"/>
      <c r="R167" s="259"/>
      <c r="S167" s="259"/>
      <c r="T167" s="259"/>
      <c r="U167" s="259"/>
      <c r="V167" s="259"/>
      <c r="W167" s="259"/>
      <c r="X167" s="259"/>
      <c r="Y167" s="259"/>
      <c r="Z167" s="259"/>
      <c r="AA167" s="259"/>
      <c r="AB167" s="259"/>
      <c r="AC167" s="259"/>
      <c r="AD167" s="259"/>
    </row>
    <row r="168" spans="17:30" x14ac:dyDescent="0.25">
      <c r="Q168" s="259"/>
      <c r="R168" s="259"/>
      <c r="S168" s="259"/>
      <c r="T168" s="259"/>
      <c r="U168" s="259"/>
      <c r="V168" s="259"/>
      <c r="W168" s="259"/>
      <c r="X168" s="259"/>
      <c r="Y168" s="259"/>
      <c r="Z168" s="259"/>
      <c r="AA168" s="259"/>
      <c r="AB168" s="259"/>
      <c r="AC168" s="259"/>
      <c r="AD168" s="259"/>
    </row>
    <row r="169" spans="17:30" x14ac:dyDescent="0.25">
      <c r="Q169" s="259"/>
      <c r="R169" s="259"/>
      <c r="S169" s="259"/>
      <c r="T169" s="259"/>
      <c r="U169" s="259"/>
      <c r="V169" s="259"/>
      <c r="W169" s="259"/>
      <c r="X169" s="259"/>
      <c r="Y169" s="259"/>
      <c r="Z169" s="259"/>
      <c r="AA169" s="259"/>
      <c r="AB169" s="259"/>
      <c r="AC169" s="259"/>
      <c r="AD169" s="259"/>
    </row>
    <row r="170" spans="17:30" x14ac:dyDescent="0.25">
      <c r="Q170" s="259"/>
      <c r="R170" s="259"/>
      <c r="S170" s="259"/>
      <c r="T170" s="259"/>
      <c r="U170" s="259"/>
      <c r="V170" s="259"/>
      <c r="W170" s="259"/>
      <c r="X170" s="259"/>
      <c r="Y170" s="259"/>
      <c r="Z170" s="259"/>
      <c r="AA170" s="259"/>
      <c r="AB170" s="259"/>
      <c r="AC170" s="259"/>
      <c r="AD170" s="259"/>
    </row>
    <row r="171" spans="17:30" x14ac:dyDescent="0.25">
      <c r="Q171" s="259"/>
      <c r="R171" s="259"/>
      <c r="S171" s="259"/>
      <c r="T171" s="259"/>
      <c r="U171" s="259"/>
      <c r="V171" s="259"/>
      <c r="W171" s="259"/>
      <c r="X171" s="259"/>
      <c r="Y171" s="259"/>
      <c r="Z171" s="259"/>
      <c r="AA171" s="259"/>
      <c r="AB171" s="259"/>
      <c r="AC171" s="259"/>
      <c r="AD171" s="259"/>
    </row>
    <row r="172" spans="17:30" x14ac:dyDescent="0.25">
      <c r="Q172" s="259"/>
      <c r="R172" s="259"/>
      <c r="S172" s="259"/>
      <c r="T172" s="259"/>
      <c r="U172" s="259"/>
      <c r="V172" s="259"/>
      <c r="W172" s="259"/>
      <c r="X172" s="259"/>
      <c r="Y172" s="259"/>
      <c r="Z172" s="259"/>
      <c r="AA172" s="259"/>
      <c r="AB172" s="259"/>
      <c r="AC172" s="259"/>
      <c r="AD172" s="259"/>
    </row>
    <row r="173" spans="17:30" x14ac:dyDescent="0.25">
      <c r="Q173" s="259"/>
      <c r="R173" s="259"/>
      <c r="S173" s="259"/>
      <c r="T173" s="259"/>
      <c r="U173" s="259"/>
      <c r="V173" s="259"/>
      <c r="W173" s="259"/>
      <c r="X173" s="259"/>
      <c r="Y173" s="259"/>
      <c r="Z173" s="259"/>
      <c r="AA173" s="259"/>
      <c r="AB173" s="259"/>
      <c r="AC173" s="259"/>
      <c r="AD173" s="259"/>
    </row>
    <row r="174" spans="17:30" x14ac:dyDescent="0.25">
      <c r="Q174" s="259"/>
      <c r="R174" s="259"/>
      <c r="S174" s="259"/>
      <c r="T174" s="259"/>
      <c r="U174" s="259"/>
      <c r="V174" s="259"/>
      <c r="W174" s="259"/>
      <c r="X174" s="259"/>
      <c r="Y174" s="259"/>
      <c r="Z174" s="259"/>
      <c r="AA174" s="259"/>
      <c r="AB174" s="259"/>
      <c r="AC174" s="259"/>
      <c r="AD174" s="259"/>
    </row>
    <row r="175" spans="17:30" x14ac:dyDescent="0.25">
      <c r="Q175" s="259"/>
      <c r="R175" s="259"/>
      <c r="S175" s="259"/>
      <c r="T175" s="259"/>
      <c r="U175" s="259"/>
      <c r="V175" s="259"/>
      <c r="W175" s="259"/>
      <c r="X175" s="259"/>
      <c r="Y175" s="259"/>
      <c r="Z175" s="259"/>
      <c r="AA175" s="259"/>
      <c r="AB175" s="259"/>
      <c r="AC175" s="259"/>
      <c r="AD175" s="259"/>
    </row>
    <row r="176" spans="17:30" x14ac:dyDescent="0.25">
      <c r="Q176" s="259"/>
      <c r="R176" s="259"/>
      <c r="S176" s="259"/>
      <c r="T176" s="259"/>
      <c r="U176" s="259"/>
      <c r="V176" s="259"/>
      <c r="W176" s="259"/>
      <c r="X176" s="259"/>
      <c r="Y176" s="259"/>
      <c r="Z176" s="259"/>
      <c r="AA176" s="259"/>
      <c r="AB176" s="259"/>
      <c r="AC176" s="259"/>
      <c r="AD176" s="259"/>
    </row>
    <row r="177" spans="17:30" x14ac:dyDescent="0.25">
      <c r="Q177" s="259"/>
      <c r="R177" s="259"/>
      <c r="S177" s="259"/>
      <c r="T177" s="259"/>
      <c r="U177" s="259"/>
      <c r="V177" s="259"/>
      <c r="W177" s="259"/>
      <c r="X177" s="259"/>
      <c r="Y177" s="259"/>
      <c r="Z177" s="259"/>
      <c r="AA177" s="259"/>
      <c r="AB177" s="259"/>
      <c r="AC177" s="259"/>
      <c r="AD177" s="259"/>
    </row>
    <row r="178" spans="17:30" x14ac:dyDescent="0.25">
      <c r="Q178" s="259"/>
      <c r="R178" s="259"/>
      <c r="S178" s="259"/>
      <c r="T178" s="259"/>
      <c r="U178" s="259"/>
      <c r="V178" s="259"/>
      <c r="W178" s="259"/>
      <c r="X178" s="259"/>
      <c r="Y178" s="259"/>
      <c r="Z178" s="259"/>
      <c r="AA178" s="259"/>
      <c r="AB178" s="259"/>
      <c r="AC178" s="259"/>
      <c r="AD178" s="259"/>
    </row>
    <row r="179" spans="17:30" x14ac:dyDescent="0.25">
      <c r="Q179" s="259"/>
      <c r="R179" s="259"/>
      <c r="S179" s="259"/>
      <c r="T179" s="259"/>
      <c r="U179" s="259"/>
      <c r="V179" s="259"/>
      <c r="W179" s="259"/>
      <c r="X179" s="259"/>
      <c r="Y179" s="259"/>
      <c r="Z179" s="259"/>
      <c r="AA179" s="259"/>
      <c r="AB179" s="259"/>
      <c r="AC179" s="259"/>
      <c r="AD179" s="259"/>
    </row>
    <row r="180" spans="17:30" x14ac:dyDescent="0.25">
      <c r="Q180" s="259"/>
      <c r="R180" s="259"/>
      <c r="S180" s="259"/>
      <c r="T180" s="259"/>
      <c r="U180" s="259"/>
      <c r="V180" s="259"/>
      <c r="W180" s="259"/>
      <c r="X180" s="259"/>
      <c r="Y180" s="259"/>
      <c r="Z180" s="259"/>
      <c r="AA180" s="259"/>
      <c r="AB180" s="259"/>
      <c r="AC180" s="259"/>
      <c r="AD180" s="259"/>
    </row>
    <row r="181" spans="17:30" x14ac:dyDescent="0.25">
      <c r="Q181" s="259"/>
      <c r="R181" s="259"/>
      <c r="S181" s="259"/>
      <c r="T181" s="259"/>
      <c r="U181" s="259"/>
      <c r="V181" s="259"/>
      <c r="W181" s="259"/>
      <c r="X181" s="259"/>
      <c r="Y181" s="259"/>
      <c r="Z181" s="259"/>
      <c r="AA181" s="259"/>
      <c r="AB181" s="259"/>
      <c r="AC181" s="259"/>
      <c r="AD181" s="259"/>
    </row>
    <row r="182" spans="17:30" x14ac:dyDescent="0.25">
      <c r="Q182" s="259"/>
      <c r="R182" s="259"/>
      <c r="S182" s="259"/>
      <c r="T182" s="259"/>
      <c r="U182" s="259"/>
      <c r="V182" s="259"/>
      <c r="W182" s="259"/>
      <c r="X182" s="259"/>
      <c r="Y182" s="259"/>
      <c r="Z182" s="259"/>
      <c r="AA182" s="259"/>
      <c r="AB182" s="259"/>
      <c r="AC182" s="259"/>
      <c r="AD182" s="259"/>
    </row>
    <row r="183" spans="17:30" x14ac:dyDescent="0.25">
      <c r="Q183" s="259"/>
      <c r="R183" s="259"/>
      <c r="S183" s="259"/>
      <c r="T183" s="259"/>
      <c r="U183" s="259"/>
      <c r="V183" s="259"/>
      <c r="W183" s="259"/>
      <c r="X183" s="259"/>
      <c r="Y183" s="259"/>
      <c r="Z183" s="259"/>
      <c r="AA183" s="259"/>
      <c r="AB183" s="259"/>
      <c r="AC183" s="259"/>
      <c r="AD183" s="259"/>
    </row>
    <row r="184" spans="17:30" x14ac:dyDescent="0.25">
      <c r="Q184" s="259"/>
      <c r="R184" s="259"/>
      <c r="S184" s="259"/>
      <c r="T184" s="259"/>
      <c r="U184" s="259"/>
      <c r="V184" s="259"/>
      <c r="W184" s="259"/>
      <c r="X184" s="259"/>
      <c r="Y184" s="259"/>
      <c r="Z184" s="259"/>
      <c r="AA184" s="259"/>
      <c r="AB184" s="259"/>
      <c r="AC184" s="259"/>
      <c r="AD184" s="259"/>
    </row>
    <row r="185" spans="17:30" x14ac:dyDescent="0.25">
      <c r="Q185" s="259"/>
      <c r="R185" s="259"/>
      <c r="S185" s="259"/>
      <c r="T185" s="259"/>
      <c r="U185" s="259"/>
      <c r="V185" s="259"/>
      <c r="W185" s="259"/>
      <c r="X185" s="259"/>
      <c r="Y185" s="259"/>
      <c r="Z185" s="259"/>
      <c r="AA185" s="259"/>
      <c r="AB185" s="259"/>
      <c r="AC185" s="259"/>
      <c r="AD185" s="259"/>
    </row>
    <row r="186" spans="17:30" x14ac:dyDescent="0.25">
      <c r="Q186" s="259"/>
      <c r="R186" s="259"/>
      <c r="S186" s="259"/>
      <c r="T186" s="259"/>
      <c r="U186" s="259"/>
      <c r="V186" s="259"/>
      <c r="W186" s="259"/>
      <c r="X186" s="259"/>
      <c r="Y186" s="259"/>
      <c r="Z186" s="259"/>
      <c r="AA186" s="259"/>
      <c r="AB186" s="259"/>
      <c r="AC186" s="259"/>
      <c r="AD186" s="259"/>
    </row>
    <row r="187" spans="17:30" x14ac:dyDescent="0.25">
      <c r="Q187" s="259"/>
      <c r="R187" s="259"/>
      <c r="S187" s="259"/>
      <c r="T187" s="259"/>
      <c r="U187" s="259"/>
      <c r="V187" s="259"/>
      <c r="W187" s="259"/>
      <c r="X187" s="259"/>
      <c r="Y187" s="259"/>
      <c r="Z187" s="259"/>
      <c r="AA187" s="259"/>
      <c r="AB187" s="259"/>
      <c r="AC187" s="259"/>
      <c r="AD187" s="259"/>
    </row>
    <row r="188" spans="17:30" x14ac:dyDescent="0.25">
      <c r="Q188" s="259"/>
      <c r="R188" s="259"/>
      <c r="S188" s="259"/>
      <c r="T188" s="259"/>
      <c r="U188" s="259"/>
      <c r="V188" s="259"/>
      <c r="W188" s="259"/>
      <c r="X188" s="259"/>
      <c r="Y188" s="259"/>
      <c r="Z188" s="259"/>
      <c r="AA188" s="259"/>
      <c r="AB188" s="259"/>
      <c r="AC188" s="259"/>
      <c r="AD188" s="259"/>
    </row>
    <row r="189" spans="17:30" x14ac:dyDescent="0.25">
      <c r="Q189" s="259"/>
      <c r="R189" s="259"/>
      <c r="S189" s="259"/>
      <c r="T189" s="259"/>
      <c r="U189" s="259"/>
      <c r="V189" s="259"/>
      <c r="W189" s="259"/>
      <c r="X189" s="259"/>
      <c r="Y189" s="259"/>
      <c r="Z189" s="259"/>
      <c r="AA189" s="259"/>
      <c r="AB189" s="259"/>
      <c r="AC189" s="259"/>
      <c r="AD189" s="259"/>
    </row>
    <row r="190" spans="17:30" x14ac:dyDescent="0.25">
      <c r="Q190" s="259"/>
      <c r="R190" s="259"/>
      <c r="S190" s="259"/>
      <c r="T190" s="259"/>
      <c r="U190" s="259"/>
      <c r="V190" s="259"/>
      <c r="W190" s="259"/>
      <c r="X190" s="259"/>
      <c r="Y190" s="259"/>
      <c r="Z190" s="259"/>
      <c r="AA190" s="259"/>
      <c r="AB190" s="259"/>
      <c r="AC190" s="259"/>
      <c r="AD190" s="259"/>
    </row>
    <row r="191" spans="17:30" x14ac:dyDescent="0.25">
      <c r="Q191" s="259"/>
      <c r="R191" s="259"/>
      <c r="S191" s="259"/>
      <c r="T191" s="259"/>
      <c r="U191" s="259"/>
      <c r="V191" s="259"/>
      <c r="W191" s="259"/>
      <c r="X191" s="259"/>
      <c r="Y191" s="259"/>
      <c r="Z191" s="259"/>
      <c r="AA191" s="259"/>
      <c r="AB191" s="259"/>
      <c r="AC191" s="259"/>
      <c r="AD191" s="259"/>
    </row>
    <row r="192" spans="17:30" x14ac:dyDescent="0.25">
      <c r="Q192" s="259"/>
      <c r="R192" s="259"/>
      <c r="S192" s="259"/>
      <c r="T192" s="259"/>
      <c r="U192" s="259"/>
      <c r="V192" s="259"/>
      <c r="W192" s="259"/>
      <c r="X192" s="259"/>
      <c r="Y192" s="259"/>
      <c r="Z192" s="259"/>
      <c r="AA192" s="259"/>
      <c r="AB192" s="259"/>
      <c r="AC192" s="259"/>
      <c r="AD192" s="259"/>
    </row>
    <row r="193" spans="17:30" x14ac:dyDescent="0.25">
      <c r="Q193" s="259"/>
      <c r="R193" s="259"/>
      <c r="S193" s="259"/>
      <c r="T193" s="259"/>
      <c r="U193" s="259"/>
      <c r="V193" s="259"/>
      <c r="W193" s="259"/>
      <c r="X193" s="259"/>
      <c r="Y193" s="259"/>
      <c r="Z193" s="259"/>
      <c r="AA193" s="259"/>
      <c r="AB193" s="259"/>
      <c r="AC193" s="259"/>
      <c r="AD193" s="259"/>
    </row>
    <row r="194" spans="17:30" x14ac:dyDescent="0.25">
      <c r="Q194" s="259"/>
      <c r="R194" s="259"/>
      <c r="S194" s="259"/>
      <c r="T194" s="259"/>
      <c r="U194" s="259"/>
      <c r="V194" s="259"/>
      <c r="W194" s="259"/>
      <c r="X194" s="259"/>
      <c r="Y194" s="259"/>
      <c r="Z194" s="259"/>
      <c r="AA194" s="259"/>
      <c r="AB194" s="259"/>
      <c r="AC194" s="259"/>
      <c r="AD194" s="259"/>
    </row>
    <row r="195" spans="17:30" x14ac:dyDescent="0.25">
      <c r="Q195" s="259"/>
      <c r="R195" s="259"/>
      <c r="S195" s="259"/>
      <c r="T195" s="259"/>
      <c r="U195" s="259"/>
      <c r="V195" s="259"/>
      <c r="W195" s="259"/>
      <c r="X195" s="259"/>
      <c r="Y195" s="259"/>
      <c r="Z195" s="259"/>
      <c r="AA195" s="259"/>
      <c r="AB195" s="259"/>
      <c r="AC195" s="259"/>
      <c r="AD195" s="259"/>
    </row>
    <row r="196" spans="17:30" x14ac:dyDescent="0.25">
      <c r="Q196" s="259"/>
      <c r="R196" s="259"/>
      <c r="S196" s="259"/>
      <c r="T196" s="259"/>
      <c r="U196" s="259"/>
      <c r="V196" s="259"/>
      <c r="W196" s="259"/>
      <c r="X196" s="259"/>
      <c r="Y196" s="259"/>
      <c r="Z196" s="259"/>
      <c r="AA196" s="259"/>
      <c r="AB196" s="259"/>
      <c r="AC196" s="259"/>
      <c r="AD196" s="259"/>
    </row>
    <row r="197" spans="17:30" x14ac:dyDescent="0.25">
      <c r="Q197" s="259"/>
      <c r="R197" s="259"/>
      <c r="S197" s="259"/>
      <c r="T197" s="259"/>
      <c r="U197" s="259"/>
      <c r="V197" s="259"/>
      <c r="W197" s="259"/>
      <c r="X197" s="259"/>
      <c r="Y197" s="259"/>
      <c r="Z197" s="259"/>
      <c r="AA197" s="259"/>
      <c r="AB197" s="259"/>
      <c r="AC197" s="259"/>
      <c r="AD197" s="259"/>
    </row>
    <row r="198" spans="17:30" x14ac:dyDescent="0.25">
      <c r="Q198" s="259"/>
      <c r="R198" s="259"/>
      <c r="S198" s="259"/>
      <c r="T198" s="259"/>
      <c r="U198" s="259"/>
      <c r="V198" s="259"/>
      <c r="W198" s="259"/>
      <c r="X198" s="259"/>
      <c r="Y198" s="259"/>
      <c r="Z198" s="259"/>
      <c r="AA198" s="259"/>
      <c r="AB198" s="259"/>
      <c r="AC198" s="259"/>
      <c r="AD198" s="259"/>
    </row>
    <row r="199" spans="17:30" x14ac:dyDescent="0.25">
      <c r="Q199" s="259"/>
      <c r="R199" s="259"/>
      <c r="S199" s="259"/>
      <c r="T199" s="259"/>
      <c r="U199" s="259"/>
      <c r="V199" s="259"/>
      <c r="W199" s="259"/>
      <c r="X199" s="259"/>
      <c r="Y199" s="259"/>
      <c r="Z199" s="259"/>
      <c r="AA199" s="259"/>
      <c r="AB199" s="259"/>
      <c r="AC199" s="259"/>
      <c r="AD199" s="259"/>
    </row>
    <row r="200" spans="17:30" x14ac:dyDescent="0.25">
      <c r="Q200" s="259"/>
      <c r="R200" s="259"/>
      <c r="S200" s="259"/>
      <c r="T200" s="259"/>
      <c r="U200" s="259"/>
      <c r="V200" s="259"/>
      <c r="W200" s="259"/>
      <c r="X200" s="259"/>
      <c r="Y200" s="259"/>
      <c r="Z200" s="259"/>
      <c r="AA200" s="259"/>
      <c r="AB200" s="259"/>
      <c r="AC200" s="259"/>
      <c r="AD200" s="259"/>
    </row>
    <row r="201" spans="17:30" x14ac:dyDescent="0.25">
      <c r="Q201" s="259"/>
      <c r="R201" s="259"/>
      <c r="S201" s="259"/>
      <c r="T201" s="259"/>
      <c r="U201" s="259"/>
      <c r="V201" s="259"/>
      <c r="W201" s="259"/>
      <c r="X201" s="259"/>
      <c r="Y201" s="259"/>
      <c r="Z201" s="259"/>
      <c r="AA201" s="259"/>
      <c r="AB201" s="259"/>
      <c r="AC201" s="259"/>
      <c r="AD201" s="259"/>
    </row>
    <row r="202" spans="17:30" x14ac:dyDescent="0.25">
      <c r="Q202" s="259"/>
      <c r="R202" s="259"/>
      <c r="S202" s="259"/>
      <c r="T202" s="259"/>
      <c r="U202" s="259"/>
      <c r="V202" s="259"/>
      <c r="W202" s="259"/>
      <c r="X202" s="259"/>
      <c r="Y202" s="259"/>
      <c r="Z202" s="259"/>
      <c r="AA202" s="259"/>
      <c r="AB202" s="259"/>
      <c r="AC202" s="259"/>
      <c r="AD202" s="259"/>
    </row>
    <row r="203" spans="17:30" x14ac:dyDescent="0.25">
      <c r="Q203" s="259"/>
      <c r="R203" s="259"/>
      <c r="S203" s="259"/>
      <c r="T203" s="259"/>
      <c r="U203" s="259"/>
      <c r="V203" s="259"/>
      <c r="W203" s="259"/>
      <c r="X203" s="259"/>
      <c r="Y203" s="259"/>
      <c r="Z203" s="259"/>
      <c r="AA203" s="259"/>
      <c r="AB203" s="259"/>
      <c r="AC203" s="259"/>
      <c r="AD203" s="259"/>
    </row>
    <row r="204" spans="17:30" x14ac:dyDescent="0.25">
      <c r="Q204" s="259"/>
      <c r="R204" s="259"/>
      <c r="S204" s="259"/>
      <c r="T204" s="259"/>
      <c r="U204" s="259"/>
      <c r="V204" s="259"/>
      <c r="W204" s="259"/>
      <c r="X204" s="259"/>
      <c r="Y204" s="259"/>
      <c r="Z204" s="259"/>
      <c r="AA204" s="259"/>
      <c r="AB204" s="259"/>
      <c r="AC204" s="259"/>
      <c r="AD204" s="259"/>
    </row>
    <row r="205" spans="17:30" x14ac:dyDescent="0.25">
      <c r="Q205" s="259"/>
      <c r="R205" s="259"/>
      <c r="S205" s="259"/>
      <c r="T205" s="259"/>
      <c r="U205" s="259"/>
      <c r="V205" s="259"/>
      <c r="W205" s="259"/>
      <c r="X205" s="259"/>
      <c r="Y205" s="259"/>
      <c r="Z205" s="259"/>
      <c r="AA205" s="259"/>
      <c r="AB205" s="259"/>
      <c r="AC205" s="259"/>
      <c r="AD205" s="259"/>
    </row>
    <row r="206" spans="17:30" x14ac:dyDescent="0.25">
      <c r="Q206" s="259"/>
      <c r="R206" s="259"/>
      <c r="S206" s="259"/>
      <c r="T206" s="259"/>
      <c r="U206" s="259"/>
      <c r="V206" s="259"/>
      <c r="W206" s="259"/>
      <c r="X206" s="259"/>
      <c r="Y206" s="259"/>
      <c r="Z206" s="259"/>
      <c r="AA206" s="259"/>
      <c r="AB206" s="259"/>
      <c r="AC206" s="259"/>
      <c r="AD206" s="259"/>
    </row>
    <row r="207" spans="17:30" x14ac:dyDescent="0.25">
      <c r="Q207" s="259"/>
      <c r="R207" s="259"/>
      <c r="S207" s="259"/>
      <c r="T207" s="259"/>
      <c r="U207" s="259"/>
      <c r="V207" s="259"/>
      <c r="W207" s="259"/>
      <c r="X207" s="259"/>
      <c r="Y207" s="259"/>
      <c r="Z207" s="259"/>
      <c r="AA207" s="259"/>
      <c r="AB207" s="259"/>
      <c r="AC207" s="259"/>
      <c r="AD207" s="259"/>
    </row>
    <row r="208" spans="17:30" x14ac:dyDescent="0.25">
      <c r="Q208" s="259"/>
      <c r="R208" s="259"/>
      <c r="S208" s="259"/>
      <c r="T208" s="259"/>
      <c r="U208" s="259"/>
      <c r="V208" s="259"/>
      <c r="W208" s="259"/>
      <c r="X208" s="259"/>
      <c r="Y208" s="259"/>
      <c r="Z208" s="259"/>
      <c r="AA208" s="259"/>
      <c r="AB208" s="259"/>
      <c r="AC208" s="259"/>
      <c r="AD208" s="259"/>
    </row>
    <row r="209" spans="17:30" x14ac:dyDescent="0.25">
      <c r="Q209" s="259"/>
      <c r="R209" s="259"/>
      <c r="S209" s="259"/>
      <c r="T209" s="259"/>
      <c r="U209" s="259"/>
      <c r="V209" s="259"/>
      <c r="W209" s="259"/>
      <c r="X209" s="259"/>
      <c r="Y209" s="259"/>
      <c r="Z209" s="259"/>
      <c r="AA209" s="259"/>
      <c r="AB209" s="259"/>
      <c r="AC209" s="259"/>
      <c r="AD209" s="259"/>
    </row>
    <row r="210" spans="17:30" x14ac:dyDescent="0.25">
      <c r="Q210" s="259"/>
      <c r="R210" s="259"/>
      <c r="S210" s="259"/>
      <c r="T210" s="259"/>
      <c r="U210" s="259"/>
      <c r="V210" s="259"/>
      <c r="W210" s="259"/>
      <c r="X210" s="259"/>
      <c r="Y210" s="259"/>
      <c r="Z210" s="259"/>
      <c r="AA210" s="259"/>
      <c r="AB210" s="259"/>
      <c r="AC210" s="259"/>
      <c r="AD210" s="259"/>
    </row>
    <row r="211" spans="17:30" x14ac:dyDescent="0.25">
      <c r="Q211" s="259"/>
      <c r="R211" s="259"/>
      <c r="S211" s="259"/>
      <c r="T211" s="259"/>
      <c r="U211" s="259"/>
      <c r="V211" s="259"/>
      <c r="W211" s="259"/>
      <c r="X211" s="259"/>
      <c r="Y211" s="259"/>
      <c r="Z211" s="259"/>
      <c r="AA211" s="259"/>
      <c r="AB211" s="259"/>
      <c r="AC211" s="259"/>
      <c r="AD211" s="259"/>
    </row>
    <row r="212" spans="17:30" x14ac:dyDescent="0.25">
      <c r="Q212" s="259"/>
      <c r="R212" s="259"/>
      <c r="S212" s="259"/>
      <c r="T212" s="259"/>
      <c r="U212" s="259"/>
      <c r="V212" s="259"/>
      <c r="W212" s="259"/>
      <c r="X212" s="259"/>
      <c r="Y212" s="259"/>
      <c r="Z212" s="259"/>
      <c r="AA212" s="259"/>
      <c r="AB212" s="259"/>
      <c r="AC212" s="259"/>
      <c r="AD212" s="259"/>
    </row>
    <row r="213" spans="17:30" x14ac:dyDescent="0.25">
      <c r="Q213" s="259"/>
      <c r="R213" s="259"/>
      <c r="S213" s="259"/>
      <c r="T213" s="259"/>
      <c r="U213" s="259"/>
      <c r="V213" s="259"/>
      <c r="W213" s="259"/>
      <c r="X213" s="259"/>
      <c r="Y213" s="259"/>
      <c r="Z213" s="259"/>
      <c r="AA213" s="259"/>
      <c r="AB213" s="259"/>
      <c r="AC213" s="259"/>
      <c r="AD213" s="259"/>
    </row>
    <row r="214" spans="17:30" x14ac:dyDescent="0.25">
      <c r="Q214" s="259"/>
      <c r="R214" s="259"/>
      <c r="S214" s="259"/>
      <c r="T214" s="259"/>
      <c r="U214" s="259"/>
      <c r="V214" s="259"/>
      <c r="W214" s="259"/>
      <c r="X214" s="259"/>
      <c r="Y214" s="259"/>
      <c r="Z214" s="259"/>
      <c r="AA214" s="259"/>
      <c r="AB214" s="259"/>
      <c r="AC214" s="259"/>
      <c r="AD214" s="259"/>
    </row>
    <row r="215" spans="17:30" x14ac:dyDescent="0.25">
      <c r="Q215" s="259"/>
      <c r="R215" s="259"/>
      <c r="S215" s="259"/>
      <c r="T215" s="259"/>
      <c r="U215" s="259"/>
      <c r="V215" s="259"/>
      <c r="W215" s="259"/>
      <c r="X215" s="259"/>
      <c r="Y215" s="259"/>
      <c r="Z215" s="259"/>
      <c r="AA215" s="259"/>
      <c r="AB215" s="259"/>
      <c r="AC215" s="259"/>
      <c r="AD215" s="259"/>
    </row>
    <row r="216" spans="17:30" x14ac:dyDescent="0.25">
      <c r="Q216" s="259"/>
      <c r="R216" s="259"/>
      <c r="S216" s="259"/>
      <c r="T216" s="259"/>
      <c r="U216" s="259"/>
      <c r="V216" s="259"/>
      <c r="W216" s="259"/>
      <c r="X216" s="259"/>
      <c r="Y216" s="259"/>
      <c r="Z216" s="259"/>
      <c r="AA216" s="259"/>
      <c r="AB216" s="259"/>
      <c r="AC216" s="259"/>
      <c r="AD216" s="259"/>
    </row>
    <row r="217" spans="17:30" x14ac:dyDescent="0.25">
      <c r="Q217" s="259"/>
      <c r="R217" s="259"/>
      <c r="S217" s="259"/>
      <c r="T217" s="259"/>
      <c r="U217" s="259"/>
      <c r="V217" s="259"/>
      <c r="W217" s="259"/>
      <c r="X217" s="259"/>
      <c r="Y217" s="259"/>
      <c r="Z217" s="259"/>
      <c r="AA217" s="259"/>
      <c r="AB217" s="259"/>
      <c r="AC217" s="259"/>
      <c r="AD217" s="259"/>
    </row>
    <row r="218" spans="17:30" x14ac:dyDescent="0.25">
      <c r="Q218" s="259"/>
      <c r="R218" s="259"/>
      <c r="S218" s="259"/>
      <c r="T218" s="259"/>
      <c r="U218" s="259"/>
      <c r="V218" s="259"/>
      <c r="W218" s="259"/>
      <c r="X218" s="259"/>
      <c r="Y218" s="259"/>
      <c r="Z218" s="259"/>
      <c r="AA218" s="259"/>
      <c r="AB218" s="259"/>
      <c r="AC218" s="259"/>
      <c r="AD218" s="259"/>
    </row>
    <row r="219" spans="17:30" x14ac:dyDescent="0.25">
      <c r="Q219" s="259"/>
      <c r="R219" s="259"/>
      <c r="S219" s="259"/>
      <c r="T219" s="259"/>
      <c r="U219" s="259"/>
      <c r="V219" s="259"/>
      <c r="W219" s="259"/>
      <c r="X219" s="259"/>
      <c r="Y219" s="259"/>
      <c r="Z219" s="259"/>
      <c r="AA219" s="259"/>
      <c r="AB219" s="259"/>
      <c r="AC219" s="259"/>
      <c r="AD219" s="259"/>
    </row>
    <row r="220" spans="17:30" x14ac:dyDescent="0.25">
      <c r="Q220" s="259"/>
      <c r="R220" s="259"/>
      <c r="S220" s="259"/>
      <c r="T220" s="259"/>
      <c r="U220" s="259"/>
      <c r="V220" s="259"/>
      <c r="W220" s="259"/>
      <c r="X220" s="259"/>
      <c r="Y220" s="259"/>
      <c r="Z220" s="259"/>
      <c r="AA220" s="259"/>
      <c r="AB220" s="259"/>
      <c r="AC220" s="259"/>
      <c r="AD220" s="259"/>
    </row>
    <row r="221" spans="17:30" x14ac:dyDescent="0.25">
      <c r="Q221" s="259"/>
      <c r="R221" s="259"/>
      <c r="S221" s="259"/>
      <c r="T221" s="259"/>
      <c r="U221" s="259"/>
      <c r="V221" s="259"/>
      <c r="W221" s="259"/>
      <c r="X221" s="259"/>
      <c r="Y221" s="259"/>
      <c r="Z221" s="259"/>
      <c r="AA221" s="259"/>
      <c r="AB221" s="259"/>
      <c r="AC221" s="259"/>
      <c r="AD221" s="259"/>
    </row>
    <row r="222" spans="17:30" x14ac:dyDescent="0.25">
      <c r="Q222" s="259"/>
      <c r="R222" s="259"/>
      <c r="S222" s="259"/>
      <c r="T222" s="259"/>
      <c r="U222" s="259"/>
      <c r="V222" s="259"/>
      <c r="W222" s="259"/>
      <c r="X222" s="259"/>
      <c r="Y222" s="259"/>
      <c r="Z222" s="259"/>
      <c r="AA222" s="259"/>
      <c r="AB222" s="259"/>
      <c r="AC222" s="259"/>
      <c r="AD222" s="259"/>
    </row>
    <row r="223" spans="17:30" x14ac:dyDescent="0.25">
      <c r="Q223" s="259"/>
      <c r="R223" s="259"/>
      <c r="S223" s="259"/>
      <c r="T223" s="259"/>
      <c r="U223" s="259"/>
      <c r="V223" s="259"/>
      <c r="W223" s="259"/>
      <c r="X223" s="259"/>
      <c r="Y223" s="259"/>
      <c r="Z223" s="259"/>
      <c r="AA223" s="259"/>
      <c r="AB223" s="259"/>
      <c r="AC223" s="259"/>
      <c r="AD223" s="259"/>
    </row>
    <row r="224" spans="17:30" x14ac:dyDescent="0.25">
      <c r="Q224" s="259"/>
      <c r="R224" s="259"/>
      <c r="S224" s="259"/>
      <c r="T224" s="259"/>
      <c r="U224" s="259"/>
      <c r="V224" s="259"/>
      <c r="W224" s="259"/>
      <c r="X224" s="259"/>
      <c r="Y224" s="259"/>
      <c r="Z224" s="259"/>
      <c r="AA224" s="259"/>
      <c r="AB224" s="259"/>
      <c r="AC224" s="259"/>
      <c r="AD224" s="259"/>
    </row>
    <row r="225" spans="17:30" x14ac:dyDescent="0.25">
      <c r="Q225" s="259"/>
      <c r="R225" s="259"/>
      <c r="S225" s="259"/>
      <c r="T225" s="259"/>
      <c r="U225" s="259"/>
      <c r="V225" s="259"/>
      <c r="W225" s="259"/>
      <c r="X225" s="259"/>
      <c r="Y225" s="259"/>
      <c r="Z225" s="259"/>
      <c r="AA225" s="259"/>
      <c r="AB225" s="259"/>
      <c r="AC225" s="259"/>
      <c r="AD225" s="259"/>
    </row>
    <row r="226" spans="17:30" x14ac:dyDescent="0.25">
      <c r="Q226" s="259"/>
      <c r="R226" s="259"/>
      <c r="S226" s="259"/>
      <c r="T226" s="259"/>
      <c r="U226" s="259"/>
      <c r="V226" s="259"/>
      <c r="W226" s="259"/>
      <c r="X226" s="259"/>
      <c r="Y226" s="259"/>
      <c r="Z226" s="259"/>
      <c r="AA226" s="259"/>
      <c r="AB226" s="259"/>
      <c r="AC226" s="259"/>
      <c r="AD226" s="259"/>
    </row>
    <row r="227" spans="17:30" x14ac:dyDescent="0.25">
      <c r="Q227" s="259"/>
      <c r="R227" s="259"/>
      <c r="S227" s="259"/>
      <c r="T227" s="259"/>
      <c r="U227" s="259"/>
      <c r="V227" s="259"/>
      <c r="W227" s="259"/>
      <c r="X227" s="259"/>
      <c r="Y227" s="259"/>
      <c r="Z227" s="259"/>
      <c r="AA227" s="259"/>
      <c r="AB227" s="259"/>
      <c r="AC227" s="259"/>
      <c r="AD227" s="259"/>
    </row>
    <row r="228" spans="17:30" x14ac:dyDescent="0.25">
      <c r="Q228" s="259"/>
      <c r="R228" s="259"/>
      <c r="S228" s="259"/>
      <c r="T228" s="259"/>
      <c r="U228" s="259"/>
      <c r="V228" s="259"/>
      <c r="W228" s="259"/>
      <c r="X228" s="259"/>
      <c r="Y228" s="259"/>
      <c r="Z228" s="259"/>
      <c r="AA228" s="259"/>
      <c r="AB228" s="259"/>
      <c r="AC228" s="259"/>
      <c r="AD228" s="259"/>
    </row>
    <row r="229" spans="17:30" x14ac:dyDescent="0.25">
      <c r="Q229" s="259"/>
      <c r="R229" s="259"/>
      <c r="S229" s="259"/>
      <c r="T229" s="259"/>
      <c r="U229" s="259"/>
      <c r="V229" s="259"/>
      <c r="W229" s="259"/>
      <c r="X229" s="259"/>
      <c r="Y229" s="259"/>
      <c r="Z229" s="259"/>
      <c r="AA229" s="259"/>
      <c r="AB229" s="259"/>
      <c r="AC229" s="259"/>
      <c r="AD229" s="259"/>
    </row>
    <row r="230" spans="17:30" x14ac:dyDescent="0.25">
      <c r="Q230" s="259"/>
      <c r="R230" s="259"/>
      <c r="S230" s="259"/>
      <c r="T230" s="259"/>
      <c r="U230" s="259"/>
      <c r="V230" s="259"/>
      <c r="W230" s="259"/>
      <c r="X230" s="259"/>
      <c r="Y230" s="259"/>
      <c r="Z230" s="259"/>
      <c r="AA230" s="259"/>
      <c r="AB230" s="259"/>
      <c r="AC230" s="259"/>
      <c r="AD230" s="259"/>
    </row>
    <row r="231" spans="17:30" x14ac:dyDescent="0.25">
      <c r="Q231" s="259"/>
      <c r="R231" s="259"/>
      <c r="S231" s="259"/>
      <c r="T231" s="259"/>
      <c r="U231" s="259"/>
      <c r="V231" s="259"/>
      <c r="W231" s="259"/>
      <c r="X231" s="259"/>
      <c r="Y231" s="259"/>
      <c r="Z231" s="259"/>
      <c r="AA231" s="259"/>
      <c r="AB231" s="259"/>
      <c r="AC231" s="259"/>
      <c r="AD231" s="259"/>
    </row>
    <row r="232" spans="17:30" x14ac:dyDescent="0.25">
      <c r="Q232" s="259"/>
      <c r="R232" s="259"/>
      <c r="S232" s="259"/>
      <c r="T232" s="259"/>
      <c r="U232" s="259"/>
      <c r="V232" s="259"/>
      <c r="W232" s="259"/>
      <c r="X232" s="259"/>
      <c r="Y232" s="259"/>
      <c r="Z232" s="259"/>
      <c r="AA232" s="259"/>
      <c r="AB232" s="259"/>
      <c r="AC232" s="259"/>
      <c r="AD232" s="259"/>
    </row>
    <row r="233" spans="17:30" x14ac:dyDescent="0.25">
      <c r="Q233" s="259"/>
      <c r="R233" s="259"/>
      <c r="S233" s="259"/>
      <c r="T233" s="259"/>
      <c r="U233" s="259"/>
      <c r="V233" s="259"/>
      <c r="W233" s="259"/>
      <c r="X233" s="259"/>
      <c r="Y233" s="259"/>
      <c r="Z233" s="259"/>
      <c r="AA233" s="259"/>
      <c r="AB233" s="259"/>
      <c r="AC233" s="259"/>
      <c r="AD233" s="259"/>
    </row>
    <row r="234" spans="17:30" x14ac:dyDescent="0.25">
      <c r="Q234" s="259"/>
      <c r="R234" s="259"/>
      <c r="S234" s="259"/>
      <c r="T234" s="259"/>
      <c r="U234" s="259"/>
      <c r="V234" s="259"/>
      <c r="W234" s="259"/>
      <c r="X234" s="259"/>
      <c r="Y234" s="259"/>
      <c r="Z234" s="259"/>
      <c r="AA234" s="259"/>
      <c r="AB234" s="259"/>
      <c r="AC234" s="259"/>
      <c r="AD234" s="259"/>
    </row>
    <row r="235" spans="17:30" x14ac:dyDescent="0.25">
      <c r="Q235" s="259"/>
      <c r="R235" s="259"/>
      <c r="S235" s="259"/>
      <c r="T235" s="259"/>
      <c r="U235" s="259"/>
      <c r="V235" s="259"/>
      <c r="W235" s="259"/>
      <c r="X235" s="259"/>
      <c r="Y235" s="259"/>
      <c r="Z235" s="259"/>
      <c r="AA235" s="259"/>
      <c r="AB235" s="259"/>
      <c r="AC235" s="259"/>
      <c r="AD235" s="259"/>
    </row>
    <row r="236" spans="17:30" x14ac:dyDescent="0.25">
      <c r="Q236" s="259"/>
      <c r="R236" s="259"/>
      <c r="S236" s="259"/>
      <c r="T236" s="259"/>
      <c r="U236" s="259"/>
      <c r="V236" s="259"/>
      <c r="W236" s="259"/>
      <c r="X236" s="259"/>
      <c r="Y236" s="259"/>
      <c r="Z236" s="259"/>
      <c r="AA236" s="259"/>
      <c r="AB236" s="259"/>
      <c r="AC236" s="259"/>
      <c r="AD236" s="259"/>
    </row>
    <row r="237" spans="17:30" x14ac:dyDescent="0.25">
      <c r="Q237" s="259"/>
      <c r="R237" s="259"/>
      <c r="S237" s="259"/>
      <c r="T237" s="259"/>
      <c r="U237" s="259"/>
      <c r="V237" s="259"/>
      <c r="W237" s="259"/>
      <c r="X237" s="259"/>
      <c r="Y237" s="259"/>
      <c r="Z237" s="259"/>
      <c r="AA237" s="259"/>
      <c r="AB237" s="259"/>
      <c r="AC237" s="259"/>
      <c r="AD237" s="259"/>
    </row>
    <row r="238" spans="17:30" x14ac:dyDescent="0.25">
      <c r="Q238" s="259"/>
      <c r="R238" s="259"/>
      <c r="S238" s="259"/>
      <c r="T238" s="259"/>
      <c r="U238" s="259"/>
      <c r="V238" s="259"/>
      <c r="W238" s="259"/>
      <c r="X238" s="259"/>
      <c r="Y238" s="259"/>
      <c r="Z238" s="259"/>
      <c r="AA238" s="259"/>
      <c r="AB238" s="259"/>
      <c r="AC238" s="259"/>
      <c r="AD238" s="259"/>
    </row>
    <row r="239" spans="17:30" x14ac:dyDescent="0.25">
      <c r="Q239" s="259"/>
      <c r="R239" s="259"/>
      <c r="S239" s="259"/>
      <c r="T239" s="259"/>
      <c r="U239" s="259"/>
      <c r="V239" s="259"/>
      <c r="W239" s="259"/>
      <c r="X239" s="259"/>
      <c r="Y239" s="259"/>
      <c r="Z239" s="259"/>
      <c r="AA239" s="259"/>
      <c r="AB239" s="259"/>
      <c r="AC239" s="259"/>
      <c r="AD239" s="259"/>
    </row>
    <row r="240" spans="17:30" x14ac:dyDescent="0.25">
      <c r="Q240" s="259"/>
      <c r="R240" s="259"/>
      <c r="S240" s="259"/>
      <c r="T240" s="259"/>
      <c r="U240" s="259"/>
      <c r="V240" s="259"/>
      <c r="W240" s="259"/>
      <c r="X240" s="259"/>
      <c r="Y240" s="259"/>
      <c r="Z240" s="259"/>
      <c r="AA240" s="259"/>
      <c r="AB240" s="259"/>
      <c r="AC240" s="259"/>
      <c r="AD240" s="259"/>
    </row>
    <row r="241" spans="17:30" x14ac:dyDescent="0.25">
      <c r="Q241" s="259"/>
      <c r="R241" s="259"/>
      <c r="S241" s="259"/>
      <c r="T241" s="259"/>
      <c r="U241" s="259"/>
      <c r="V241" s="259"/>
      <c r="W241" s="259"/>
      <c r="X241" s="259"/>
      <c r="Y241" s="259"/>
      <c r="Z241" s="259"/>
      <c r="AA241" s="259"/>
      <c r="AB241" s="259"/>
      <c r="AC241" s="259"/>
      <c r="AD241" s="259"/>
    </row>
    <row r="242" spans="17:30" x14ac:dyDescent="0.25">
      <c r="Q242" s="259"/>
      <c r="R242" s="259"/>
      <c r="S242" s="259"/>
      <c r="T242" s="259"/>
      <c r="U242" s="259"/>
      <c r="V242" s="259"/>
      <c r="W242" s="259"/>
      <c r="X242" s="259"/>
      <c r="Y242" s="259"/>
      <c r="Z242" s="259"/>
      <c r="AA242" s="259"/>
      <c r="AB242" s="259"/>
      <c r="AC242" s="259"/>
      <c r="AD242" s="259"/>
    </row>
    <row r="243" spans="17:30" x14ac:dyDescent="0.25">
      <c r="Q243" s="259"/>
      <c r="R243" s="259"/>
      <c r="S243" s="259"/>
      <c r="T243" s="259"/>
      <c r="U243" s="259"/>
      <c r="V243" s="259"/>
      <c r="W243" s="259"/>
      <c r="X243" s="259"/>
      <c r="Y243" s="259"/>
      <c r="Z243" s="259"/>
      <c r="AA243" s="259"/>
      <c r="AB243" s="259"/>
      <c r="AC243" s="259"/>
      <c r="AD243" s="259"/>
    </row>
    <row r="244" spans="17:30" x14ac:dyDescent="0.25">
      <c r="Q244" s="259"/>
      <c r="R244" s="259"/>
      <c r="S244" s="259"/>
      <c r="T244" s="259"/>
      <c r="U244" s="259"/>
      <c r="V244" s="259"/>
      <c r="W244" s="259"/>
      <c r="X244" s="259"/>
      <c r="Y244" s="259"/>
      <c r="Z244" s="259"/>
      <c r="AA244" s="259"/>
      <c r="AB244" s="259"/>
      <c r="AC244" s="259"/>
      <c r="AD244" s="259"/>
    </row>
    <row r="245" spans="17:30" x14ac:dyDescent="0.25">
      <c r="Q245" s="259"/>
      <c r="R245" s="259"/>
      <c r="S245" s="259"/>
      <c r="T245" s="259"/>
      <c r="U245" s="259"/>
      <c r="V245" s="259"/>
      <c r="W245" s="259"/>
      <c r="X245" s="259"/>
      <c r="Y245" s="259"/>
      <c r="Z245" s="259"/>
      <c r="AA245" s="259"/>
      <c r="AB245" s="259"/>
      <c r="AC245" s="259"/>
      <c r="AD245" s="259"/>
    </row>
    <row r="246" spans="17:30" x14ac:dyDescent="0.25">
      <c r="Q246" s="259"/>
      <c r="R246" s="259"/>
      <c r="S246" s="259"/>
      <c r="T246" s="259"/>
      <c r="U246" s="259"/>
      <c r="V246" s="259"/>
      <c r="W246" s="259"/>
      <c r="X246" s="259"/>
      <c r="Y246" s="259"/>
      <c r="Z246" s="259"/>
      <c r="AA246" s="259"/>
      <c r="AB246" s="259"/>
      <c r="AC246" s="259"/>
      <c r="AD246" s="259"/>
    </row>
    <row r="247" spans="17:30" x14ac:dyDescent="0.25">
      <c r="Q247" s="259"/>
      <c r="R247" s="259"/>
      <c r="S247" s="259"/>
      <c r="T247" s="259"/>
      <c r="U247" s="259"/>
      <c r="V247" s="259"/>
      <c r="W247" s="259"/>
      <c r="X247" s="259"/>
      <c r="Y247" s="259"/>
      <c r="Z247" s="259"/>
      <c r="AA247" s="259"/>
      <c r="AB247" s="259"/>
      <c r="AC247" s="259"/>
      <c r="AD247" s="259"/>
    </row>
    <row r="248" spans="17:30" x14ac:dyDescent="0.25">
      <c r="Q248" s="259"/>
      <c r="R248" s="259"/>
      <c r="S248" s="259"/>
      <c r="T248" s="259"/>
      <c r="U248" s="259"/>
      <c r="V248" s="259"/>
      <c r="W248" s="259"/>
      <c r="X248" s="259"/>
      <c r="Y248" s="259"/>
      <c r="Z248" s="259"/>
      <c r="AA248" s="259"/>
      <c r="AB248" s="259"/>
      <c r="AC248" s="259"/>
      <c r="AD248" s="259"/>
    </row>
    <row r="249" spans="17:30" x14ac:dyDescent="0.25">
      <c r="Q249" s="259"/>
      <c r="R249" s="259"/>
      <c r="S249" s="259"/>
      <c r="T249" s="259"/>
      <c r="U249" s="259"/>
      <c r="V249" s="259"/>
      <c r="W249" s="259"/>
      <c r="X249" s="259"/>
      <c r="Y249" s="259"/>
      <c r="Z249" s="259"/>
      <c r="AA249" s="259"/>
      <c r="AB249" s="259"/>
      <c r="AC249" s="259"/>
      <c r="AD249" s="259"/>
    </row>
    <row r="250" spans="17:30" x14ac:dyDescent="0.25">
      <c r="Q250" s="259"/>
      <c r="R250" s="259"/>
      <c r="S250" s="259"/>
      <c r="T250" s="259"/>
      <c r="U250" s="259"/>
      <c r="V250" s="259"/>
      <c r="W250" s="259"/>
      <c r="X250" s="259"/>
      <c r="Y250" s="259"/>
      <c r="Z250" s="259"/>
      <c r="AA250" s="259"/>
      <c r="AB250" s="259"/>
      <c r="AC250" s="259"/>
      <c r="AD250" s="259"/>
    </row>
    <row r="251" spans="17:30" x14ac:dyDescent="0.25">
      <c r="Q251" s="259"/>
      <c r="R251" s="259"/>
      <c r="S251" s="259"/>
      <c r="T251" s="259"/>
      <c r="U251" s="259"/>
      <c r="V251" s="259"/>
      <c r="W251" s="259"/>
      <c r="X251" s="259"/>
      <c r="Y251" s="259"/>
      <c r="Z251" s="259"/>
      <c r="AA251" s="259"/>
      <c r="AB251" s="259"/>
      <c r="AC251" s="259"/>
      <c r="AD251" s="259"/>
    </row>
    <row r="252" spans="17:30" x14ac:dyDescent="0.25">
      <c r="Q252" s="259"/>
      <c r="R252" s="259"/>
      <c r="S252" s="259"/>
      <c r="T252" s="259"/>
      <c r="U252" s="259"/>
      <c r="V252" s="259"/>
      <c r="W252" s="259"/>
      <c r="X252" s="259"/>
      <c r="Y252" s="259"/>
      <c r="Z252" s="259"/>
      <c r="AA252" s="259"/>
      <c r="AB252" s="259"/>
      <c r="AC252" s="259"/>
      <c r="AD252" s="259"/>
    </row>
    <row r="253" spans="17:30" x14ac:dyDescent="0.25">
      <c r="Q253" s="259"/>
      <c r="R253" s="259"/>
      <c r="S253" s="259"/>
      <c r="T253" s="259"/>
      <c r="U253" s="259"/>
      <c r="V253" s="259"/>
      <c r="W253" s="259"/>
      <c r="X253" s="259"/>
      <c r="Y253" s="259"/>
      <c r="Z253" s="259"/>
      <c r="AA253" s="259"/>
      <c r="AB253" s="259"/>
      <c r="AC253" s="259"/>
      <c r="AD253" s="259"/>
    </row>
    <row r="254" spans="17:30" x14ac:dyDescent="0.25">
      <c r="Q254" s="259"/>
      <c r="R254" s="259"/>
      <c r="S254" s="259"/>
      <c r="T254" s="259"/>
      <c r="U254" s="259"/>
      <c r="V254" s="259"/>
      <c r="W254" s="259"/>
      <c r="X254" s="259"/>
      <c r="Y254" s="259"/>
      <c r="Z254" s="259"/>
      <c r="AA254" s="259"/>
      <c r="AB254" s="259"/>
      <c r="AC254" s="259"/>
      <c r="AD254" s="259"/>
    </row>
    <row r="255" spans="17:30" x14ac:dyDescent="0.25">
      <c r="Q255" s="259"/>
      <c r="R255" s="259"/>
      <c r="S255" s="259"/>
      <c r="T255" s="259"/>
      <c r="U255" s="259"/>
      <c r="V255" s="259"/>
      <c r="W255" s="259"/>
      <c r="X255" s="259"/>
      <c r="Y255" s="259"/>
      <c r="Z255" s="259"/>
      <c r="AA255" s="259"/>
      <c r="AB255" s="259"/>
      <c r="AC255" s="259"/>
      <c r="AD255" s="259"/>
    </row>
    <row r="256" spans="17:30" x14ac:dyDescent="0.25">
      <c r="Q256" s="259"/>
      <c r="R256" s="259"/>
      <c r="S256" s="259"/>
      <c r="T256" s="259"/>
      <c r="U256" s="259"/>
      <c r="V256" s="259"/>
      <c r="W256" s="259"/>
      <c r="X256" s="259"/>
      <c r="Y256" s="259"/>
      <c r="Z256" s="259"/>
      <c r="AA256" s="259"/>
      <c r="AB256" s="259"/>
      <c r="AC256" s="259"/>
      <c r="AD256" s="259"/>
    </row>
    <row r="257" spans="17:30" x14ac:dyDescent="0.25">
      <c r="Q257" s="259"/>
      <c r="R257" s="259"/>
      <c r="S257" s="259"/>
      <c r="T257" s="259"/>
      <c r="U257" s="259"/>
      <c r="V257" s="259"/>
      <c r="W257" s="259"/>
      <c r="X257" s="259"/>
      <c r="Y257" s="259"/>
      <c r="Z257" s="259"/>
      <c r="AA257" s="259"/>
      <c r="AB257" s="259"/>
      <c r="AC257" s="259"/>
      <c r="AD257" s="259"/>
    </row>
    <row r="258" spans="17:30" x14ac:dyDescent="0.25">
      <c r="Q258" s="259"/>
      <c r="R258" s="259"/>
      <c r="S258" s="259"/>
      <c r="T258" s="259"/>
      <c r="U258" s="259"/>
      <c r="V258" s="259"/>
      <c r="W258" s="259"/>
      <c r="X258" s="259"/>
      <c r="Y258" s="259"/>
      <c r="Z258" s="259"/>
      <c r="AA258" s="259"/>
      <c r="AB258" s="259"/>
      <c r="AC258" s="259"/>
      <c r="AD258" s="259"/>
    </row>
    <row r="259" spans="17:30" x14ac:dyDescent="0.25">
      <c r="Q259" s="259"/>
      <c r="R259" s="259"/>
      <c r="S259" s="259"/>
      <c r="T259" s="259"/>
      <c r="U259" s="259"/>
      <c r="V259" s="259"/>
      <c r="W259" s="259"/>
      <c r="X259" s="259"/>
      <c r="Y259" s="259"/>
      <c r="Z259" s="259"/>
      <c r="AA259" s="259"/>
      <c r="AB259" s="259"/>
      <c r="AC259" s="259"/>
      <c r="AD259" s="259"/>
    </row>
    <row r="260" spans="17:30" x14ac:dyDescent="0.25">
      <c r="Q260" s="259"/>
      <c r="R260" s="259"/>
      <c r="S260" s="259"/>
      <c r="T260" s="259"/>
      <c r="U260" s="259"/>
      <c r="V260" s="259"/>
      <c r="W260" s="259"/>
      <c r="X260" s="259"/>
      <c r="Y260" s="259"/>
      <c r="Z260" s="259"/>
      <c r="AA260" s="259"/>
      <c r="AB260" s="259"/>
      <c r="AC260" s="259"/>
      <c r="AD260" s="259"/>
    </row>
    <row r="261" spans="17:30" x14ac:dyDescent="0.25">
      <c r="Q261" s="259"/>
      <c r="R261" s="259"/>
      <c r="S261" s="259"/>
      <c r="T261" s="259"/>
      <c r="U261" s="259"/>
      <c r="V261" s="259"/>
      <c r="W261" s="259"/>
      <c r="X261" s="259"/>
      <c r="Y261" s="259"/>
      <c r="Z261" s="259"/>
      <c r="AA261" s="259"/>
      <c r="AB261" s="259"/>
      <c r="AC261" s="259"/>
      <c r="AD261" s="259"/>
    </row>
    <row r="262" spans="17:30" x14ac:dyDescent="0.25">
      <c r="Q262" s="259"/>
      <c r="R262" s="259"/>
      <c r="S262" s="259"/>
      <c r="T262" s="259"/>
      <c r="U262" s="259"/>
      <c r="V262" s="259"/>
      <c r="W262" s="259"/>
      <c r="X262" s="259"/>
      <c r="Y262" s="259"/>
      <c r="Z262" s="259"/>
      <c r="AA262" s="259"/>
      <c r="AB262" s="259"/>
      <c r="AC262" s="259"/>
      <c r="AD262" s="259"/>
    </row>
    <row r="263" spans="17:30" x14ac:dyDescent="0.25">
      <c r="Q263" s="259"/>
      <c r="R263" s="259"/>
      <c r="S263" s="259"/>
      <c r="T263" s="259"/>
      <c r="U263" s="259"/>
      <c r="V263" s="259"/>
      <c r="W263" s="259"/>
      <c r="X263" s="259"/>
      <c r="Y263" s="259"/>
      <c r="Z263" s="259"/>
      <c r="AA263" s="259"/>
      <c r="AB263" s="259"/>
      <c r="AC263" s="259"/>
      <c r="AD263" s="259"/>
    </row>
    <row r="264" spans="17:30" x14ac:dyDescent="0.25">
      <c r="Q264" s="259"/>
      <c r="R264" s="259"/>
      <c r="S264" s="259"/>
      <c r="T264" s="259"/>
      <c r="U264" s="259"/>
      <c r="V264" s="259"/>
      <c r="W264" s="259"/>
      <c r="X264" s="259"/>
      <c r="Y264" s="259"/>
      <c r="Z264" s="259"/>
      <c r="AA264" s="259"/>
      <c r="AB264" s="259"/>
      <c r="AC264" s="259"/>
      <c r="AD264" s="259"/>
    </row>
    <row r="265" spans="17:30" x14ac:dyDescent="0.25">
      <c r="Q265" s="259"/>
      <c r="R265" s="259"/>
      <c r="S265" s="259"/>
      <c r="T265" s="259"/>
      <c r="U265" s="259"/>
      <c r="V265" s="259"/>
      <c r="W265" s="259"/>
      <c r="X265" s="259"/>
      <c r="Y265" s="259"/>
      <c r="Z265" s="259"/>
      <c r="AA265" s="259"/>
      <c r="AB265" s="259"/>
      <c r="AC265" s="259"/>
      <c r="AD265" s="259"/>
    </row>
    <row r="266" spans="17:30" x14ac:dyDescent="0.25">
      <c r="Q266" s="259"/>
      <c r="R266" s="259"/>
      <c r="S266" s="259"/>
      <c r="T266" s="259"/>
      <c r="U266" s="259"/>
      <c r="V266" s="259"/>
      <c r="W266" s="259"/>
      <c r="X266" s="259"/>
      <c r="Y266" s="259"/>
      <c r="Z266" s="259"/>
      <c r="AA266" s="259"/>
      <c r="AB266" s="259"/>
      <c r="AC266" s="259"/>
      <c r="AD266" s="259"/>
    </row>
    <row r="267" spans="17:30" x14ac:dyDescent="0.25">
      <c r="Q267" s="259"/>
      <c r="R267" s="259"/>
      <c r="S267" s="259"/>
      <c r="T267" s="259"/>
      <c r="U267" s="259"/>
      <c r="V267" s="259"/>
      <c r="W267" s="259"/>
      <c r="X267" s="259"/>
      <c r="Y267" s="259"/>
      <c r="Z267" s="259"/>
      <c r="AA267" s="259"/>
      <c r="AB267" s="259"/>
      <c r="AC267" s="259"/>
      <c r="AD267" s="259"/>
    </row>
    <row r="268" spans="17:30" x14ac:dyDescent="0.25">
      <c r="Q268" s="259"/>
      <c r="R268" s="259"/>
      <c r="S268" s="259"/>
      <c r="T268" s="259"/>
      <c r="U268" s="259"/>
      <c r="V268" s="259"/>
      <c r="W268" s="259"/>
      <c r="X268" s="259"/>
      <c r="Y268" s="259"/>
      <c r="Z268" s="259"/>
      <c r="AA268" s="259"/>
      <c r="AB268" s="259"/>
      <c r="AC268" s="259"/>
      <c r="AD268" s="259"/>
    </row>
    <row r="269" spans="17:30" x14ac:dyDescent="0.25">
      <c r="Q269" s="259"/>
      <c r="R269" s="259"/>
      <c r="S269" s="259"/>
      <c r="T269" s="259"/>
      <c r="U269" s="259"/>
      <c r="V269" s="259"/>
      <c r="W269" s="259"/>
      <c r="X269" s="259"/>
      <c r="Y269" s="259"/>
      <c r="Z269" s="259"/>
      <c r="AA269" s="259"/>
      <c r="AB269" s="259"/>
      <c r="AC269" s="259"/>
      <c r="AD269" s="259"/>
    </row>
    <row r="270" spans="17:30" x14ac:dyDescent="0.25">
      <c r="Q270" s="259"/>
      <c r="R270" s="259"/>
      <c r="S270" s="259"/>
      <c r="T270" s="259"/>
      <c r="U270" s="259"/>
      <c r="V270" s="259"/>
      <c r="W270" s="259"/>
      <c r="X270" s="259"/>
      <c r="Y270" s="259"/>
      <c r="Z270" s="259"/>
      <c r="AA270" s="259"/>
      <c r="AB270" s="259"/>
      <c r="AC270" s="259"/>
      <c r="AD270" s="259"/>
    </row>
    <row r="271" spans="17:30" x14ac:dyDescent="0.25">
      <c r="Q271" s="259"/>
      <c r="R271" s="259"/>
      <c r="S271" s="259"/>
      <c r="T271" s="259"/>
      <c r="U271" s="259"/>
      <c r="V271" s="259"/>
      <c r="W271" s="259"/>
      <c r="X271" s="259"/>
      <c r="Y271" s="259"/>
      <c r="Z271" s="259"/>
      <c r="AA271" s="259"/>
      <c r="AB271" s="259"/>
      <c r="AC271" s="259"/>
      <c r="AD271" s="259"/>
    </row>
    <row r="272" spans="17:30" x14ac:dyDescent="0.25">
      <c r="Q272" s="259"/>
      <c r="R272" s="259"/>
      <c r="S272" s="259"/>
      <c r="T272" s="259"/>
      <c r="U272" s="259"/>
      <c r="V272" s="259"/>
      <c r="W272" s="259"/>
      <c r="X272" s="259"/>
      <c r="Y272" s="259"/>
      <c r="Z272" s="259"/>
      <c r="AA272" s="259"/>
      <c r="AB272" s="259"/>
      <c r="AC272" s="259"/>
      <c r="AD272" s="259"/>
    </row>
    <row r="273" spans="17:30" x14ac:dyDescent="0.25">
      <c r="Q273" s="259"/>
      <c r="R273" s="259"/>
      <c r="S273" s="259"/>
      <c r="T273" s="259"/>
      <c r="U273" s="259"/>
      <c r="V273" s="259"/>
      <c r="W273" s="259"/>
      <c r="X273" s="259"/>
      <c r="Y273" s="259"/>
      <c r="Z273" s="259"/>
      <c r="AA273" s="259"/>
      <c r="AB273" s="259"/>
      <c r="AC273" s="259"/>
      <c r="AD273" s="259"/>
    </row>
    <row r="274" spans="17:30" x14ac:dyDescent="0.25">
      <c r="Q274" s="259"/>
      <c r="R274" s="259"/>
      <c r="S274" s="259"/>
      <c r="T274" s="259"/>
      <c r="U274" s="259"/>
      <c r="V274" s="259"/>
      <c r="W274" s="259"/>
      <c r="X274" s="259"/>
      <c r="Y274" s="259"/>
      <c r="Z274" s="259"/>
      <c r="AA274" s="259"/>
      <c r="AB274" s="259"/>
      <c r="AC274" s="259"/>
      <c r="AD274" s="259"/>
    </row>
    <row r="275" spans="17:30" x14ac:dyDescent="0.25">
      <c r="Q275" s="259"/>
      <c r="R275" s="259"/>
      <c r="S275" s="259"/>
      <c r="T275" s="259"/>
      <c r="U275" s="259"/>
      <c r="V275" s="259"/>
      <c r="W275" s="259"/>
      <c r="X275" s="259"/>
      <c r="Y275" s="259"/>
      <c r="Z275" s="259"/>
      <c r="AA275" s="259"/>
      <c r="AB275" s="259"/>
      <c r="AC275" s="259"/>
      <c r="AD275" s="259"/>
    </row>
    <row r="276" spans="17:30" x14ac:dyDescent="0.25">
      <c r="Q276" s="259"/>
      <c r="R276" s="259"/>
      <c r="S276" s="259"/>
      <c r="T276" s="259"/>
      <c r="U276" s="259"/>
      <c r="V276" s="259"/>
      <c r="W276" s="259"/>
      <c r="X276" s="259"/>
      <c r="Y276" s="259"/>
      <c r="Z276" s="259"/>
      <c r="AA276" s="259"/>
      <c r="AB276" s="259"/>
      <c r="AC276" s="259"/>
      <c r="AD276" s="259"/>
    </row>
    <row r="277" spans="17:30" x14ac:dyDescent="0.25">
      <c r="Q277" s="259"/>
      <c r="R277" s="259"/>
      <c r="S277" s="259"/>
      <c r="T277" s="259"/>
      <c r="U277" s="259"/>
      <c r="V277" s="259"/>
      <c r="W277" s="259"/>
      <c r="X277" s="259"/>
      <c r="Y277" s="259"/>
      <c r="Z277" s="259"/>
      <c r="AA277" s="259"/>
      <c r="AB277" s="259"/>
      <c r="AC277" s="259"/>
      <c r="AD277" s="259"/>
    </row>
    <row r="278" spans="17:30" x14ac:dyDescent="0.25">
      <c r="Q278" s="259"/>
      <c r="R278" s="259"/>
      <c r="S278" s="259"/>
      <c r="T278" s="259"/>
      <c r="U278" s="259"/>
      <c r="V278" s="259"/>
      <c r="W278" s="259"/>
      <c r="X278" s="259"/>
      <c r="Y278" s="259"/>
      <c r="Z278" s="259"/>
      <c r="AA278" s="259"/>
      <c r="AB278" s="259"/>
      <c r="AC278" s="259"/>
      <c r="AD278" s="259"/>
    </row>
    <row r="279" spans="17:30" x14ac:dyDescent="0.25">
      <c r="Q279" s="259"/>
      <c r="R279" s="259"/>
      <c r="S279" s="259"/>
      <c r="T279" s="259"/>
      <c r="U279" s="259"/>
      <c r="V279" s="259"/>
      <c r="W279" s="259"/>
      <c r="X279" s="259"/>
      <c r="Y279" s="259"/>
      <c r="Z279" s="259"/>
      <c r="AA279" s="259"/>
      <c r="AB279" s="259"/>
      <c r="AC279" s="259"/>
      <c r="AD279" s="259"/>
    </row>
    <row r="280" spans="17:30" x14ac:dyDescent="0.25">
      <c r="Q280" s="259"/>
      <c r="R280" s="259"/>
      <c r="S280" s="259"/>
      <c r="T280" s="259"/>
      <c r="U280" s="259"/>
      <c r="V280" s="259"/>
      <c r="W280" s="259"/>
      <c r="X280" s="259"/>
      <c r="Y280" s="259"/>
      <c r="Z280" s="259"/>
      <c r="AA280" s="259"/>
      <c r="AB280" s="259"/>
      <c r="AC280" s="259"/>
      <c r="AD280" s="259"/>
    </row>
    <row r="281" spans="17:30" x14ac:dyDescent="0.25">
      <c r="Q281" s="259"/>
      <c r="R281" s="259"/>
      <c r="S281" s="259"/>
      <c r="T281" s="259"/>
      <c r="U281" s="259"/>
      <c r="V281" s="259"/>
      <c r="W281" s="259"/>
      <c r="X281" s="259"/>
      <c r="Y281" s="259"/>
      <c r="Z281" s="259"/>
      <c r="AA281" s="259"/>
      <c r="AB281" s="259"/>
      <c r="AC281" s="259"/>
      <c r="AD281" s="259"/>
    </row>
    <row r="282" spans="17:30" x14ac:dyDescent="0.25">
      <c r="Q282" s="259"/>
      <c r="R282" s="259"/>
      <c r="S282" s="259"/>
      <c r="T282" s="259"/>
      <c r="U282" s="259"/>
      <c r="V282" s="259"/>
      <c r="W282" s="259"/>
      <c r="X282" s="259"/>
      <c r="Y282" s="259"/>
      <c r="Z282" s="259"/>
      <c r="AA282" s="259"/>
      <c r="AB282" s="259"/>
      <c r="AC282" s="259"/>
      <c r="AD282" s="259"/>
    </row>
    <row r="283" spans="17:30" x14ac:dyDescent="0.25">
      <c r="Q283" s="259"/>
      <c r="R283" s="259"/>
      <c r="S283" s="259"/>
      <c r="T283" s="259"/>
      <c r="U283" s="259"/>
      <c r="V283" s="259"/>
      <c r="W283" s="259"/>
      <c r="X283" s="259"/>
      <c r="Y283" s="259"/>
      <c r="Z283" s="259"/>
      <c r="AA283" s="259"/>
      <c r="AB283" s="259"/>
      <c r="AC283" s="259"/>
      <c r="AD283" s="259"/>
    </row>
    <row r="284" spans="17:30" x14ac:dyDescent="0.25">
      <c r="Q284" s="259"/>
      <c r="R284" s="259"/>
      <c r="S284" s="259"/>
      <c r="T284" s="259"/>
      <c r="U284" s="259"/>
      <c r="V284" s="259"/>
      <c r="W284" s="259"/>
      <c r="X284" s="259"/>
      <c r="Y284" s="259"/>
      <c r="Z284" s="259"/>
      <c r="AA284" s="259"/>
      <c r="AB284" s="259"/>
      <c r="AC284" s="259"/>
      <c r="AD284" s="259"/>
    </row>
    <row r="285" spans="17:30" x14ac:dyDescent="0.25">
      <c r="Q285" s="259"/>
      <c r="R285" s="259"/>
      <c r="S285" s="259"/>
      <c r="T285" s="259"/>
      <c r="U285" s="259"/>
      <c r="V285" s="259"/>
      <c r="W285" s="259"/>
      <c r="X285" s="259"/>
      <c r="Y285" s="259"/>
      <c r="Z285" s="259"/>
      <c r="AA285" s="259"/>
      <c r="AB285" s="259"/>
      <c r="AC285" s="259"/>
      <c r="AD285" s="259"/>
    </row>
    <row r="286" spans="17:30" x14ac:dyDescent="0.25">
      <c r="Q286" s="259"/>
      <c r="R286" s="259"/>
      <c r="S286" s="259"/>
      <c r="T286" s="259"/>
      <c r="U286" s="259"/>
      <c r="V286" s="259"/>
      <c r="W286" s="259"/>
      <c r="X286" s="259"/>
      <c r="Y286" s="259"/>
      <c r="Z286" s="259"/>
      <c r="AA286" s="259"/>
      <c r="AB286" s="259"/>
      <c r="AC286" s="259"/>
      <c r="AD286" s="259"/>
    </row>
    <row r="287" spans="17:30" x14ac:dyDescent="0.25">
      <c r="Q287" s="259"/>
      <c r="R287" s="259"/>
      <c r="S287" s="259"/>
      <c r="T287" s="259"/>
      <c r="U287" s="259"/>
      <c r="V287" s="259"/>
      <c r="W287" s="259"/>
      <c r="X287" s="259"/>
      <c r="Y287" s="259"/>
      <c r="Z287" s="259"/>
      <c r="AA287" s="259"/>
      <c r="AB287" s="259"/>
      <c r="AC287" s="259"/>
      <c r="AD287" s="259"/>
    </row>
    <row r="288" spans="17:30" x14ac:dyDescent="0.25">
      <c r="Q288" s="259"/>
      <c r="R288" s="259"/>
      <c r="S288" s="259"/>
      <c r="T288" s="259"/>
      <c r="U288" s="259"/>
      <c r="V288" s="259"/>
      <c r="W288" s="259"/>
      <c r="X288" s="259"/>
      <c r="Y288" s="259"/>
      <c r="Z288" s="259"/>
      <c r="AA288" s="259"/>
      <c r="AB288" s="259"/>
      <c r="AC288" s="259"/>
      <c r="AD288" s="259"/>
    </row>
    <row r="289" spans="17:30" x14ac:dyDescent="0.25">
      <c r="Q289" s="259"/>
      <c r="R289" s="259"/>
      <c r="S289" s="259"/>
      <c r="T289" s="259"/>
      <c r="U289" s="259"/>
      <c r="V289" s="259"/>
      <c r="W289" s="259"/>
      <c r="X289" s="259"/>
      <c r="Y289" s="259"/>
      <c r="Z289" s="259"/>
      <c r="AA289" s="259"/>
      <c r="AB289" s="259"/>
      <c r="AC289" s="259"/>
      <c r="AD289" s="259"/>
    </row>
    <row r="290" spans="17:30" x14ac:dyDescent="0.25">
      <c r="Q290" s="259"/>
      <c r="R290" s="259"/>
      <c r="S290" s="259"/>
      <c r="T290" s="259"/>
      <c r="U290" s="259"/>
      <c r="V290" s="259"/>
      <c r="W290" s="259"/>
      <c r="X290" s="259"/>
      <c r="Y290" s="259"/>
      <c r="Z290" s="259"/>
      <c r="AA290" s="259"/>
      <c r="AB290" s="259"/>
      <c r="AC290" s="259"/>
      <c r="AD290" s="259"/>
    </row>
    <row r="291" spans="17:30" x14ac:dyDescent="0.25">
      <c r="Q291" s="259"/>
      <c r="R291" s="259"/>
      <c r="S291" s="259"/>
      <c r="T291" s="259"/>
      <c r="U291" s="259"/>
      <c r="V291" s="259"/>
      <c r="W291" s="259"/>
      <c r="X291" s="259"/>
      <c r="Y291" s="259"/>
      <c r="Z291" s="259"/>
      <c r="AA291" s="259"/>
      <c r="AB291" s="259"/>
      <c r="AC291" s="259"/>
      <c r="AD291" s="259"/>
    </row>
    <row r="292" spans="17:30" x14ac:dyDescent="0.25">
      <c r="Q292" s="259"/>
      <c r="R292" s="259"/>
      <c r="S292" s="259"/>
      <c r="T292" s="259"/>
      <c r="U292" s="259"/>
      <c r="V292" s="259"/>
      <c r="W292" s="259"/>
      <c r="X292" s="259"/>
      <c r="Y292" s="259"/>
      <c r="Z292" s="259"/>
      <c r="AA292" s="259"/>
      <c r="AB292" s="259"/>
      <c r="AC292" s="259"/>
      <c r="AD292" s="259"/>
    </row>
    <row r="293" spans="17:30" x14ac:dyDescent="0.25">
      <c r="Q293" s="259"/>
      <c r="R293" s="259"/>
      <c r="S293" s="259"/>
      <c r="T293" s="259"/>
      <c r="U293" s="259"/>
      <c r="V293" s="259"/>
      <c r="W293" s="259"/>
      <c r="X293" s="259"/>
      <c r="Y293" s="259"/>
      <c r="Z293" s="259"/>
      <c r="AA293" s="259"/>
      <c r="AB293" s="259"/>
      <c r="AC293" s="259"/>
      <c r="AD293" s="259"/>
    </row>
    <row r="294" spans="17:30" x14ac:dyDescent="0.25">
      <c r="Q294" s="259"/>
      <c r="R294" s="259"/>
      <c r="S294" s="259"/>
      <c r="T294" s="259"/>
      <c r="U294" s="259"/>
      <c r="V294" s="259"/>
      <c r="W294" s="259"/>
      <c r="X294" s="259"/>
      <c r="Y294" s="259"/>
      <c r="Z294" s="259"/>
      <c r="AA294" s="259"/>
      <c r="AB294" s="259"/>
      <c r="AC294" s="259"/>
      <c r="AD294" s="259"/>
    </row>
    <row r="295" spans="17:30" x14ac:dyDescent="0.25">
      <c r="Q295" s="259"/>
      <c r="R295" s="259"/>
      <c r="S295" s="259"/>
      <c r="T295" s="259"/>
      <c r="U295" s="259"/>
      <c r="V295" s="259"/>
      <c r="W295" s="259"/>
      <c r="X295" s="259"/>
      <c r="Y295" s="259"/>
      <c r="Z295" s="259"/>
      <c r="AA295" s="259"/>
      <c r="AB295" s="259"/>
      <c r="AC295" s="259"/>
      <c r="AD295" s="259"/>
    </row>
    <row r="296" spans="17:30" x14ac:dyDescent="0.25">
      <c r="Q296" s="259"/>
      <c r="R296" s="259"/>
      <c r="S296" s="259"/>
      <c r="T296" s="259"/>
      <c r="U296" s="259"/>
      <c r="V296" s="259"/>
      <c r="W296" s="259"/>
      <c r="X296" s="259"/>
      <c r="Y296" s="259"/>
      <c r="Z296" s="259"/>
      <c r="AA296" s="259"/>
      <c r="AB296" s="259"/>
      <c r="AC296" s="259"/>
      <c r="AD296" s="259"/>
    </row>
    <row r="297" spans="17:30" x14ac:dyDescent="0.25">
      <c r="Q297" s="259"/>
      <c r="R297" s="259"/>
      <c r="S297" s="259"/>
      <c r="T297" s="259"/>
      <c r="U297" s="259"/>
      <c r="V297" s="259"/>
      <c r="W297" s="259"/>
      <c r="X297" s="259"/>
      <c r="Y297" s="259"/>
      <c r="Z297" s="259"/>
      <c r="AA297" s="259"/>
      <c r="AB297" s="259"/>
      <c r="AC297" s="259"/>
      <c r="AD297" s="259"/>
    </row>
    <row r="298" spans="17:30" x14ac:dyDescent="0.25">
      <c r="Q298" s="259"/>
      <c r="R298" s="259"/>
      <c r="S298" s="259"/>
      <c r="T298" s="259"/>
      <c r="U298" s="259"/>
      <c r="V298" s="259"/>
      <c r="W298" s="259"/>
      <c r="X298" s="259"/>
      <c r="Y298" s="259"/>
      <c r="Z298" s="259"/>
      <c r="AA298" s="259"/>
      <c r="AB298" s="259"/>
      <c r="AC298" s="259"/>
      <c r="AD298" s="259"/>
    </row>
    <row r="299" spans="17:30" x14ac:dyDescent="0.25">
      <c r="Q299" s="259"/>
      <c r="R299" s="259"/>
      <c r="S299" s="259"/>
      <c r="T299" s="259"/>
      <c r="U299" s="259"/>
      <c r="V299" s="259"/>
      <c r="W299" s="259"/>
      <c r="X299" s="259"/>
      <c r="Y299" s="259"/>
      <c r="Z299" s="259"/>
      <c r="AA299" s="259"/>
      <c r="AB299" s="259"/>
      <c r="AC299" s="259"/>
      <c r="AD299" s="259"/>
    </row>
    <row r="300" spans="17:30" x14ac:dyDescent="0.25">
      <c r="Q300" s="259"/>
      <c r="R300" s="259"/>
      <c r="S300" s="259"/>
      <c r="T300" s="259"/>
      <c r="U300" s="259"/>
      <c r="V300" s="259"/>
      <c r="W300" s="259"/>
      <c r="X300" s="259"/>
      <c r="Y300" s="259"/>
      <c r="Z300" s="259"/>
      <c r="AA300" s="259"/>
      <c r="AB300" s="259"/>
      <c r="AC300" s="259"/>
      <c r="AD300" s="259"/>
    </row>
    <row r="301" spans="17:30" x14ac:dyDescent="0.25">
      <c r="Q301" s="259"/>
      <c r="R301" s="259"/>
      <c r="S301" s="259"/>
      <c r="T301" s="259"/>
      <c r="U301" s="259"/>
      <c r="V301" s="259"/>
      <c r="W301" s="259"/>
      <c r="X301" s="259"/>
      <c r="Y301" s="259"/>
      <c r="Z301" s="259"/>
      <c r="AA301" s="259"/>
      <c r="AB301" s="259"/>
      <c r="AC301" s="259"/>
      <c r="AD301" s="259"/>
    </row>
    <row r="302" spans="17:30" x14ac:dyDescent="0.25">
      <c r="Q302" s="259"/>
      <c r="R302" s="259"/>
      <c r="S302" s="259"/>
      <c r="T302" s="259"/>
      <c r="U302" s="259"/>
      <c r="V302" s="259"/>
      <c r="W302" s="259"/>
      <c r="X302" s="259"/>
      <c r="Y302" s="259"/>
      <c r="Z302" s="259"/>
      <c r="AA302" s="259"/>
      <c r="AB302" s="259"/>
      <c r="AC302" s="259"/>
      <c r="AD302" s="259"/>
    </row>
    <row r="303" spans="17:30" x14ac:dyDescent="0.25">
      <c r="Q303" s="259"/>
      <c r="R303" s="259"/>
      <c r="S303" s="259"/>
      <c r="T303" s="259"/>
      <c r="U303" s="259"/>
      <c r="V303" s="259"/>
      <c r="W303" s="259"/>
      <c r="X303" s="259"/>
      <c r="Y303" s="259"/>
      <c r="Z303" s="259"/>
      <c r="AA303" s="259"/>
      <c r="AB303" s="259"/>
      <c r="AC303" s="259"/>
      <c r="AD303" s="259"/>
    </row>
  </sheetData>
  <mergeCells count="123">
    <mergeCell ref="A56:A57"/>
    <mergeCell ref="Q56:AD57"/>
    <mergeCell ref="B56:B57"/>
    <mergeCell ref="A50:A51"/>
    <mergeCell ref="Q50:AD51"/>
    <mergeCell ref="A52:A53"/>
    <mergeCell ref="Q52:AD53"/>
    <mergeCell ref="A54:A55"/>
    <mergeCell ref="Q54:AD55"/>
    <mergeCell ref="M9:N9"/>
    <mergeCell ref="O9:P9"/>
    <mergeCell ref="A11:B13"/>
    <mergeCell ref="C11:AD13"/>
    <mergeCell ref="A7:B9"/>
    <mergeCell ref="C7:C9"/>
    <mergeCell ref="D7:H9"/>
    <mergeCell ref="A1:A4"/>
    <mergeCell ref="B1:AA1"/>
    <mergeCell ref="AB1:AD1"/>
    <mergeCell ref="B2:AA2"/>
    <mergeCell ref="AB2:AD2"/>
    <mergeCell ref="B3:AA4"/>
    <mergeCell ref="AB3:AD3"/>
    <mergeCell ref="AB4:AD4"/>
    <mergeCell ref="I7:J9"/>
    <mergeCell ref="K7:L9"/>
    <mergeCell ref="M7:N7"/>
    <mergeCell ref="O7:P7"/>
    <mergeCell ref="M8:N8"/>
    <mergeCell ref="O8:P8"/>
    <mergeCell ref="C16:AB16"/>
    <mergeCell ref="A17:B17"/>
    <mergeCell ref="C17:Q17"/>
    <mergeCell ref="R17:V17"/>
    <mergeCell ref="W17:X17"/>
    <mergeCell ref="Y17:AB17"/>
    <mergeCell ref="A15:B15"/>
    <mergeCell ref="C15:K15"/>
    <mergeCell ref="L15:Q15"/>
    <mergeCell ref="R15:X15"/>
    <mergeCell ref="Y15:Z15"/>
    <mergeCell ref="AA15:AD15"/>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B30:C30"/>
    <mergeCell ref="Q30:AD30"/>
    <mergeCell ref="A31:AD31"/>
    <mergeCell ref="A32:A33"/>
    <mergeCell ref="B32:B33"/>
    <mergeCell ref="C32:C33"/>
    <mergeCell ref="D32:P32"/>
    <mergeCell ref="Q32:AD32"/>
    <mergeCell ref="Q33:S33"/>
    <mergeCell ref="T33:V33"/>
    <mergeCell ref="A36:A37"/>
    <mergeCell ref="B36:B37"/>
    <mergeCell ref="C36:P36"/>
    <mergeCell ref="Q36:AD36"/>
    <mergeCell ref="Q37:AD37"/>
    <mergeCell ref="A38:A39"/>
    <mergeCell ref="Q38:AD39"/>
    <mergeCell ref="B38:B39"/>
    <mergeCell ref="W33:Z33"/>
    <mergeCell ref="AA33:AD33"/>
    <mergeCell ref="A34:A35"/>
    <mergeCell ref="B34:B35"/>
    <mergeCell ref="Q34:S35"/>
    <mergeCell ref="T34:V35"/>
    <mergeCell ref="W34:Z35"/>
    <mergeCell ref="AA34:AD35"/>
    <mergeCell ref="B46:B47"/>
    <mergeCell ref="B48:B49"/>
    <mergeCell ref="B50:B51"/>
    <mergeCell ref="B52:B53"/>
    <mergeCell ref="B54:B55"/>
    <mergeCell ref="B44:B45"/>
    <mergeCell ref="A44:A45"/>
    <mergeCell ref="Q44:AD45"/>
    <mergeCell ref="A40:A41"/>
    <mergeCell ref="Q40:AD41"/>
    <mergeCell ref="A42:A43"/>
    <mergeCell ref="Q42:AD43"/>
    <mergeCell ref="B40:B41"/>
    <mergeCell ref="B42:B43"/>
    <mergeCell ref="A46:A47"/>
    <mergeCell ref="Q46:AD47"/>
    <mergeCell ref="A48:A49"/>
    <mergeCell ref="Q48:AD49"/>
    <mergeCell ref="A68:A69"/>
    <mergeCell ref="B68:B69"/>
    <mergeCell ref="A70:A71"/>
    <mergeCell ref="B70:B71"/>
    <mergeCell ref="A72:A73"/>
    <mergeCell ref="B72:B73"/>
    <mergeCell ref="A62:A63"/>
    <mergeCell ref="B62:B63"/>
    <mergeCell ref="C62:P62"/>
    <mergeCell ref="A64:A65"/>
    <mergeCell ref="B64:B65"/>
    <mergeCell ref="A66:A67"/>
    <mergeCell ref="B66:B67"/>
    <mergeCell ref="A80:A81"/>
    <mergeCell ref="B80:B81"/>
    <mergeCell ref="A82:A83"/>
    <mergeCell ref="B82:B83"/>
    <mergeCell ref="A74:A75"/>
    <mergeCell ref="B74:B75"/>
    <mergeCell ref="A76:A77"/>
    <mergeCell ref="B76:B77"/>
    <mergeCell ref="A78:A79"/>
    <mergeCell ref="B78:B79"/>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Q34 W34 Q38:AD57" xr:uid="{00000000-0002-0000-0200-000002000000}">
      <formula1>2000</formula1>
    </dataValidation>
  </dataValidations>
  <pageMargins left="0.25" right="0.25" top="1" bottom="1" header="0.3" footer="0.3"/>
  <pageSetup paperSize="9" scale="2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303"/>
  <sheetViews>
    <sheetView showGridLines="0" topLeftCell="J31" zoomScale="60" zoomScaleNormal="60" workbookViewId="0">
      <selection activeCell="Q38" sqref="K38:AD39"/>
    </sheetView>
  </sheetViews>
  <sheetFormatPr baseColWidth="10" defaultColWidth="10.7109375" defaultRowHeight="15" x14ac:dyDescent="0.25"/>
  <cols>
    <col min="1" max="1" width="38.42578125" style="50" customWidth="1"/>
    <col min="2" max="2" width="15.42578125" style="50" customWidth="1"/>
    <col min="3" max="3" width="20.7109375" style="50" customWidth="1"/>
    <col min="4" max="4" width="28" style="50" customWidth="1"/>
    <col min="5"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71093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3" ht="32.25" customHeight="1" thickBot="1" x14ac:dyDescent="0.3">
      <c r="A1" s="351"/>
      <c r="B1" s="354" t="s">
        <v>0</v>
      </c>
      <c r="C1" s="355"/>
      <c r="D1" s="355"/>
      <c r="E1" s="355"/>
      <c r="F1" s="355"/>
      <c r="G1" s="355"/>
      <c r="H1" s="355"/>
      <c r="I1" s="355"/>
      <c r="J1" s="355"/>
      <c r="K1" s="355"/>
      <c r="L1" s="355"/>
      <c r="M1" s="355"/>
      <c r="N1" s="355"/>
      <c r="O1" s="355"/>
      <c r="P1" s="355"/>
      <c r="Q1" s="355"/>
      <c r="R1" s="355"/>
      <c r="S1" s="355"/>
      <c r="T1" s="355"/>
      <c r="U1" s="355"/>
      <c r="V1" s="355"/>
      <c r="W1" s="355"/>
      <c r="X1" s="355"/>
      <c r="Y1" s="355"/>
      <c r="Z1" s="355"/>
      <c r="AA1" s="356"/>
      <c r="AB1" s="357" t="s">
        <v>1</v>
      </c>
      <c r="AC1" s="358"/>
      <c r="AD1" s="359"/>
    </row>
    <row r="2" spans="1:33" ht="30.75" customHeight="1" thickBot="1" x14ac:dyDescent="0.3">
      <c r="A2" s="352"/>
      <c r="B2" s="354" t="s">
        <v>2</v>
      </c>
      <c r="C2" s="355"/>
      <c r="D2" s="355"/>
      <c r="E2" s="355"/>
      <c r="F2" s="355"/>
      <c r="G2" s="355"/>
      <c r="H2" s="355"/>
      <c r="I2" s="355"/>
      <c r="J2" s="355"/>
      <c r="K2" s="355"/>
      <c r="L2" s="355"/>
      <c r="M2" s="355"/>
      <c r="N2" s="355"/>
      <c r="O2" s="355"/>
      <c r="P2" s="355"/>
      <c r="Q2" s="355"/>
      <c r="R2" s="355"/>
      <c r="S2" s="355"/>
      <c r="T2" s="355"/>
      <c r="U2" s="355"/>
      <c r="V2" s="355"/>
      <c r="W2" s="355"/>
      <c r="X2" s="355"/>
      <c r="Y2" s="355"/>
      <c r="Z2" s="355"/>
      <c r="AA2" s="356"/>
      <c r="AB2" s="360" t="s">
        <v>3</v>
      </c>
      <c r="AC2" s="361"/>
      <c r="AD2" s="362"/>
    </row>
    <row r="3" spans="1:33" ht="24" customHeight="1" x14ac:dyDescent="0.25">
      <c r="A3" s="352"/>
      <c r="B3" s="535" t="s">
        <v>4</v>
      </c>
      <c r="C3" s="406"/>
      <c r="D3" s="406"/>
      <c r="E3" s="406"/>
      <c r="F3" s="406"/>
      <c r="G3" s="406"/>
      <c r="H3" s="406"/>
      <c r="I3" s="406"/>
      <c r="J3" s="406"/>
      <c r="K3" s="406"/>
      <c r="L3" s="406"/>
      <c r="M3" s="406"/>
      <c r="N3" s="406"/>
      <c r="O3" s="406"/>
      <c r="P3" s="406"/>
      <c r="Q3" s="406"/>
      <c r="R3" s="406"/>
      <c r="S3" s="406"/>
      <c r="T3" s="406"/>
      <c r="U3" s="406"/>
      <c r="V3" s="406"/>
      <c r="W3" s="406"/>
      <c r="X3" s="406"/>
      <c r="Y3" s="406"/>
      <c r="Z3" s="406"/>
      <c r="AA3" s="407"/>
      <c r="AB3" s="360" t="s">
        <v>5</v>
      </c>
      <c r="AC3" s="361"/>
      <c r="AD3" s="362"/>
    </row>
    <row r="4" spans="1:33" ht="21.75" customHeight="1" thickBot="1" x14ac:dyDescent="0.3">
      <c r="A4" s="353"/>
      <c r="B4" s="670"/>
      <c r="C4" s="671"/>
      <c r="D4" s="671"/>
      <c r="E4" s="671"/>
      <c r="F4" s="671"/>
      <c r="G4" s="671"/>
      <c r="H4" s="671"/>
      <c r="I4" s="671"/>
      <c r="J4" s="671"/>
      <c r="K4" s="671"/>
      <c r="L4" s="671"/>
      <c r="M4" s="671"/>
      <c r="N4" s="671"/>
      <c r="O4" s="671"/>
      <c r="P4" s="671"/>
      <c r="Q4" s="671"/>
      <c r="R4" s="671"/>
      <c r="S4" s="671"/>
      <c r="T4" s="671"/>
      <c r="U4" s="671"/>
      <c r="V4" s="671"/>
      <c r="W4" s="671"/>
      <c r="X4" s="671"/>
      <c r="Y4" s="671"/>
      <c r="Z4" s="671"/>
      <c r="AA4" s="672"/>
      <c r="AB4" s="372" t="s">
        <v>6</v>
      </c>
      <c r="AC4" s="373"/>
      <c r="AD4" s="374"/>
    </row>
    <row r="5" spans="1:33" ht="9" customHeight="1" thickBot="1" x14ac:dyDescent="0.3">
      <c r="A5" s="51"/>
      <c r="B5" s="170"/>
      <c r="C5" s="17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3"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3" x14ac:dyDescent="0.25">
      <c r="A7" s="375" t="s">
        <v>7</v>
      </c>
      <c r="B7" s="376"/>
      <c r="C7" s="417" t="s">
        <v>32</v>
      </c>
      <c r="D7" s="381" t="s">
        <v>9</v>
      </c>
      <c r="E7" s="382"/>
      <c r="F7" s="382"/>
      <c r="G7" s="382"/>
      <c r="H7" s="383"/>
      <c r="I7" s="390">
        <v>45083</v>
      </c>
      <c r="J7" s="391"/>
      <c r="K7" s="381" t="s">
        <v>10</v>
      </c>
      <c r="L7" s="383"/>
      <c r="M7" s="415" t="s">
        <v>11</v>
      </c>
      <c r="N7" s="416"/>
      <c r="O7" s="673"/>
      <c r="P7" s="674"/>
      <c r="Q7" s="255"/>
      <c r="R7" s="255"/>
      <c r="S7" s="255"/>
      <c r="T7" s="255"/>
      <c r="U7" s="255"/>
      <c r="V7" s="255"/>
      <c r="W7" s="255"/>
      <c r="X7" s="255"/>
      <c r="Y7" s="255"/>
      <c r="Z7" s="256"/>
      <c r="AA7" s="255"/>
      <c r="AB7" s="255"/>
      <c r="AC7" s="257"/>
      <c r="AD7" s="258"/>
      <c r="AE7" s="259"/>
      <c r="AF7" s="259"/>
      <c r="AG7" s="259"/>
    </row>
    <row r="8" spans="1:33" x14ac:dyDescent="0.25">
      <c r="A8" s="377"/>
      <c r="B8" s="378"/>
      <c r="C8" s="418"/>
      <c r="D8" s="384"/>
      <c r="E8" s="385"/>
      <c r="F8" s="385"/>
      <c r="G8" s="385"/>
      <c r="H8" s="386"/>
      <c r="I8" s="392"/>
      <c r="J8" s="393"/>
      <c r="K8" s="384"/>
      <c r="L8" s="386"/>
      <c r="M8" s="398" t="s">
        <v>12</v>
      </c>
      <c r="N8" s="399"/>
      <c r="O8" s="413"/>
      <c r="P8" s="414"/>
      <c r="Q8" s="255"/>
      <c r="R8" s="255"/>
      <c r="S8" s="255"/>
      <c r="T8" s="255"/>
      <c r="U8" s="255"/>
      <c r="V8" s="255"/>
      <c r="W8" s="255"/>
      <c r="X8" s="255"/>
      <c r="Y8" s="255"/>
      <c r="Z8" s="256"/>
      <c r="AA8" s="255"/>
      <c r="AB8" s="255"/>
      <c r="AC8" s="257"/>
      <c r="AD8" s="258"/>
      <c r="AE8" s="259"/>
      <c r="AF8" s="259"/>
      <c r="AG8" s="259"/>
    </row>
    <row r="9" spans="1:33" ht="15.75" thickBot="1" x14ac:dyDescent="0.3">
      <c r="A9" s="379"/>
      <c r="B9" s="380"/>
      <c r="C9" s="419"/>
      <c r="D9" s="387"/>
      <c r="E9" s="388"/>
      <c r="F9" s="388"/>
      <c r="G9" s="388"/>
      <c r="H9" s="389"/>
      <c r="I9" s="394"/>
      <c r="J9" s="395"/>
      <c r="K9" s="387"/>
      <c r="L9" s="389"/>
      <c r="M9" s="430" t="s">
        <v>13</v>
      </c>
      <c r="N9" s="431"/>
      <c r="O9" s="432" t="s">
        <v>14</v>
      </c>
      <c r="P9" s="433"/>
      <c r="Q9" s="255"/>
      <c r="R9" s="255"/>
      <c r="S9" s="255"/>
      <c r="T9" s="255"/>
      <c r="U9" s="255"/>
      <c r="V9" s="255"/>
      <c r="W9" s="255"/>
      <c r="X9" s="255"/>
      <c r="Y9" s="255"/>
      <c r="Z9" s="256"/>
      <c r="AA9" s="255"/>
      <c r="AB9" s="255"/>
      <c r="AC9" s="257"/>
      <c r="AD9" s="258"/>
      <c r="AE9" s="259"/>
      <c r="AF9" s="259"/>
      <c r="AG9" s="259"/>
    </row>
    <row r="10" spans="1:33" ht="15" customHeight="1" thickBot="1" x14ac:dyDescent="0.3">
      <c r="A10" s="146"/>
      <c r="B10" s="147"/>
      <c r="C10" s="147"/>
      <c r="D10" s="65"/>
      <c r="E10" s="65"/>
      <c r="F10" s="65"/>
      <c r="G10" s="65"/>
      <c r="H10" s="65"/>
      <c r="I10" s="143"/>
      <c r="J10" s="143"/>
      <c r="K10" s="65"/>
      <c r="L10" s="65"/>
      <c r="M10" s="144"/>
      <c r="N10" s="144"/>
      <c r="O10" s="145"/>
      <c r="P10" s="145"/>
      <c r="Q10" s="147"/>
      <c r="R10" s="147"/>
      <c r="S10" s="147"/>
      <c r="T10" s="147"/>
      <c r="U10" s="147"/>
      <c r="V10" s="147"/>
      <c r="W10" s="147"/>
      <c r="X10" s="147"/>
      <c r="Y10" s="147"/>
      <c r="Z10" s="148"/>
      <c r="AA10" s="147"/>
      <c r="AB10" s="147"/>
      <c r="AC10" s="149"/>
      <c r="AD10" s="150"/>
    </row>
    <row r="11" spans="1:33" ht="15" customHeight="1" x14ac:dyDescent="0.25">
      <c r="A11" s="375" t="s">
        <v>15</v>
      </c>
      <c r="B11" s="376"/>
      <c r="C11" s="434" t="s">
        <v>16</v>
      </c>
      <c r="D11" s="435"/>
      <c r="E11" s="435"/>
      <c r="F11" s="435"/>
      <c r="G11" s="435"/>
      <c r="H11" s="435"/>
      <c r="I11" s="435"/>
      <c r="J11" s="435"/>
      <c r="K11" s="435"/>
      <c r="L11" s="435"/>
      <c r="M11" s="435"/>
      <c r="N11" s="435"/>
      <c r="O11" s="435"/>
      <c r="P11" s="435"/>
      <c r="Q11" s="435"/>
      <c r="R11" s="435"/>
      <c r="S11" s="435"/>
      <c r="T11" s="435"/>
      <c r="U11" s="435"/>
      <c r="V11" s="435"/>
      <c r="W11" s="435"/>
      <c r="X11" s="435"/>
      <c r="Y11" s="435"/>
      <c r="Z11" s="435"/>
      <c r="AA11" s="435"/>
      <c r="AB11" s="435"/>
      <c r="AC11" s="435"/>
      <c r="AD11" s="436"/>
    </row>
    <row r="12" spans="1:33" ht="15" customHeight="1" x14ac:dyDescent="0.25">
      <c r="A12" s="377"/>
      <c r="B12" s="378"/>
      <c r="C12" s="437"/>
      <c r="D12" s="438"/>
      <c r="E12" s="438"/>
      <c r="F12" s="438"/>
      <c r="G12" s="438"/>
      <c r="H12" s="438"/>
      <c r="I12" s="438"/>
      <c r="J12" s="438"/>
      <c r="K12" s="438"/>
      <c r="L12" s="438"/>
      <c r="M12" s="438"/>
      <c r="N12" s="438"/>
      <c r="O12" s="438"/>
      <c r="P12" s="438"/>
      <c r="Q12" s="438"/>
      <c r="R12" s="438"/>
      <c r="S12" s="438"/>
      <c r="T12" s="438"/>
      <c r="U12" s="438"/>
      <c r="V12" s="438"/>
      <c r="W12" s="438"/>
      <c r="X12" s="438"/>
      <c r="Y12" s="438"/>
      <c r="Z12" s="438"/>
      <c r="AA12" s="438"/>
      <c r="AB12" s="438"/>
      <c r="AC12" s="438"/>
      <c r="AD12" s="439"/>
    </row>
    <row r="13" spans="1:33" ht="15" customHeight="1" thickBot="1" x14ac:dyDescent="0.3">
      <c r="A13" s="379"/>
      <c r="B13" s="380"/>
      <c r="C13" s="440"/>
      <c r="D13" s="441"/>
      <c r="E13" s="441"/>
      <c r="F13" s="441"/>
      <c r="G13" s="441"/>
      <c r="H13" s="441"/>
      <c r="I13" s="441"/>
      <c r="J13" s="441"/>
      <c r="K13" s="441"/>
      <c r="L13" s="441"/>
      <c r="M13" s="441"/>
      <c r="N13" s="441"/>
      <c r="O13" s="441"/>
      <c r="P13" s="441"/>
      <c r="Q13" s="441"/>
      <c r="R13" s="441"/>
      <c r="S13" s="441"/>
      <c r="T13" s="441"/>
      <c r="U13" s="441"/>
      <c r="V13" s="441"/>
      <c r="W13" s="441"/>
      <c r="X13" s="441"/>
      <c r="Y13" s="441"/>
      <c r="Z13" s="441"/>
      <c r="AA13" s="441"/>
      <c r="AB13" s="441"/>
      <c r="AC13" s="441"/>
      <c r="AD13" s="442"/>
    </row>
    <row r="14" spans="1:3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3" ht="50.25" customHeight="1" thickBot="1" x14ac:dyDescent="0.3">
      <c r="A15" s="428" t="s">
        <v>17</v>
      </c>
      <c r="B15" s="429"/>
      <c r="C15" s="363" t="s">
        <v>18</v>
      </c>
      <c r="D15" s="364"/>
      <c r="E15" s="364"/>
      <c r="F15" s="364"/>
      <c r="G15" s="364"/>
      <c r="H15" s="364"/>
      <c r="I15" s="364"/>
      <c r="J15" s="364"/>
      <c r="K15" s="365"/>
      <c r="L15" s="423" t="s">
        <v>19</v>
      </c>
      <c r="M15" s="427"/>
      <c r="N15" s="427"/>
      <c r="O15" s="427"/>
      <c r="P15" s="427"/>
      <c r="Q15" s="424"/>
      <c r="R15" s="420" t="s">
        <v>20</v>
      </c>
      <c r="S15" s="421"/>
      <c r="T15" s="421"/>
      <c r="U15" s="421"/>
      <c r="V15" s="421"/>
      <c r="W15" s="421"/>
      <c r="X15" s="422"/>
      <c r="Y15" s="423" t="s">
        <v>21</v>
      </c>
      <c r="Z15" s="424"/>
      <c r="AA15" s="456" t="s">
        <v>597</v>
      </c>
      <c r="AB15" s="457"/>
      <c r="AC15" s="457"/>
      <c r="AD15" s="458"/>
    </row>
    <row r="16" spans="1:33" ht="9" customHeight="1" thickBot="1" x14ac:dyDescent="0.3">
      <c r="A16" s="59"/>
      <c r="B16" s="54"/>
      <c r="C16" s="471"/>
      <c r="D16" s="471"/>
      <c r="E16" s="471"/>
      <c r="F16" s="471"/>
      <c r="G16" s="471"/>
      <c r="H16" s="471"/>
      <c r="I16" s="471"/>
      <c r="J16" s="471"/>
      <c r="K16" s="471"/>
      <c r="L16" s="471"/>
      <c r="M16" s="471"/>
      <c r="N16" s="471"/>
      <c r="O16" s="471"/>
      <c r="P16" s="471"/>
      <c r="Q16" s="471"/>
      <c r="R16" s="471"/>
      <c r="S16" s="471"/>
      <c r="T16" s="471"/>
      <c r="U16" s="471"/>
      <c r="V16" s="471"/>
      <c r="W16" s="471"/>
      <c r="X16" s="471"/>
      <c r="Y16" s="471"/>
      <c r="Z16" s="471"/>
      <c r="AA16" s="471"/>
      <c r="AB16" s="471"/>
      <c r="AC16" s="73"/>
      <c r="AD16" s="74"/>
    </row>
    <row r="17" spans="1:41" s="76" customFormat="1" ht="37.5" customHeight="1" thickBot="1" x14ac:dyDescent="0.3">
      <c r="A17" s="428" t="s">
        <v>22</v>
      </c>
      <c r="B17" s="429"/>
      <c r="C17" s="667" t="s">
        <v>120</v>
      </c>
      <c r="D17" s="668"/>
      <c r="E17" s="668"/>
      <c r="F17" s="668"/>
      <c r="G17" s="668"/>
      <c r="H17" s="668"/>
      <c r="I17" s="668"/>
      <c r="J17" s="668"/>
      <c r="K17" s="668"/>
      <c r="L17" s="668"/>
      <c r="M17" s="668"/>
      <c r="N17" s="668"/>
      <c r="O17" s="668"/>
      <c r="P17" s="668"/>
      <c r="Q17" s="669"/>
      <c r="R17" s="423" t="s">
        <v>24</v>
      </c>
      <c r="S17" s="427"/>
      <c r="T17" s="427"/>
      <c r="U17" s="427"/>
      <c r="V17" s="424"/>
      <c r="W17" s="716">
        <v>1</v>
      </c>
      <c r="X17" s="717"/>
      <c r="Y17" s="427" t="s">
        <v>25</v>
      </c>
      <c r="Z17" s="427"/>
      <c r="AA17" s="427"/>
      <c r="AB17" s="424"/>
      <c r="AC17" s="469">
        <v>0.32</v>
      </c>
      <c r="AD17" s="470"/>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23" t="s">
        <v>26</v>
      </c>
      <c r="B19" s="427"/>
      <c r="C19" s="427"/>
      <c r="D19" s="427"/>
      <c r="E19" s="427"/>
      <c r="F19" s="427"/>
      <c r="G19" s="427"/>
      <c r="H19" s="427"/>
      <c r="I19" s="427"/>
      <c r="J19" s="427"/>
      <c r="K19" s="427"/>
      <c r="L19" s="427"/>
      <c r="M19" s="427"/>
      <c r="N19" s="427"/>
      <c r="O19" s="427"/>
      <c r="P19" s="427"/>
      <c r="Q19" s="427"/>
      <c r="R19" s="427"/>
      <c r="S19" s="427"/>
      <c r="T19" s="427"/>
      <c r="U19" s="427"/>
      <c r="V19" s="427"/>
      <c r="W19" s="427"/>
      <c r="X19" s="427"/>
      <c r="Y19" s="427"/>
      <c r="Z19" s="427"/>
      <c r="AA19" s="427"/>
      <c r="AB19" s="427"/>
      <c r="AC19" s="427"/>
      <c r="AD19" s="424"/>
      <c r="AE19" s="83"/>
      <c r="AF19" s="83"/>
    </row>
    <row r="20" spans="1:41" ht="32.1" customHeight="1" thickBot="1" x14ac:dyDescent="0.3">
      <c r="A20" s="82"/>
      <c r="B20" s="60"/>
      <c r="C20" s="447" t="s">
        <v>27</v>
      </c>
      <c r="D20" s="448"/>
      <c r="E20" s="448"/>
      <c r="F20" s="448"/>
      <c r="G20" s="448"/>
      <c r="H20" s="448"/>
      <c r="I20" s="448"/>
      <c r="J20" s="448"/>
      <c r="K20" s="448"/>
      <c r="L20" s="448"/>
      <c r="M20" s="448"/>
      <c r="N20" s="448"/>
      <c r="O20" s="448"/>
      <c r="P20" s="449"/>
      <c r="Q20" s="444" t="s">
        <v>28</v>
      </c>
      <c r="R20" s="445"/>
      <c r="S20" s="445"/>
      <c r="T20" s="445"/>
      <c r="U20" s="445"/>
      <c r="V20" s="445"/>
      <c r="W20" s="445"/>
      <c r="X20" s="445"/>
      <c r="Y20" s="445"/>
      <c r="Z20" s="445"/>
      <c r="AA20" s="445"/>
      <c r="AB20" s="445"/>
      <c r="AC20" s="445"/>
      <c r="AD20" s="446"/>
      <c r="AE20" s="83"/>
      <c r="AF20" s="83"/>
    </row>
    <row r="21" spans="1:41" ht="32.1" customHeight="1" thickBot="1" x14ac:dyDescent="0.3">
      <c r="A21" s="59"/>
      <c r="B21" s="54"/>
      <c r="C21" s="167" t="s">
        <v>29</v>
      </c>
      <c r="D21" s="168" t="s">
        <v>30</v>
      </c>
      <c r="E21" s="168" t="s">
        <v>31</v>
      </c>
      <c r="F21" s="168" t="s">
        <v>8</v>
      </c>
      <c r="G21" s="168" t="s">
        <v>32</v>
      </c>
      <c r="H21" s="168" t="s">
        <v>33</v>
      </c>
      <c r="I21" s="168" t="s">
        <v>34</v>
      </c>
      <c r="J21" s="168" t="s">
        <v>35</v>
      </c>
      <c r="K21" s="168" t="s">
        <v>36</v>
      </c>
      <c r="L21" s="168" t="s">
        <v>37</v>
      </c>
      <c r="M21" s="168" t="s">
        <v>38</v>
      </c>
      <c r="N21" s="168" t="s">
        <v>39</v>
      </c>
      <c r="O21" s="168" t="s">
        <v>40</v>
      </c>
      <c r="P21" s="169" t="s">
        <v>41</v>
      </c>
      <c r="Q21" s="167" t="s">
        <v>29</v>
      </c>
      <c r="R21" s="168" t="s">
        <v>30</v>
      </c>
      <c r="S21" s="168" t="s">
        <v>31</v>
      </c>
      <c r="T21" s="168" t="s">
        <v>8</v>
      </c>
      <c r="U21" s="168" t="s">
        <v>32</v>
      </c>
      <c r="V21" s="168" t="s">
        <v>33</v>
      </c>
      <c r="W21" s="168" t="s">
        <v>34</v>
      </c>
      <c r="X21" s="168" t="s">
        <v>35</v>
      </c>
      <c r="Y21" s="168" t="s">
        <v>36</v>
      </c>
      <c r="Z21" s="168" t="s">
        <v>37</v>
      </c>
      <c r="AA21" s="168" t="s">
        <v>38</v>
      </c>
      <c r="AB21" s="168" t="s">
        <v>39</v>
      </c>
      <c r="AC21" s="168" t="s">
        <v>40</v>
      </c>
      <c r="AD21" s="169" t="s">
        <v>41</v>
      </c>
      <c r="AE21" s="3"/>
      <c r="AF21" s="3"/>
    </row>
    <row r="22" spans="1:41" ht="32.1" customHeight="1" x14ac:dyDescent="0.25">
      <c r="A22" s="408" t="s">
        <v>42</v>
      </c>
      <c r="B22" s="468"/>
      <c r="C22" s="157"/>
      <c r="D22" s="155"/>
      <c r="E22" s="155"/>
      <c r="F22" s="155"/>
      <c r="G22" s="155"/>
      <c r="H22" s="155"/>
      <c r="I22" s="155"/>
      <c r="J22" s="155"/>
      <c r="K22" s="155"/>
      <c r="L22" s="155"/>
      <c r="M22" s="155"/>
      <c r="N22" s="155"/>
      <c r="O22" s="155">
        <f>SUM(C22:N22)</f>
        <v>0</v>
      </c>
      <c r="P22" s="158"/>
      <c r="Q22" s="178">
        <v>1427180577</v>
      </c>
      <c r="R22" s="179">
        <v>58442660</v>
      </c>
      <c r="S22" s="179">
        <v>52574895</v>
      </c>
      <c r="T22" s="179">
        <v>74667412</v>
      </c>
      <c r="U22" s="179">
        <v>0</v>
      </c>
      <c r="V22" s="179">
        <v>813750</v>
      </c>
      <c r="W22" s="179">
        <v>0</v>
      </c>
      <c r="X22" s="179">
        <v>2700000</v>
      </c>
      <c r="Y22" s="179">
        <v>0</v>
      </c>
      <c r="Z22" s="179">
        <v>28362495</v>
      </c>
      <c r="AA22" s="179">
        <v>0</v>
      </c>
      <c r="AB22" s="179">
        <v>0</v>
      </c>
      <c r="AC22" s="155">
        <f>SUM(Q22:AB22)</f>
        <v>1644741789</v>
      </c>
      <c r="AD22" s="161"/>
      <c r="AE22" s="3"/>
      <c r="AF22" s="3"/>
    </row>
    <row r="23" spans="1:41" ht="32.1" customHeight="1" x14ac:dyDescent="0.25">
      <c r="A23" s="409" t="s">
        <v>43</v>
      </c>
      <c r="B23" s="443"/>
      <c r="C23" s="152"/>
      <c r="D23" s="151"/>
      <c r="E23" s="151"/>
      <c r="F23" s="151"/>
      <c r="G23" s="151"/>
      <c r="H23" s="151"/>
      <c r="I23" s="151"/>
      <c r="J23" s="151"/>
      <c r="K23" s="151"/>
      <c r="L23" s="151"/>
      <c r="M23" s="151"/>
      <c r="N23" s="151"/>
      <c r="O23" s="151">
        <f>SUM(C23:N23)</f>
        <v>0</v>
      </c>
      <c r="P23" s="162" t="str">
        <f>IFERROR(O23/(SUMIF(C23:N23,"&gt;0",C22:N22))," ")</f>
        <v xml:space="preserve"> </v>
      </c>
      <c r="Q23" s="270">
        <v>876050391</v>
      </c>
      <c r="R23" s="177">
        <f>1234409287-Q23</f>
        <v>358358896</v>
      </c>
      <c r="S23" s="177">
        <f>1390423801-Q23-R23</f>
        <v>156014514</v>
      </c>
      <c r="T23" s="177">
        <f>1373182847-Q23-R23-S23</f>
        <v>-17240954</v>
      </c>
      <c r="U23" s="177">
        <f>1434686942-Q23-R23-S23-T23</f>
        <v>61504095</v>
      </c>
      <c r="V23" s="177"/>
      <c r="W23" s="177"/>
      <c r="X23" s="177"/>
      <c r="Y23" s="177"/>
      <c r="Z23" s="177"/>
      <c r="AA23" s="177"/>
      <c r="AB23" s="177"/>
      <c r="AC23" s="218">
        <f>SUM(Q23:AB23)</f>
        <v>1434686942</v>
      </c>
      <c r="AD23" s="160">
        <f>AC23/AC22</f>
        <v>0.87228703714781097</v>
      </c>
      <c r="AE23" s="3"/>
      <c r="AF23" s="3"/>
    </row>
    <row r="24" spans="1:41" ht="32.1" customHeight="1" x14ac:dyDescent="0.25">
      <c r="A24" s="409" t="s">
        <v>44</v>
      </c>
      <c r="B24" s="443"/>
      <c r="C24" s="152"/>
      <c r="D24" s="151">
        <f>36314785+5265896</f>
        <v>41580681</v>
      </c>
      <c r="E24" s="151">
        <v>5691209</v>
      </c>
      <c r="F24" s="151">
        <f>8489602-2</f>
        <v>8489600</v>
      </c>
      <c r="G24" s="218">
        <f>-5321667</f>
        <v>-5321667</v>
      </c>
      <c r="H24" s="151"/>
      <c r="I24" s="151"/>
      <c r="J24" s="151"/>
      <c r="K24" s="151"/>
      <c r="L24" s="151"/>
      <c r="M24" s="151"/>
      <c r="N24" s="151"/>
      <c r="O24" s="177">
        <f>SUM(C24:N24)</f>
        <v>50439823</v>
      </c>
      <c r="P24" s="156"/>
      <c r="Q24" s="176">
        <f>72500+120000+125000+489716</f>
        <v>807216</v>
      </c>
      <c r="R24" s="177">
        <f>1850000+22418000+10300000+620000+14000000+4800000+72000+1161250+80000+250000+2332686+5677247</f>
        <v>63561183</v>
      </c>
      <c r="S24" s="180">
        <v>142387531.966667</v>
      </c>
      <c r="T24" s="180">
        <v>139532033.616667</v>
      </c>
      <c r="U24" s="180">
        <v>131653057.366667</v>
      </c>
      <c r="V24" s="180">
        <v>139532032.366667</v>
      </c>
      <c r="W24" s="181">
        <v>142482865.366667</v>
      </c>
      <c r="X24" s="181">
        <f>142032032.366667+34106344</f>
        <v>176138376.366667</v>
      </c>
      <c r="Y24" s="181">
        <v>140116455.366667</v>
      </c>
      <c r="Z24" s="181">
        <v>139532032.366667</v>
      </c>
      <c r="AA24" s="181">
        <v>139970865.366667</v>
      </c>
      <c r="AB24" s="181">
        <f>259845889.946667+29182250</f>
        <v>289028139.94666696</v>
      </c>
      <c r="AC24" s="151">
        <f>SUM(Q24:AB24)</f>
        <v>1644741789.0966702</v>
      </c>
      <c r="AD24" s="160"/>
      <c r="AE24" s="3"/>
      <c r="AF24" s="3"/>
    </row>
    <row r="25" spans="1:41" ht="32.1" customHeight="1" thickBot="1" x14ac:dyDescent="0.3">
      <c r="A25" s="454" t="s">
        <v>45</v>
      </c>
      <c r="B25" s="455"/>
      <c r="C25" s="153">
        <f>19805344</f>
        <v>19805344</v>
      </c>
      <c r="D25" s="154">
        <f>32731361-C25</f>
        <v>12926017</v>
      </c>
      <c r="E25" s="154">
        <f>37397847-C25-D25</f>
        <v>4666486</v>
      </c>
      <c r="F25" s="154">
        <f>37664400-C25-D25-E25</f>
        <v>266553</v>
      </c>
      <c r="G25" s="154">
        <f>41396914-C25-D25-E25-F25</f>
        <v>3732514</v>
      </c>
      <c r="H25" s="154"/>
      <c r="I25" s="154"/>
      <c r="J25" s="154"/>
      <c r="K25" s="154"/>
      <c r="L25" s="154"/>
      <c r="M25" s="154"/>
      <c r="N25" s="154"/>
      <c r="O25" s="183">
        <f>SUM(C25:N25)</f>
        <v>41396914</v>
      </c>
      <c r="P25" s="159">
        <f>IFERROR(O25/(SUMIF(C25:N25,"&gt;0",C24:N24))," ")</f>
        <v>0.82071885938219891</v>
      </c>
      <c r="Q25" s="182">
        <f>575520</f>
        <v>575520</v>
      </c>
      <c r="R25" s="183">
        <f>52596949-Q25</f>
        <v>52021429</v>
      </c>
      <c r="S25" s="183">
        <f>151056444-Q25-R25</f>
        <v>98459495</v>
      </c>
      <c r="T25" s="183">
        <f>269839460-Q25-R25-S25</f>
        <v>118783016</v>
      </c>
      <c r="U25" s="183">
        <f>406304791-Q25-R25-S25-T25</f>
        <v>136465331</v>
      </c>
      <c r="V25" s="183"/>
      <c r="W25" s="183"/>
      <c r="X25" s="183"/>
      <c r="Y25" s="183"/>
      <c r="Z25" s="183"/>
      <c r="AA25" s="183"/>
      <c r="AB25" s="183"/>
      <c r="AC25" s="154">
        <f>SUM(Q25:AB25)</f>
        <v>406304791</v>
      </c>
      <c r="AD25" s="276">
        <f>AC25/AC24</f>
        <v>0.24703256991065564</v>
      </c>
      <c r="AE25" s="3"/>
      <c r="AF25" s="3"/>
    </row>
    <row r="26" spans="1:41" ht="32.1" customHeight="1" thickBot="1" x14ac:dyDescent="0.3">
      <c r="A26" s="59"/>
      <c r="B26" s="54"/>
      <c r="C26" s="80"/>
      <c r="D26" s="80"/>
      <c r="E26" s="80"/>
      <c r="F26" s="80"/>
      <c r="G26" s="80"/>
      <c r="H26" s="80"/>
      <c r="I26" s="80"/>
      <c r="J26" s="80"/>
      <c r="K26" s="80"/>
      <c r="L26" s="80"/>
      <c r="M26" s="80"/>
      <c r="N26" s="222"/>
      <c r="O26" s="80"/>
      <c r="P26" s="80"/>
      <c r="Q26" s="80"/>
      <c r="R26" s="80"/>
      <c r="S26" s="80"/>
      <c r="T26" s="80"/>
      <c r="U26" s="80"/>
      <c r="V26" s="80"/>
      <c r="W26" s="80"/>
      <c r="X26" s="80"/>
      <c r="Y26" s="80"/>
      <c r="Z26" s="80"/>
      <c r="AA26" s="80"/>
      <c r="AB26" s="80"/>
      <c r="AC26" s="60"/>
      <c r="AD26" s="150"/>
    </row>
    <row r="27" spans="1:41" ht="33.75" customHeight="1" x14ac:dyDescent="0.25">
      <c r="A27" s="450" t="s">
        <v>46</v>
      </c>
      <c r="B27" s="451"/>
      <c r="C27" s="452"/>
      <c r="D27" s="452"/>
      <c r="E27" s="452"/>
      <c r="F27" s="452"/>
      <c r="G27" s="452"/>
      <c r="H27" s="452"/>
      <c r="I27" s="452"/>
      <c r="J27" s="452"/>
      <c r="K27" s="452"/>
      <c r="L27" s="452"/>
      <c r="M27" s="452"/>
      <c r="N27" s="452"/>
      <c r="O27" s="452"/>
      <c r="P27" s="452"/>
      <c r="Q27" s="452"/>
      <c r="R27" s="452"/>
      <c r="S27" s="452"/>
      <c r="T27" s="452"/>
      <c r="U27" s="452"/>
      <c r="V27" s="452"/>
      <c r="W27" s="452"/>
      <c r="X27" s="452"/>
      <c r="Y27" s="452"/>
      <c r="Z27" s="452"/>
      <c r="AA27" s="452"/>
      <c r="AB27" s="452"/>
      <c r="AC27" s="452"/>
      <c r="AD27" s="453"/>
    </row>
    <row r="28" spans="1:41" ht="15" customHeight="1" x14ac:dyDescent="0.25">
      <c r="A28" s="459" t="s">
        <v>47</v>
      </c>
      <c r="B28" s="461" t="s">
        <v>48</v>
      </c>
      <c r="C28" s="462"/>
      <c r="D28" s="443" t="s">
        <v>49</v>
      </c>
      <c r="E28" s="465"/>
      <c r="F28" s="465"/>
      <c r="G28" s="465"/>
      <c r="H28" s="465"/>
      <c r="I28" s="465"/>
      <c r="J28" s="465"/>
      <c r="K28" s="465"/>
      <c r="L28" s="465"/>
      <c r="M28" s="465"/>
      <c r="N28" s="465"/>
      <c r="O28" s="466"/>
      <c r="P28" s="411" t="s">
        <v>40</v>
      </c>
      <c r="Q28" s="411" t="s">
        <v>50</v>
      </c>
      <c r="R28" s="411"/>
      <c r="S28" s="411"/>
      <c r="T28" s="411"/>
      <c r="U28" s="411"/>
      <c r="V28" s="411"/>
      <c r="W28" s="411"/>
      <c r="X28" s="411"/>
      <c r="Y28" s="411"/>
      <c r="Z28" s="411"/>
      <c r="AA28" s="411"/>
      <c r="AB28" s="411"/>
      <c r="AC28" s="411"/>
      <c r="AD28" s="467"/>
    </row>
    <row r="29" spans="1:41" ht="27" customHeight="1" x14ac:dyDescent="0.25">
      <c r="A29" s="460"/>
      <c r="B29" s="463"/>
      <c r="C29" s="464"/>
      <c r="D29" s="88" t="s">
        <v>29</v>
      </c>
      <c r="E29" s="88" t="s">
        <v>30</v>
      </c>
      <c r="F29" s="88" t="s">
        <v>31</v>
      </c>
      <c r="G29" s="88" t="s">
        <v>8</v>
      </c>
      <c r="H29" s="88" t="s">
        <v>32</v>
      </c>
      <c r="I29" s="88" t="s">
        <v>33</v>
      </c>
      <c r="J29" s="88" t="s">
        <v>34</v>
      </c>
      <c r="K29" s="88" t="s">
        <v>35</v>
      </c>
      <c r="L29" s="88" t="s">
        <v>36</v>
      </c>
      <c r="M29" s="88" t="s">
        <v>37</v>
      </c>
      <c r="N29" s="88" t="s">
        <v>38</v>
      </c>
      <c r="O29" s="88" t="s">
        <v>39</v>
      </c>
      <c r="P29" s="466"/>
      <c r="Q29" s="411"/>
      <c r="R29" s="411"/>
      <c r="S29" s="411"/>
      <c r="T29" s="411"/>
      <c r="U29" s="411"/>
      <c r="V29" s="411"/>
      <c r="W29" s="411"/>
      <c r="X29" s="411"/>
      <c r="Y29" s="411"/>
      <c r="Z29" s="411"/>
      <c r="AA29" s="411"/>
      <c r="AB29" s="411"/>
      <c r="AC29" s="411"/>
      <c r="AD29" s="467"/>
    </row>
    <row r="30" spans="1:41" ht="42" customHeight="1" thickBot="1" x14ac:dyDescent="0.3">
      <c r="A30" s="217" t="s">
        <v>120</v>
      </c>
      <c r="B30" s="546"/>
      <c r="C30" s="547"/>
      <c r="D30" s="89"/>
      <c r="E30" s="89"/>
      <c r="F30" s="89"/>
      <c r="G30" s="89"/>
      <c r="H30" s="89"/>
      <c r="I30" s="89"/>
      <c r="J30" s="89"/>
      <c r="K30" s="89"/>
      <c r="L30" s="89"/>
      <c r="M30" s="89"/>
      <c r="N30" s="89"/>
      <c r="O30" s="89"/>
      <c r="P30" s="86">
        <f>SUM(D30:O30)</f>
        <v>0</v>
      </c>
      <c r="Q30" s="402"/>
      <c r="R30" s="402"/>
      <c r="S30" s="402"/>
      <c r="T30" s="402"/>
      <c r="U30" s="402"/>
      <c r="V30" s="402"/>
      <c r="W30" s="402"/>
      <c r="X30" s="402"/>
      <c r="Y30" s="402"/>
      <c r="Z30" s="402"/>
      <c r="AA30" s="402"/>
      <c r="AB30" s="402"/>
      <c r="AC30" s="402"/>
      <c r="AD30" s="403"/>
    </row>
    <row r="31" spans="1:41" ht="45" customHeight="1" x14ac:dyDescent="0.25">
      <c r="A31" s="535" t="s">
        <v>52</v>
      </c>
      <c r="B31" s="406"/>
      <c r="C31" s="406"/>
      <c r="D31" s="406"/>
      <c r="E31" s="406"/>
      <c r="F31" s="406"/>
      <c r="G31" s="406"/>
      <c r="H31" s="406"/>
      <c r="I31" s="406"/>
      <c r="J31" s="406"/>
      <c r="K31" s="406"/>
      <c r="L31" s="406"/>
      <c r="M31" s="406"/>
      <c r="N31" s="406"/>
      <c r="O31" s="406"/>
      <c r="P31" s="406"/>
      <c r="Q31" s="406"/>
      <c r="R31" s="406"/>
      <c r="S31" s="406"/>
      <c r="T31" s="406"/>
      <c r="U31" s="406"/>
      <c r="V31" s="406"/>
      <c r="W31" s="406"/>
      <c r="X31" s="406"/>
      <c r="Y31" s="406"/>
      <c r="Z31" s="406"/>
      <c r="AA31" s="406"/>
      <c r="AB31" s="406"/>
      <c r="AC31" s="406"/>
      <c r="AD31" s="407"/>
    </row>
    <row r="32" spans="1:41" ht="23.1" customHeight="1" x14ac:dyDescent="0.25">
      <c r="A32" s="409" t="s">
        <v>53</v>
      </c>
      <c r="B32" s="411" t="s">
        <v>54</v>
      </c>
      <c r="C32" s="411" t="s">
        <v>48</v>
      </c>
      <c r="D32" s="411" t="s">
        <v>55</v>
      </c>
      <c r="E32" s="411"/>
      <c r="F32" s="411"/>
      <c r="G32" s="411"/>
      <c r="H32" s="411"/>
      <c r="I32" s="411"/>
      <c r="J32" s="411"/>
      <c r="K32" s="411"/>
      <c r="L32" s="411"/>
      <c r="M32" s="411"/>
      <c r="N32" s="411"/>
      <c r="O32" s="411"/>
      <c r="P32" s="411"/>
      <c r="Q32" s="411" t="s">
        <v>56</v>
      </c>
      <c r="R32" s="411"/>
      <c r="S32" s="411"/>
      <c r="T32" s="411"/>
      <c r="U32" s="411"/>
      <c r="V32" s="411"/>
      <c r="W32" s="411"/>
      <c r="X32" s="411"/>
      <c r="Y32" s="411"/>
      <c r="Z32" s="411"/>
      <c r="AA32" s="411"/>
      <c r="AB32" s="411"/>
      <c r="AC32" s="411"/>
      <c r="AD32" s="467"/>
      <c r="AG32" s="87"/>
      <c r="AH32" s="87"/>
      <c r="AI32" s="87"/>
      <c r="AJ32" s="87"/>
      <c r="AK32" s="87"/>
      <c r="AL32" s="87"/>
      <c r="AM32" s="87"/>
      <c r="AN32" s="87"/>
      <c r="AO32" s="87"/>
    </row>
    <row r="33" spans="1:41" ht="27" customHeight="1" x14ac:dyDescent="0.25">
      <c r="A33" s="409"/>
      <c r="B33" s="411"/>
      <c r="C33" s="412"/>
      <c r="D33" s="88" t="s">
        <v>29</v>
      </c>
      <c r="E33" s="88" t="s">
        <v>30</v>
      </c>
      <c r="F33" s="88" t="s">
        <v>31</v>
      </c>
      <c r="G33" s="88" t="s">
        <v>8</v>
      </c>
      <c r="H33" s="88" t="s">
        <v>32</v>
      </c>
      <c r="I33" s="88" t="s">
        <v>33</v>
      </c>
      <c r="J33" s="88" t="s">
        <v>34</v>
      </c>
      <c r="K33" s="88" t="s">
        <v>35</v>
      </c>
      <c r="L33" s="88" t="s">
        <v>36</v>
      </c>
      <c r="M33" s="88" t="s">
        <v>37</v>
      </c>
      <c r="N33" s="88" t="s">
        <v>38</v>
      </c>
      <c r="O33" s="88" t="s">
        <v>39</v>
      </c>
      <c r="P33" s="88" t="s">
        <v>40</v>
      </c>
      <c r="Q33" s="411" t="s">
        <v>57</v>
      </c>
      <c r="R33" s="411"/>
      <c r="S33" s="411"/>
      <c r="T33" s="411" t="s">
        <v>58</v>
      </c>
      <c r="U33" s="411"/>
      <c r="V33" s="411"/>
      <c r="W33" s="463" t="s">
        <v>59</v>
      </c>
      <c r="X33" s="492"/>
      <c r="Y33" s="492"/>
      <c r="Z33" s="464"/>
      <c r="AA33" s="463" t="s">
        <v>60</v>
      </c>
      <c r="AB33" s="492"/>
      <c r="AC33" s="492"/>
      <c r="AD33" s="493"/>
      <c r="AG33" s="87"/>
      <c r="AH33" s="87"/>
      <c r="AI33" s="87"/>
      <c r="AJ33" s="87"/>
      <c r="AK33" s="87"/>
      <c r="AL33" s="87"/>
      <c r="AM33" s="87"/>
      <c r="AN33" s="87"/>
      <c r="AO33" s="87"/>
    </row>
    <row r="34" spans="1:41" ht="45" customHeight="1" x14ac:dyDescent="0.25">
      <c r="A34" s="475" t="s">
        <v>120</v>
      </c>
      <c r="B34" s="477">
        <v>0.32</v>
      </c>
      <c r="C34" s="90" t="s">
        <v>61</v>
      </c>
      <c r="D34" s="230">
        <f>D75</f>
        <v>7.625000000000004E-2</v>
      </c>
      <c r="E34" s="230">
        <f t="shared" ref="E34:O34" si="0">E75</f>
        <v>9.0625000000000039E-2</v>
      </c>
      <c r="F34" s="230">
        <f t="shared" si="0"/>
        <v>9.0625000000000039E-2</v>
      </c>
      <c r="G34" s="230">
        <f t="shared" si="0"/>
        <v>9.0625000000000039E-2</v>
      </c>
      <c r="H34" s="230">
        <f t="shared" si="0"/>
        <v>9.0625000000000039E-2</v>
      </c>
      <c r="I34" s="230">
        <f t="shared" si="0"/>
        <v>8.062500000000003E-2</v>
      </c>
      <c r="J34" s="230">
        <f t="shared" si="0"/>
        <v>8.062500000000003E-2</v>
      </c>
      <c r="K34" s="230">
        <f t="shared" si="0"/>
        <v>8.062500000000003E-2</v>
      </c>
      <c r="L34" s="230">
        <f t="shared" si="0"/>
        <v>8.062500000000003E-2</v>
      </c>
      <c r="M34" s="230">
        <f t="shared" si="0"/>
        <v>8.062500000000003E-2</v>
      </c>
      <c r="N34" s="230">
        <f t="shared" si="0"/>
        <v>8.062500000000003E-2</v>
      </c>
      <c r="O34" s="230">
        <f t="shared" si="0"/>
        <v>7.7500000000000027E-2</v>
      </c>
      <c r="P34" s="230">
        <f>SUM(D34:O34)</f>
        <v>1.0000000000000007</v>
      </c>
      <c r="Q34" s="710" t="s">
        <v>589</v>
      </c>
      <c r="R34" s="711"/>
      <c r="S34" s="712"/>
      <c r="T34" s="710" t="s">
        <v>595</v>
      </c>
      <c r="U34" s="711"/>
      <c r="V34" s="712"/>
      <c r="W34" s="479" t="s">
        <v>550</v>
      </c>
      <c r="X34" s="480"/>
      <c r="Y34" s="480"/>
      <c r="Z34" s="481"/>
      <c r="AA34" s="479" t="s">
        <v>121</v>
      </c>
      <c r="AB34" s="480"/>
      <c r="AC34" s="480"/>
      <c r="AD34" s="485"/>
      <c r="AG34" s="87"/>
      <c r="AH34" s="87"/>
      <c r="AI34" s="87"/>
      <c r="AJ34" s="87"/>
      <c r="AK34" s="87"/>
      <c r="AL34" s="87"/>
      <c r="AM34" s="87"/>
      <c r="AN34" s="87"/>
      <c r="AO34" s="87"/>
    </row>
    <row r="35" spans="1:41" ht="162.6" customHeight="1" thickBot="1" x14ac:dyDescent="0.3">
      <c r="A35" s="476"/>
      <c r="B35" s="478"/>
      <c r="C35" s="91" t="s">
        <v>62</v>
      </c>
      <c r="D35" s="224">
        <f>D72</f>
        <v>7.5000000000000039E-2</v>
      </c>
      <c r="E35" s="224">
        <f t="shared" ref="E35:O35" si="1">E72</f>
        <v>8.6250000000000035E-2</v>
      </c>
      <c r="F35" s="224">
        <f t="shared" si="1"/>
        <v>9.0625000000000039E-2</v>
      </c>
      <c r="G35" s="224">
        <f t="shared" si="1"/>
        <v>9.3125000000000027E-2</v>
      </c>
      <c r="H35" s="224">
        <f t="shared" si="1"/>
        <v>9.3125000000000027E-2</v>
      </c>
      <c r="I35" s="224">
        <f t="shared" si="1"/>
        <v>0</v>
      </c>
      <c r="J35" s="224">
        <f t="shared" si="1"/>
        <v>0</v>
      </c>
      <c r="K35" s="224">
        <f t="shared" si="1"/>
        <v>0</v>
      </c>
      <c r="L35" s="224">
        <f t="shared" si="1"/>
        <v>0</v>
      </c>
      <c r="M35" s="224">
        <f t="shared" si="1"/>
        <v>0</v>
      </c>
      <c r="N35" s="224">
        <f t="shared" si="1"/>
        <v>0</v>
      </c>
      <c r="O35" s="224">
        <f t="shared" si="1"/>
        <v>0</v>
      </c>
      <c r="P35" s="224">
        <f>SUM(D35:O35)</f>
        <v>0.4381250000000001</v>
      </c>
      <c r="Q35" s="713"/>
      <c r="R35" s="714"/>
      <c r="S35" s="715"/>
      <c r="T35" s="713"/>
      <c r="U35" s="714"/>
      <c r="V35" s="715"/>
      <c r="W35" s="482"/>
      <c r="X35" s="483"/>
      <c r="Y35" s="483"/>
      <c r="Z35" s="484"/>
      <c r="AA35" s="482"/>
      <c r="AB35" s="483"/>
      <c r="AC35" s="483"/>
      <c r="AD35" s="486"/>
      <c r="AE35" s="49"/>
      <c r="AG35" s="87"/>
      <c r="AH35" s="87"/>
      <c r="AI35" s="87"/>
      <c r="AJ35" s="87"/>
      <c r="AK35" s="87"/>
      <c r="AL35" s="87"/>
      <c r="AM35" s="87"/>
      <c r="AN35" s="87"/>
      <c r="AO35" s="87"/>
    </row>
    <row r="36" spans="1:41" ht="26.1" customHeight="1" x14ac:dyDescent="0.25">
      <c r="A36" s="659" t="s">
        <v>63</v>
      </c>
      <c r="B36" s="661" t="s">
        <v>64</v>
      </c>
      <c r="C36" s="408" t="s">
        <v>65</v>
      </c>
      <c r="D36" s="410"/>
      <c r="E36" s="410"/>
      <c r="F36" s="410"/>
      <c r="G36" s="410"/>
      <c r="H36" s="410"/>
      <c r="I36" s="410"/>
      <c r="J36" s="410"/>
      <c r="K36" s="410"/>
      <c r="L36" s="410"/>
      <c r="M36" s="410"/>
      <c r="N36" s="410"/>
      <c r="O36" s="410"/>
      <c r="P36" s="491"/>
      <c r="Q36" s="512" t="s">
        <v>66</v>
      </c>
      <c r="R36" s="512"/>
      <c r="S36" s="512"/>
      <c r="T36" s="512"/>
      <c r="U36" s="512"/>
      <c r="V36" s="512"/>
      <c r="W36" s="512"/>
      <c r="X36" s="512"/>
      <c r="Y36" s="512"/>
      <c r="Z36" s="512"/>
      <c r="AA36" s="512"/>
      <c r="AB36" s="512"/>
      <c r="AC36" s="512"/>
      <c r="AD36" s="513"/>
      <c r="AG36" s="87"/>
      <c r="AH36" s="87"/>
      <c r="AI36" s="87"/>
      <c r="AJ36" s="87"/>
      <c r="AK36" s="87"/>
      <c r="AL36" s="87"/>
      <c r="AM36" s="87"/>
      <c r="AN36" s="87"/>
      <c r="AO36" s="87"/>
    </row>
    <row r="37" spans="1:41" ht="50.25" customHeight="1" thickBot="1" x14ac:dyDescent="0.3">
      <c r="A37" s="660"/>
      <c r="B37" s="662"/>
      <c r="C37" s="223" t="s">
        <v>67</v>
      </c>
      <c r="D37" s="239" t="s">
        <v>68</v>
      </c>
      <c r="E37" s="239" t="s">
        <v>69</v>
      </c>
      <c r="F37" s="239" t="s">
        <v>70</v>
      </c>
      <c r="G37" s="239" t="s">
        <v>71</v>
      </c>
      <c r="H37" s="239" t="s">
        <v>72</v>
      </c>
      <c r="I37" s="239" t="s">
        <v>73</v>
      </c>
      <c r="J37" s="239" t="s">
        <v>74</v>
      </c>
      <c r="K37" s="239" t="s">
        <v>75</v>
      </c>
      <c r="L37" s="239" t="s">
        <v>76</v>
      </c>
      <c r="M37" s="239" t="s">
        <v>77</v>
      </c>
      <c r="N37" s="239" t="s">
        <v>78</v>
      </c>
      <c r="O37" s="239" t="s">
        <v>79</v>
      </c>
      <c r="P37" s="240" t="s">
        <v>80</v>
      </c>
      <c r="Q37" s="515" t="s">
        <v>81</v>
      </c>
      <c r="R37" s="515"/>
      <c r="S37" s="515"/>
      <c r="T37" s="515"/>
      <c r="U37" s="515"/>
      <c r="V37" s="515"/>
      <c r="W37" s="515"/>
      <c r="X37" s="515"/>
      <c r="Y37" s="515"/>
      <c r="Z37" s="515"/>
      <c r="AA37" s="515"/>
      <c r="AB37" s="515"/>
      <c r="AC37" s="515"/>
      <c r="AD37" s="516"/>
      <c r="AG37" s="94"/>
      <c r="AH37" s="94"/>
      <c r="AI37" s="94"/>
      <c r="AJ37" s="94"/>
      <c r="AK37" s="94"/>
      <c r="AL37" s="94"/>
      <c r="AM37" s="94"/>
      <c r="AN37" s="94"/>
      <c r="AO37" s="94"/>
    </row>
    <row r="38" spans="1:41" ht="38.25" customHeight="1" x14ac:dyDescent="0.25">
      <c r="A38" s="707" t="s">
        <v>122</v>
      </c>
      <c r="B38" s="709">
        <v>0.1</v>
      </c>
      <c r="C38" s="241" t="s">
        <v>61</v>
      </c>
      <c r="D38" s="253">
        <v>0.08</v>
      </c>
      <c r="E38" s="253">
        <v>0.09</v>
      </c>
      <c r="F38" s="253">
        <v>0.09</v>
      </c>
      <c r="G38" s="253">
        <v>0.09</v>
      </c>
      <c r="H38" s="253">
        <v>0.09</v>
      </c>
      <c r="I38" s="253">
        <v>0.08</v>
      </c>
      <c r="J38" s="253">
        <v>0.08</v>
      </c>
      <c r="K38" s="253">
        <v>0.08</v>
      </c>
      <c r="L38" s="253">
        <v>0.08</v>
      </c>
      <c r="M38" s="253">
        <v>0.08</v>
      </c>
      <c r="N38" s="253">
        <v>0.08</v>
      </c>
      <c r="O38" s="253">
        <v>0.08</v>
      </c>
      <c r="P38" s="236">
        <f t="shared" ref="P38:P45" si="2">SUM(D38:O38)</f>
        <v>0.99999999999999967</v>
      </c>
      <c r="Q38" s="708" t="s">
        <v>590</v>
      </c>
      <c r="R38" s="704"/>
      <c r="S38" s="704"/>
      <c r="T38" s="704"/>
      <c r="U38" s="704"/>
      <c r="V38" s="704"/>
      <c r="W38" s="704"/>
      <c r="X38" s="704"/>
      <c r="Y38" s="704"/>
      <c r="Z38" s="704"/>
      <c r="AA38" s="704"/>
      <c r="AB38" s="704"/>
      <c r="AC38" s="704"/>
      <c r="AD38" s="705"/>
      <c r="AE38" s="97"/>
      <c r="AG38" s="98"/>
      <c r="AH38" s="98"/>
      <c r="AI38" s="98"/>
      <c r="AJ38" s="98"/>
      <c r="AK38" s="98"/>
      <c r="AL38" s="98"/>
      <c r="AM38" s="98"/>
      <c r="AN38" s="98"/>
      <c r="AO38" s="98"/>
    </row>
    <row r="39" spans="1:41" ht="38.25" customHeight="1" x14ac:dyDescent="0.25">
      <c r="A39" s="651"/>
      <c r="B39" s="709"/>
      <c r="C39" s="242" t="s">
        <v>62</v>
      </c>
      <c r="D39" s="100">
        <v>0.08</v>
      </c>
      <c r="E39" s="100">
        <v>0.09</v>
      </c>
      <c r="F39" s="100">
        <v>0.09</v>
      </c>
      <c r="G39" s="100">
        <v>0.09</v>
      </c>
      <c r="H39" s="100">
        <v>0.09</v>
      </c>
      <c r="I39" s="100"/>
      <c r="J39" s="100"/>
      <c r="K39" s="100"/>
      <c r="L39" s="100"/>
      <c r="M39" s="100"/>
      <c r="N39" s="100"/>
      <c r="O39" s="100"/>
      <c r="P39" s="237">
        <f t="shared" si="2"/>
        <v>0.43999999999999995</v>
      </c>
      <c r="Q39" s="704"/>
      <c r="R39" s="704"/>
      <c r="S39" s="704"/>
      <c r="T39" s="704"/>
      <c r="U39" s="704"/>
      <c r="V39" s="704"/>
      <c r="W39" s="704"/>
      <c r="X39" s="704"/>
      <c r="Y39" s="704"/>
      <c r="Z39" s="704"/>
      <c r="AA39" s="704"/>
      <c r="AB39" s="704"/>
      <c r="AC39" s="704"/>
      <c r="AD39" s="705"/>
      <c r="AE39" s="97"/>
    </row>
    <row r="40" spans="1:41" ht="38.25" customHeight="1" x14ac:dyDescent="0.25">
      <c r="A40" s="651" t="s">
        <v>123</v>
      </c>
      <c r="B40" s="650">
        <v>0.1</v>
      </c>
      <c r="C40" s="244" t="s">
        <v>61</v>
      </c>
      <c r="D40" s="184">
        <v>0.08</v>
      </c>
      <c r="E40" s="184">
        <v>0.09</v>
      </c>
      <c r="F40" s="184">
        <v>0.09</v>
      </c>
      <c r="G40" s="184">
        <v>0.09</v>
      </c>
      <c r="H40" s="184">
        <v>0.09</v>
      </c>
      <c r="I40" s="184">
        <v>0.08</v>
      </c>
      <c r="J40" s="184">
        <v>0.08</v>
      </c>
      <c r="K40" s="184">
        <v>0.08</v>
      </c>
      <c r="L40" s="184">
        <v>0.08</v>
      </c>
      <c r="M40" s="184">
        <v>0.08</v>
      </c>
      <c r="N40" s="184">
        <v>0.08</v>
      </c>
      <c r="O40" s="184">
        <v>0.08</v>
      </c>
      <c r="P40" s="237">
        <f t="shared" si="2"/>
        <v>0.99999999999999967</v>
      </c>
      <c r="Q40" s="701" t="s">
        <v>591</v>
      </c>
      <c r="R40" s="702"/>
      <c r="S40" s="702"/>
      <c r="T40" s="702"/>
      <c r="U40" s="702"/>
      <c r="V40" s="702"/>
      <c r="W40" s="702"/>
      <c r="X40" s="702"/>
      <c r="Y40" s="702"/>
      <c r="Z40" s="702"/>
      <c r="AA40" s="702"/>
      <c r="AB40" s="702"/>
      <c r="AC40" s="702"/>
      <c r="AD40" s="703"/>
      <c r="AE40" s="97"/>
    </row>
    <row r="41" spans="1:41" ht="38.25" customHeight="1" x14ac:dyDescent="0.25">
      <c r="A41" s="651"/>
      <c r="B41" s="650"/>
      <c r="C41" s="242" t="s">
        <v>62</v>
      </c>
      <c r="D41" s="100">
        <v>0.08</v>
      </c>
      <c r="E41" s="100">
        <v>0.09</v>
      </c>
      <c r="F41" s="100">
        <v>0.09</v>
      </c>
      <c r="G41" s="100">
        <v>0.09</v>
      </c>
      <c r="H41" s="100">
        <v>0.09</v>
      </c>
      <c r="I41" s="100"/>
      <c r="J41" s="100"/>
      <c r="K41" s="100"/>
      <c r="L41" s="104"/>
      <c r="M41" s="104"/>
      <c r="N41" s="104"/>
      <c r="O41" s="104"/>
      <c r="P41" s="237">
        <f t="shared" si="2"/>
        <v>0.43999999999999995</v>
      </c>
      <c r="Q41" s="704"/>
      <c r="R41" s="704"/>
      <c r="S41" s="704"/>
      <c r="T41" s="704"/>
      <c r="U41" s="704"/>
      <c r="V41" s="704"/>
      <c r="W41" s="704"/>
      <c r="X41" s="704"/>
      <c r="Y41" s="704"/>
      <c r="Z41" s="704"/>
      <c r="AA41" s="704"/>
      <c r="AB41" s="704"/>
      <c r="AC41" s="704"/>
      <c r="AD41" s="705"/>
      <c r="AE41" s="97"/>
    </row>
    <row r="42" spans="1:41" ht="38.25" customHeight="1" x14ac:dyDescent="0.25">
      <c r="A42" s="651" t="s">
        <v>124</v>
      </c>
      <c r="B42" s="650">
        <v>0.1</v>
      </c>
      <c r="C42" s="244" t="s">
        <v>61</v>
      </c>
      <c r="D42" s="184">
        <v>0.08</v>
      </c>
      <c r="E42" s="184">
        <v>0.09</v>
      </c>
      <c r="F42" s="184">
        <v>0.09</v>
      </c>
      <c r="G42" s="184">
        <v>0.09</v>
      </c>
      <c r="H42" s="184">
        <v>0.09</v>
      </c>
      <c r="I42" s="184">
        <v>0.08</v>
      </c>
      <c r="J42" s="184">
        <v>0.08</v>
      </c>
      <c r="K42" s="184">
        <v>0.08</v>
      </c>
      <c r="L42" s="184">
        <v>0.08</v>
      </c>
      <c r="M42" s="184">
        <v>0.08</v>
      </c>
      <c r="N42" s="184">
        <v>0.08</v>
      </c>
      <c r="O42" s="184">
        <v>0.08</v>
      </c>
      <c r="P42" s="237">
        <f t="shared" si="2"/>
        <v>0.99999999999999967</v>
      </c>
      <c r="Q42" s="702" t="s">
        <v>551</v>
      </c>
      <c r="R42" s="702"/>
      <c r="S42" s="702"/>
      <c r="T42" s="702"/>
      <c r="U42" s="702"/>
      <c r="V42" s="702"/>
      <c r="W42" s="702"/>
      <c r="X42" s="702"/>
      <c r="Y42" s="702"/>
      <c r="Z42" s="702"/>
      <c r="AA42" s="702"/>
      <c r="AB42" s="702"/>
      <c r="AC42" s="702"/>
      <c r="AD42" s="703"/>
      <c r="AE42" s="97"/>
    </row>
    <row r="43" spans="1:41" ht="34.9" customHeight="1" x14ac:dyDescent="0.25">
      <c r="A43" s="651"/>
      <c r="B43" s="650"/>
      <c r="C43" s="242" t="s">
        <v>62</v>
      </c>
      <c r="D43" s="100">
        <v>0.08</v>
      </c>
      <c r="E43" s="100">
        <v>0.09</v>
      </c>
      <c r="F43" s="100">
        <v>0.09</v>
      </c>
      <c r="G43" s="100">
        <v>0.09</v>
      </c>
      <c r="H43" s="100">
        <v>0.09</v>
      </c>
      <c r="I43" s="100"/>
      <c r="J43" s="100"/>
      <c r="K43" s="100"/>
      <c r="L43" s="104"/>
      <c r="M43" s="104"/>
      <c r="N43" s="104"/>
      <c r="O43" s="104"/>
      <c r="P43" s="237">
        <f t="shared" si="2"/>
        <v>0.43999999999999995</v>
      </c>
      <c r="Q43" s="704"/>
      <c r="R43" s="704"/>
      <c r="S43" s="704"/>
      <c r="T43" s="704"/>
      <c r="U43" s="704"/>
      <c r="V43" s="704"/>
      <c r="W43" s="704"/>
      <c r="X43" s="704"/>
      <c r="Y43" s="704"/>
      <c r="Z43" s="704"/>
      <c r="AA43" s="704"/>
      <c r="AB43" s="704"/>
      <c r="AC43" s="704"/>
      <c r="AD43" s="705"/>
      <c r="AE43" s="97"/>
    </row>
    <row r="44" spans="1:41" ht="38.25" customHeight="1" x14ac:dyDescent="0.25">
      <c r="A44" s="651" t="s">
        <v>125</v>
      </c>
      <c r="B44" s="650">
        <v>0.02</v>
      </c>
      <c r="C44" s="244" t="s">
        <v>61</v>
      </c>
      <c r="D44" s="200">
        <v>0.02</v>
      </c>
      <c r="E44" s="200">
        <v>0.1</v>
      </c>
      <c r="F44" s="200">
        <v>0.1</v>
      </c>
      <c r="G44" s="200">
        <v>0.1</v>
      </c>
      <c r="H44" s="200">
        <v>0.1</v>
      </c>
      <c r="I44" s="200">
        <v>0.09</v>
      </c>
      <c r="J44" s="200">
        <v>0.09</v>
      </c>
      <c r="K44" s="200">
        <v>0.09</v>
      </c>
      <c r="L44" s="200">
        <v>0.09</v>
      </c>
      <c r="M44" s="200">
        <v>0.09</v>
      </c>
      <c r="N44" s="200">
        <v>0.09</v>
      </c>
      <c r="O44" s="200">
        <v>0.04</v>
      </c>
      <c r="P44" s="237">
        <f t="shared" si="2"/>
        <v>0.99999999999999989</v>
      </c>
      <c r="Q44" s="695" t="s">
        <v>592</v>
      </c>
      <c r="R44" s="696"/>
      <c r="S44" s="696"/>
      <c r="T44" s="696"/>
      <c r="U44" s="696"/>
      <c r="V44" s="696"/>
      <c r="W44" s="696"/>
      <c r="X44" s="696"/>
      <c r="Y44" s="696"/>
      <c r="Z44" s="696"/>
      <c r="AA44" s="696"/>
      <c r="AB44" s="696"/>
      <c r="AC44" s="696"/>
      <c r="AD44" s="697"/>
      <c r="AE44" s="97"/>
    </row>
    <row r="45" spans="1:41" ht="38.25" customHeight="1" thickBot="1" x14ac:dyDescent="0.3">
      <c r="A45" s="706"/>
      <c r="B45" s="679"/>
      <c r="C45" s="245" t="s">
        <v>62</v>
      </c>
      <c r="D45" s="105">
        <v>0</v>
      </c>
      <c r="E45" s="105">
        <v>0.03</v>
      </c>
      <c r="F45" s="105">
        <v>0.1</v>
      </c>
      <c r="G45" s="105">
        <v>0.14000000000000001</v>
      </c>
      <c r="H45" s="105">
        <v>0.14000000000000001</v>
      </c>
      <c r="I45" s="105"/>
      <c r="J45" s="105"/>
      <c r="K45" s="105"/>
      <c r="L45" s="105"/>
      <c r="M45" s="105"/>
      <c r="N45" s="105"/>
      <c r="O45" s="105"/>
      <c r="P45" s="238">
        <f t="shared" si="2"/>
        <v>0.41000000000000003</v>
      </c>
      <c r="Q45" s="698"/>
      <c r="R45" s="699"/>
      <c r="S45" s="699"/>
      <c r="T45" s="699"/>
      <c r="U45" s="699"/>
      <c r="V45" s="699"/>
      <c r="W45" s="699"/>
      <c r="X45" s="699"/>
      <c r="Y45" s="699"/>
      <c r="Z45" s="699"/>
      <c r="AA45" s="699"/>
      <c r="AB45" s="699"/>
      <c r="AC45" s="699"/>
      <c r="AD45" s="700"/>
      <c r="AE45" s="97"/>
    </row>
    <row r="46" spans="1:41" x14ac:dyDescent="0.25">
      <c r="A46" s="259" t="s">
        <v>88</v>
      </c>
      <c r="Q46" s="259"/>
      <c r="R46" s="259"/>
      <c r="S46" s="259"/>
      <c r="T46" s="259"/>
      <c r="U46" s="259"/>
      <c r="V46" s="259"/>
      <c r="W46" s="259"/>
      <c r="X46" s="259"/>
      <c r="Y46" s="259"/>
      <c r="Z46" s="259"/>
      <c r="AA46" s="259"/>
      <c r="AB46" s="259"/>
      <c r="AC46" s="259"/>
      <c r="AD46" s="259"/>
    </row>
    <row r="47" spans="1:41" x14ac:dyDescent="0.25">
      <c r="A47" s="259"/>
      <c r="Q47" s="259"/>
      <c r="R47" s="259"/>
      <c r="S47" s="259"/>
      <c r="T47" s="259"/>
      <c r="U47" s="259"/>
      <c r="V47" s="259"/>
      <c r="W47" s="259"/>
      <c r="X47" s="259"/>
      <c r="Y47" s="259"/>
      <c r="Z47" s="259"/>
      <c r="AA47" s="259"/>
      <c r="AB47" s="259"/>
      <c r="AC47" s="259"/>
      <c r="AD47" s="259"/>
    </row>
    <row r="48" spans="1:41" x14ac:dyDescent="0.25">
      <c r="A48" s="259"/>
      <c r="Q48" s="259"/>
      <c r="R48" s="259"/>
      <c r="S48" s="259"/>
      <c r="T48" s="259"/>
      <c r="U48" s="259"/>
      <c r="V48" s="259"/>
      <c r="W48" s="259"/>
      <c r="X48" s="259"/>
      <c r="Y48" s="259"/>
      <c r="Z48" s="259"/>
      <c r="AA48" s="259"/>
      <c r="AB48" s="259"/>
      <c r="AC48" s="259"/>
      <c r="AD48" s="259"/>
    </row>
    <row r="49" spans="1:30" x14ac:dyDescent="0.25">
      <c r="A49" s="259"/>
      <c r="Q49" s="259"/>
      <c r="R49" s="259"/>
      <c r="S49" s="259"/>
      <c r="T49" s="259"/>
      <c r="U49" s="259"/>
      <c r="V49" s="259"/>
      <c r="W49" s="259"/>
      <c r="X49" s="259"/>
      <c r="Y49" s="259"/>
      <c r="Z49" s="259"/>
      <c r="AA49" s="259"/>
      <c r="AB49" s="259"/>
      <c r="AC49" s="259"/>
      <c r="AD49" s="259"/>
    </row>
    <row r="50" spans="1:30" x14ac:dyDescent="0.25">
      <c r="A50" s="259"/>
      <c r="Q50" s="259"/>
      <c r="R50" s="259"/>
      <c r="S50" s="259"/>
      <c r="T50" s="259"/>
      <c r="U50" s="259"/>
      <c r="V50" s="259"/>
      <c r="W50" s="259"/>
      <c r="X50" s="259"/>
      <c r="Y50" s="259"/>
      <c r="Z50" s="259"/>
      <c r="AA50" s="259"/>
      <c r="AB50" s="259"/>
      <c r="AC50" s="259"/>
      <c r="AD50" s="259"/>
    </row>
    <row r="51" spans="1:30" x14ac:dyDescent="0.25">
      <c r="A51" s="259"/>
      <c r="Q51" s="259"/>
      <c r="R51" s="259"/>
      <c r="S51" s="259"/>
      <c r="T51" s="259"/>
      <c r="U51" s="259"/>
      <c r="V51" s="259"/>
      <c r="W51" s="259"/>
      <c r="X51" s="259"/>
      <c r="Y51" s="259"/>
      <c r="Z51" s="259"/>
      <c r="AA51" s="259"/>
      <c r="AB51" s="259"/>
      <c r="AC51" s="259"/>
      <c r="AD51" s="259"/>
    </row>
    <row r="52" spans="1:30" x14ac:dyDescent="0.25">
      <c r="A52" s="259"/>
      <c r="Q52" s="259"/>
      <c r="R52" s="259"/>
      <c r="S52" s="259"/>
      <c r="T52" s="259"/>
      <c r="U52" s="259"/>
      <c r="V52" s="259"/>
      <c r="W52" s="259"/>
      <c r="X52" s="259"/>
      <c r="Y52" s="259"/>
      <c r="Z52" s="259"/>
      <c r="AA52" s="259"/>
      <c r="AB52" s="259"/>
      <c r="AC52" s="259"/>
      <c r="AD52" s="259"/>
    </row>
    <row r="53" spans="1:30" hidden="1" x14ac:dyDescent="0.25">
      <c r="A53" s="259"/>
      <c r="Q53" s="259"/>
      <c r="R53" s="259"/>
      <c r="S53" s="259"/>
      <c r="T53" s="259"/>
      <c r="U53" s="259"/>
      <c r="V53" s="259"/>
      <c r="W53" s="259"/>
      <c r="X53" s="259"/>
      <c r="Y53" s="259"/>
      <c r="Z53" s="259"/>
      <c r="AA53" s="259"/>
      <c r="AB53" s="259"/>
      <c r="AC53" s="259"/>
      <c r="AD53" s="259"/>
    </row>
    <row r="54" spans="1:30" ht="15.75" hidden="1" thickBot="1" x14ac:dyDescent="0.3">
      <c r="A54" s="259"/>
      <c r="Q54" s="259"/>
      <c r="R54" s="259"/>
      <c r="S54" s="259"/>
      <c r="T54" s="259"/>
      <c r="U54" s="259"/>
      <c r="V54" s="259"/>
      <c r="W54" s="259"/>
      <c r="X54" s="259"/>
      <c r="Y54" s="259"/>
      <c r="Z54" s="259"/>
      <c r="AA54" s="259"/>
      <c r="AB54" s="259"/>
      <c r="AC54" s="259"/>
      <c r="AD54" s="259"/>
    </row>
    <row r="55" spans="1:30" hidden="1" x14ac:dyDescent="0.25">
      <c r="A55" s="687" t="s">
        <v>89</v>
      </c>
      <c r="B55" s="689" t="s">
        <v>64</v>
      </c>
      <c r="C55" s="690" t="s">
        <v>65</v>
      </c>
      <c r="D55" s="691"/>
      <c r="E55" s="691"/>
      <c r="F55" s="691"/>
      <c r="G55" s="691"/>
      <c r="H55" s="691"/>
      <c r="I55" s="691"/>
      <c r="J55" s="691"/>
      <c r="K55" s="691"/>
      <c r="L55" s="691"/>
      <c r="M55" s="691"/>
      <c r="N55" s="691"/>
      <c r="O55" s="691"/>
      <c r="P55" s="692"/>
      <c r="Q55" s="260"/>
      <c r="R55" s="260"/>
      <c r="S55" s="259"/>
      <c r="T55" s="259"/>
      <c r="U55" s="259"/>
      <c r="V55" s="259"/>
      <c r="W55" s="259"/>
      <c r="X55" s="259"/>
      <c r="Y55" s="259"/>
      <c r="Z55" s="259"/>
      <c r="AA55" s="259"/>
      <c r="AB55" s="259"/>
      <c r="AC55" s="259"/>
      <c r="AD55" s="259"/>
    </row>
    <row r="56" spans="1:30" ht="21" hidden="1" x14ac:dyDescent="0.25">
      <c r="A56" s="688"/>
      <c r="B56" s="646"/>
      <c r="C56" s="216" t="s">
        <v>67</v>
      </c>
      <c r="D56" s="216" t="s">
        <v>68</v>
      </c>
      <c r="E56" s="216" t="s">
        <v>69</v>
      </c>
      <c r="F56" s="216" t="s">
        <v>70</v>
      </c>
      <c r="G56" s="216" t="s">
        <v>71</v>
      </c>
      <c r="H56" s="216" t="s">
        <v>72</v>
      </c>
      <c r="I56" s="216" t="s">
        <v>73</v>
      </c>
      <c r="J56" s="216" t="s">
        <v>74</v>
      </c>
      <c r="K56" s="216" t="s">
        <v>75</v>
      </c>
      <c r="L56" s="216" t="s">
        <v>76</v>
      </c>
      <c r="M56" s="216" t="s">
        <v>77</v>
      </c>
      <c r="N56" s="216" t="s">
        <v>78</v>
      </c>
      <c r="O56" s="216" t="s">
        <v>79</v>
      </c>
      <c r="P56" s="247" t="s">
        <v>80</v>
      </c>
      <c r="Q56" s="260"/>
      <c r="R56" s="260"/>
      <c r="S56" s="259"/>
      <c r="T56" s="259"/>
      <c r="U56" s="259"/>
      <c r="V56" s="259"/>
      <c r="W56" s="259"/>
      <c r="X56" s="259"/>
      <c r="Y56" s="259"/>
      <c r="Z56" s="259"/>
      <c r="AA56" s="259"/>
      <c r="AB56" s="259"/>
      <c r="AC56" s="259"/>
      <c r="AD56" s="259"/>
    </row>
    <row r="57" spans="1:30" ht="18" hidden="1" customHeight="1" x14ac:dyDescent="0.25">
      <c r="A57" s="682" t="str">
        <f>A38</f>
        <v>17. Realizar atenciones en intervención de trabajo  social que comprenden plan de intervención, valoraciones iniciales, intervenciones y seguimiento a mujeres que realizan actividades sexuales pagadas.</v>
      </c>
      <c r="B57" s="345">
        <f>B38</f>
        <v>0.1</v>
      </c>
      <c r="C57" s="215" t="s">
        <v>61</v>
      </c>
      <c r="D57" s="214">
        <f>D38*$B$38/$P$38</f>
        <v>8.0000000000000036E-3</v>
      </c>
      <c r="E57" s="214">
        <f t="shared" ref="D57:O58" si="3">E38*$B$38/$P$38</f>
        <v>9.0000000000000028E-3</v>
      </c>
      <c r="F57" s="214">
        <f t="shared" si="3"/>
        <v>9.0000000000000028E-3</v>
      </c>
      <c r="G57" s="214">
        <f t="shared" si="3"/>
        <v>9.0000000000000028E-3</v>
      </c>
      <c r="H57" s="214">
        <f t="shared" si="3"/>
        <v>9.0000000000000028E-3</v>
      </c>
      <c r="I57" s="214">
        <f t="shared" si="3"/>
        <v>8.0000000000000036E-3</v>
      </c>
      <c r="J57" s="214">
        <f t="shared" si="3"/>
        <v>8.0000000000000036E-3</v>
      </c>
      <c r="K57" s="214">
        <f t="shared" si="3"/>
        <v>8.0000000000000036E-3</v>
      </c>
      <c r="L57" s="214">
        <f t="shared" si="3"/>
        <v>8.0000000000000036E-3</v>
      </c>
      <c r="M57" s="214">
        <f t="shared" si="3"/>
        <v>8.0000000000000036E-3</v>
      </c>
      <c r="N57" s="214">
        <f t="shared" si="3"/>
        <v>8.0000000000000036E-3</v>
      </c>
      <c r="O57" s="214">
        <f t="shared" si="3"/>
        <v>8.0000000000000036E-3</v>
      </c>
      <c r="P57" s="248">
        <f t="shared" ref="P57:P64" si="4">SUM(D57:O57)</f>
        <v>0.10000000000000006</v>
      </c>
      <c r="Q57" s="262">
        <v>0.05</v>
      </c>
      <c r="R57" s="263">
        <f t="shared" ref="R57:R71" si="5">+P57-Q57</f>
        <v>5.0000000000000058E-2</v>
      </c>
      <c r="S57" s="259"/>
      <c r="T57" s="259"/>
      <c r="U57" s="259"/>
      <c r="V57" s="259"/>
      <c r="W57" s="259"/>
      <c r="X57" s="259"/>
      <c r="Y57" s="259"/>
      <c r="Z57" s="259"/>
      <c r="AA57" s="259"/>
      <c r="AB57" s="259"/>
      <c r="AC57" s="259"/>
      <c r="AD57" s="259"/>
    </row>
    <row r="58" spans="1:30" ht="18" hidden="1" customHeight="1" x14ac:dyDescent="0.25">
      <c r="A58" s="693"/>
      <c r="B58" s="694"/>
      <c r="C58" s="212" t="s">
        <v>62</v>
      </c>
      <c r="D58" s="211">
        <f t="shared" si="3"/>
        <v>8.0000000000000036E-3</v>
      </c>
      <c r="E58" s="211">
        <f t="shared" si="3"/>
        <v>9.0000000000000028E-3</v>
      </c>
      <c r="F58" s="211">
        <f t="shared" si="3"/>
        <v>9.0000000000000028E-3</v>
      </c>
      <c r="G58" s="211">
        <f t="shared" si="3"/>
        <v>9.0000000000000028E-3</v>
      </c>
      <c r="H58" s="211">
        <f t="shared" si="3"/>
        <v>9.0000000000000028E-3</v>
      </c>
      <c r="I58" s="211">
        <f t="shared" si="3"/>
        <v>0</v>
      </c>
      <c r="J58" s="211">
        <f t="shared" si="3"/>
        <v>0</v>
      </c>
      <c r="K58" s="211">
        <f t="shared" si="3"/>
        <v>0</v>
      </c>
      <c r="L58" s="211">
        <f t="shared" si="3"/>
        <v>0</v>
      </c>
      <c r="M58" s="211">
        <f t="shared" si="3"/>
        <v>0</v>
      </c>
      <c r="N58" s="211">
        <f t="shared" si="3"/>
        <v>0</v>
      </c>
      <c r="O58" s="211">
        <f t="shared" si="3"/>
        <v>0</v>
      </c>
      <c r="P58" s="249">
        <f t="shared" si="4"/>
        <v>4.4000000000000011E-2</v>
      </c>
      <c r="Q58" s="264">
        <f>+P58</f>
        <v>4.4000000000000011E-2</v>
      </c>
      <c r="R58" s="263">
        <f t="shared" si="5"/>
        <v>0</v>
      </c>
      <c r="S58" s="259"/>
      <c r="T58" s="259"/>
      <c r="U58" s="259"/>
      <c r="V58" s="259"/>
      <c r="W58" s="259"/>
      <c r="X58" s="259"/>
      <c r="Y58" s="259"/>
      <c r="Z58" s="259"/>
      <c r="AA58" s="259"/>
      <c r="AB58" s="259"/>
      <c r="AC58" s="259"/>
      <c r="AD58" s="259"/>
    </row>
    <row r="59" spans="1:30" ht="18" hidden="1" customHeight="1" x14ac:dyDescent="0.25">
      <c r="A59" s="682" t="str">
        <f>A40</f>
        <v>18.  Realizar atenciones psicosociales  (valoraciones iniciales, asesoría y seguimientos) a mujeres que realizan actividades sexuales pagadas y sus familias</v>
      </c>
      <c r="B59" s="328">
        <f>B40</f>
        <v>0.1</v>
      </c>
      <c r="C59" s="215" t="s">
        <v>61</v>
      </c>
      <c r="D59" s="214">
        <f t="shared" ref="D59:O60" si="6">D40*$B$40/$P$40</f>
        <v>8.0000000000000036E-3</v>
      </c>
      <c r="E59" s="214">
        <f t="shared" si="6"/>
        <v>9.0000000000000028E-3</v>
      </c>
      <c r="F59" s="214">
        <f t="shared" si="6"/>
        <v>9.0000000000000028E-3</v>
      </c>
      <c r="G59" s="214">
        <f t="shared" si="6"/>
        <v>9.0000000000000028E-3</v>
      </c>
      <c r="H59" s="214">
        <f t="shared" si="6"/>
        <v>9.0000000000000028E-3</v>
      </c>
      <c r="I59" s="214">
        <f t="shared" si="6"/>
        <v>8.0000000000000036E-3</v>
      </c>
      <c r="J59" s="214">
        <f t="shared" si="6"/>
        <v>8.0000000000000036E-3</v>
      </c>
      <c r="K59" s="214">
        <f t="shared" si="6"/>
        <v>8.0000000000000036E-3</v>
      </c>
      <c r="L59" s="214">
        <f t="shared" si="6"/>
        <v>8.0000000000000036E-3</v>
      </c>
      <c r="M59" s="214">
        <f t="shared" si="6"/>
        <v>8.0000000000000036E-3</v>
      </c>
      <c r="N59" s="214">
        <f t="shared" si="6"/>
        <v>8.0000000000000036E-3</v>
      </c>
      <c r="O59" s="214">
        <f t="shared" si="6"/>
        <v>8.0000000000000036E-3</v>
      </c>
      <c r="P59" s="248">
        <f t="shared" si="4"/>
        <v>0.10000000000000006</v>
      </c>
      <c r="Q59" s="262">
        <v>2.5000000000000001E-2</v>
      </c>
      <c r="R59" s="263">
        <f t="shared" si="5"/>
        <v>7.5000000000000067E-2</v>
      </c>
      <c r="S59" s="259"/>
      <c r="T59" s="259"/>
      <c r="U59" s="259"/>
      <c r="V59" s="259"/>
      <c r="W59" s="259"/>
      <c r="X59" s="259"/>
      <c r="Y59" s="259"/>
      <c r="Z59" s="259"/>
      <c r="AA59" s="259"/>
      <c r="AB59" s="259"/>
      <c r="AC59" s="259"/>
      <c r="AD59" s="259"/>
    </row>
    <row r="60" spans="1:30" ht="18" hidden="1" customHeight="1" x14ac:dyDescent="0.25">
      <c r="A60" s="683"/>
      <c r="B60" s="684"/>
      <c r="C60" s="212" t="s">
        <v>62</v>
      </c>
      <c r="D60" s="211">
        <f t="shared" si="6"/>
        <v>8.0000000000000036E-3</v>
      </c>
      <c r="E60" s="211">
        <f t="shared" si="6"/>
        <v>9.0000000000000028E-3</v>
      </c>
      <c r="F60" s="211">
        <f t="shared" si="6"/>
        <v>9.0000000000000028E-3</v>
      </c>
      <c r="G60" s="211">
        <f t="shared" si="6"/>
        <v>9.0000000000000028E-3</v>
      </c>
      <c r="H60" s="211">
        <f t="shared" si="6"/>
        <v>9.0000000000000028E-3</v>
      </c>
      <c r="I60" s="211">
        <f t="shared" si="6"/>
        <v>0</v>
      </c>
      <c r="J60" s="211">
        <f t="shared" si="6"/>
        <v>0</v>
      </c>
      <c r="K60" s="211">
        <f t="shared" si="6"/>
        <v>0</v>
      </c>
      <c r="L60" s="211">
        <f t="shared" si="6"/>
        <v>0</v>
      </c>
      <c r="M60" s="211">
        <f t="shared" si="6"/>
        <v>0</v>
      </c>
      <c r="N60" s="211">
        <f t="shared" si="6"/>
        <v>0</v>
      </c>
      <c r="O60" s="211">
        <f t="shared" si="6"/>
        <v>0</v>
      </c>
      <c r="P60" s="249">
        <f t="shared" si="4"/>
        <v>4.4000000000000011E-2</v>
      </c>
      <c r="Q60" s="264">
        <f>+P60</f>
        <v>4.4000000000000011E-2</v>
      </c>
      <c r="R60" s="263">
        <f t="shared" si="5"/>
        <v>0</v>
      </c>
      <c r="S60" s="259"/>
      <c r="T60" s="259"/>
      <c r="U60" s="259"/>
      <c r="V60" s="259"/>
      <c r="W60" s="259"/>
      <c r="X60" s="259"/>
      <c r="Y60" s="259"/>
      <c r="Z60" s="259"/>
      <c r="AA60" s="259"/>
      <c r="AB60" s="259"/>
      <c r="AC60" s="259"/>
      <c r="AD60" s="259"/>
    </row>
    <row r="61" spans="1:30" ht="18" hidden="1" customHeight="1" x14ac:dyDescent="0.25">
      <c r="A61" s="682" t="str">
        <f>A42</f>
        <v>19. Realizar atenciones jurídicas a mujeres que realizan actividades sexuales pagadas, que consisten en orientación, asesoría y representación jurídica especializada y llevar casos de intervención o representación judicial, con valoraciones iniciales, asesorías u orientaciones y seguimiento.</v>
      </c>
      <c r="B61" s="328">
        <f>B42</f>
        <v>0.1</v>
      </c>
      <c r="C61" s="215" t="s">
        <v>61</v>
      </c>
      <c r="D61" s="214">
        <f t="shared" ref="D61:O62" si="7">D42*$B$42/$P$42</f>
        <v>8.0000000000000036E-3</v>
      </c>
      <c r="E61" s="214">
        <f t="shared" si="7"/>
        <v>9.0000000000000028E-3</v>
      </c>
      <c r="F61" s="214">
        <f t="shared" si="7"/>
        <v>9.0000000000000028E-3</v>
      </c>
      <c r="G61" s="214">
        <f t="shared" si="7"/>
        <v>9.0000000000000028E-3</v>
      </c>
      <c r="H61" s="214">
        <f t="shared" si="7"/>
        <v>9.0000000000000028E-3</v>
      </c>
      <c r="I61" s="214">
        <f t="shared" si="7"/>
        <v>8.0000000000000036E-3</v>
      </c>
      <c r="J61" s="214">
        <f t="shared" si="7"/>
        <v>8.0000000000000036E-3</v>
      </c>
      <c r="K61" s="214">
        <f t="shared" si="7"/>
        <v>8.0000000000000036E-3</v>
      </c>
      <c r="L61" s="214">
        <f t="shared" si="7"/>
        <v>8.0000000000000036E-3</v>
      </c>
      <c r="M61" s="214">
        <f t="shared" si="7"/>
        <v>8.0000000000000036E-3</v>
      </c>
      <c r="N61" s="214">
        <f t="shared" si="7"/>
        <v>8.0000000000000036E-3</v>
      </c>
      <c r="O61" s="214">
        <f t="shared" si="7"/>
        <v>8.0000000000000036E-3</v>
      </c>
      <c r="P61" s="248">
        <f t="shared" si="4"/>
        <v>0.10000000000000006</v>
      </c>
      <c r="Q61" s="262">
        <v>2.5000000000000001E-2</v>
      </c>
      <c r="R61" s="263">
        <f t="shared" si="5"/>
        <v>7.5000000000000067E-2</v>
      </c>
      <c r="S61" s="259"/>
      <c r="T61" s="259"/>
      <c r="U61" s="259"/>
      <c r="V61" s="259"/>
      <c r="W61" s="259"/>
      <c r="X61" s="259"/>
      <c r="Y61" s="259"/>
      <c r="Z61" s="259"/>
      <c r="AA61" s="259"/>
      <c r="AB61" s="259"/>
      <c r="AC61" s="259"/>
      <c r="AD61" s="259"/>
    </row>
    <row r="62" spans="1:30" ht="18" hidden="1" customHeight="1" x14ac:dyDescent="0.25">
      <c r="A62" s="683"/>
      <c r="B62" s="684"/>
      <c r="C62" s="212" t="s">
        <v>62</v>
      </c>
      <c r="D62" s="211">
        <f t="shared" si="7"/>
        <v>8.0000000000000036E-3</v>
      </c>
      <c r="E62" s="211">
        <f t="shared" si="7"/>
        <v>9.0000000000000028E-3</v>
      </c>
      <c r="F62" s="211">
        <f t="shared" si="7"/>
        <v>9.0000000000000028E-3</v>
      </c>
      <c r="G62" s="211">
        <f t="shared" si="7"/>
        <v>9.0000000000000028E-3</v>
      </c>
      <c r="H62" s="211">
        <f t="shared" si="7"/>
        <v>9.0000000000000028E-3</v>
      </c>
      <c r="I62" s="211">
        <f t="shared" si="7"/>
        <v>0</v>
      </c>
      <c r="J62" s="211">
        <f t="shared" si="7"/>
        <v>0</v>
      </c>
      <c r="K62" s="211">
        <f t="shared" si="7"/>
        <v>0</v>
      </c>
      <c r="L62" s="211">
        <f t="shared" si="7"/>
        <v>0</v>
      </c>
      <c r="M62" s="211">
        <f t="shared" si="7"/>
        <v>0</v>
      </c>
      <c r="N62" s="211">
        <f t="shared" si="7"/>
        <v>0</v>
      </c>
      <c r="O62" s="211">
        <f t="shared" si="7"/>
        <v>0</v>
      </c>
      <c r="P62" s="249">
        <f t="shared" si="4"/>
        <v>4.4000000000000011E-2</v>
      </c>
      <c r="Q62" s="264">
        <f>+P62</f>
        <v>4.4000000000000011E-2</v>
      </c>
      <c r="R62" s="263">
        <f t="shared" si="5"/>
        <v>0</v>
      </c>
      <c r="S62" s="259"/>
      <c r="T62" s="259"/>
      <c r="U62" s="259"/>
      <c r="V62" s="259"/>
      <c r="W62" s="259"/>
      <c r="X62" s="259"/>
      <c r="Y62" s="259"/>
      <c r="Z62" s="259"/>
      <c r="AA62" s="259"/>
      <c r="AB62" s="259"/>
      <c r="AC62" s="259"/>
      <c r="AD62" s="259"/>
    </row>
    <row r="63" spans="1:30" ht="18" hidden="1" customHeight="1" x14ac:dyDescent="0.25">
      <c r="A63" s="682" t="str">
        <f>A44</f>
        <v>20. Generar información de los sitios, dinámicas y contextos de las actividades sexuales pagadas en Bogotá</v>
      </c>
      <c r="B63" s="328">
        <f>B44</f>
        <v>0.02</v>
      </c>
      <c r="C63" s="215" t="s">
        <v>61</v>
      </c>
      <c r="D63" s="214">
        <f t="shared" ref="D63:O64" si="8">D44*$B$44/$P$44</f>
        <v>4.0000000000000007E-4</v>
      </c>
      <c r="E63" s="214">
        <f t="shared" si="8"/>
        <v>2.0000000000000005E-3</v>
      </c>
      <c r="F63" s="214">
        <f t="shared" si="8"/>
        <v>2.0000000000000005E-3</v>
      </c>
      <c r="G63" s="214">
        <f t="shared" si="8"/>
        <v>2.0000000000000005E-3</v>
      </c>
      <c r="H63" s="214">
        <f t="shared" si="8"/>
        <v>2.0000000000000005E-3</v>
      </c>
      <c r="I63" s="214">
        <f t="shared" si="8"/>
        <v>1.8000000000000002E-3</v>
      </c>
      <c r="J63" s="214">
        <f t="shared" si="8"/>
        <v>1.8000000000000002E-3</v>
      </c>
      <c r="K63" s="214">
        <f t="shared" si="8"/>
        <v>1.8000000000000002E-3</v>
      </c>
      <c r="L63" s="214">
        <f t="shared" si="8"/>
        <v>1.8000000000000002E-3</v>
      </c>
      <c r="M63" s="214">
        <f t="shared" si="8"/>
        <v>1.8000000000000002E-3</v>
      </c>
      <c r="N63" s="214">
        <f t="shared" si="8"/>
        <v>1.8000000000000002E-3</v>
      </c>
      <c r="O63" s="214">
        <f t="shared" si="8"/>
        <v>8.0000000000000015E-4</v>
      </c>
      <c r="P63" s="248">
        <f t="shared" si="4"/>
        <v>1.9999999999999997E-2</v>
      </c>
      <c r="Q63" s="262">
        <v>0.02</v>
      </c>
      <c r="R63" s="263">
        <f t="shared" si="5"/>
        <v>0</v>
      </c>
      <c r="S63" s="259"/>
      <c r="T63" s="259"/>
      <c r="U63" s="259"/>
      <c r="V63" s="259"/>
      <c r="W63" s="259"/>
      <c r="X63" s="259"/>
      <c r="Y63" s="259"/>
      <c r="Z63" s="259"/>
      <c r="AA63" s="259"/>
      <c r="AB63" s="259"/>
      <c r="AC63" s="259"/>
      <c r="AD63" s="259"/>
    </row>
    <row r="64" spans="1:30" ht="18" hidden="1" customHeight="1" thickBot="1" x14ac:dyDescent="0.3">
      <c r="A64" s="685"/>
      <c r="B64" s="686"/>
      <c r="C64" s="250" t="s">
        <v>62</v>
      </c>
      <c r="D64" s="251">
        <f t="shared" si="8"/>
        <v>0</v>
      </c>
      <c r="E64" s="251">
        <f t="shared" si="8"/>
        <v>6.0000000000000006E-4</v>
      </c>
      <c r="F64" s="251">
        <f t="shared" si="8"/>
        <v>2.0000000000000005E-3</v>
      </c>
      <c r="G64" s="251">
        <f t="shared" si="8"/>
        <v>2.8000000000000008E-3</v>
      </c>
      <c r="H64" s="251">
        <f t="shared" si="8"/>
        <v>2.8000000000000008E-3</v>
      </c>
      <c r="I64" s="251">
        <f t="shared" si="8"/>
        <v>0</v>
      </c>
      <c r="J64" s="251">
        <f t="shared" si="8"/>
        <v>0</v>
      </c>
      <c r="K64" s="251">
        <f t="shared" si="8"/>
        <v>0</v>
      </c>
      <c r="L64" s="251">
        <f t="shared" si="8"/>
        <v>0</v>
      </c>
      <c r="M64" s="251">
        <f t="shared" si="8"/>
        <v>0</v>
      </c>
      <c r="N64" s="251">
        <f t="shared" si="8"/>
        <v>0</v>
      </c>
      <c r="O64" s="251">
        <f t="shared" si="8"/>
        <v>0</v>
      </c>
      <c r="P64" s="252">
        <f t="shared" si="4"/>
        <v>8.2000000000000024E-3</v>
      </c>
      <c r="Q64" s="264">
        <f>+P64</f>
        <v>8.2000000000000024E-3</v>
      </c>
      <c r="R64" s="263">
        <f t="shared" si="5"/>
        <v>0</v>
      </c>
      <c r="S64" s="259"/>
      <c r="T64" s="259"/>
      <c r="U64" s="259"/>
      <c r="V64" s="259"/>
      <c r="W64" s="259"/>
      <c r="X64" s="259"/>
      <c r="Y64" s="259"/>
      <c r="Z64" s="259"/>
      <c r="AA64" s="259"/>
      <c r="AB64" s="259"/>
      <c r="AC64" s="259"/>
      <c r="AD64" s="259"/>
    </row>
    <row r="65" spans="1:30" hidden="1" x14ac:dyDescent="0.25">
      <c r="A65" s="330"/>
      <c r="B65" s="331"/>
      <c r="C65" s="228"/>
      <c r="D65" s="214"/>
      <c r="E65" s="214"/>
      <c r="F65" s="214"/>
      <c r="G65" s="214"/>
      <c r="H65" s="214"/>
      <c r="I65" s="214"/>
      <c r="J65" s="214"/>
      <c r="K65" s="214"/>
      <c r="L65" s="214"/>
      <c r="M65" s="214"/>
      <c r="N65" s="214"/>
      <c r="O65" s="214"/>
      <c r="P65" s="229"/>
      <c r="Q65" s="262">
        <v>0.02</v>
      </c>
      <c r="R65" s="263">
        <f t="shared" si="5"/>
        <v>-0.02</v>
      </c>
      <c r="S65" s="259"/>
      <c r="T65" s="259"/>
      <c r="U65" s="259"/>
      <c r="V65" s="259"/>
      <c r="W65" s="259"/>
      <c r="X65" s="259"/>
      <c r="Y65" s="259"/>
      <c r="Z65" s="259"/>
      <c r="AA65" s="259"/>
      <c r="AB65" s="259"/>
      <c r="AC65" s="259"/>
      <c r="AD65" s="259"/>
    </row>
    <row r="66" spans="1:30" hidden="1" x14ac:dyDescent="0.25">
      <c r="A66" s="680"/>
      <c r="B66" s="681"/>
      <c r="C66" s="228"/>
      <c r="D66" s="207"/>
      <c r="E66" s="207"/>
      <c r="F66" s="207"/>
      <c r="G66" s="207"/>
      <c r="H66" s="207"/>
      <c r="I66" s="207"/>
      <c r="J66" s="207"/>
      <c r="K66" s="207"/>
      <c r="L66" s="207"/>
      <c r="M66" s="207"/>
      <c r="N66" s="207"/>
      <c r="O66" s="207"/>
      <c r="P66" s="229"/>
      <c r="Q66" s="264">
        <f>+P66</f>
        <v>0</v>
      </c>
      <c r="R66" s="263">
        <f t="shared" si="5"/>
        <v>0</v>
      </c>
      <c r="S66" s="259"/>
      <c r="T66" s="259"/>
      <c r="U66" s="259"/>
      <c r="V66" s="259"/>
      <c r="W66" s="259"/>
      <c r="X66" s="259"/>
      <c r="Y66" s="259"/>
      <c r="Z66" s="259"/>
      <c r="AA66" s="259"/>
      <c r="AB66" s="259"/>
      <c r="AC66" s="259"/>
      <c r="AD66" s="259"/>
    </row>
    <row r="67" spans="1:30" hidden="1" x14ac:dyDescent="0.25">
      <c r="A67" s="330"/>
      <c r="B67" s="331"/>
      <c r="C67" s="228"/>
      <c r="D67" s="214"/>
      <c r="E67" s="214"/>
      <c r="F67" s="214"/>
      <c r="G67" s="214"/>
      <c r="H67" s="214"/>
      <c r="I67" s="214"/>
      <c r="J67" s="214"/>
      <c r="K67" s="214"/>
      <c r="L67" s="214"/>
      <c r="M67" s="214"/>
      <c r="N67" s="214"/>
      <c r="O67" s="214"/>
      <c r="P67" s="229"/>
      <c r="Q67" s="262">
        <v>0.02</v>
      </c>
      <c r="R67" s="263">
        <f t="shared" si="5"/>
        <v>-0.02</v>
      </c>
      <c r="S67" s="259"/>
      <c r="T67" s="259"/>
      <c r="U67" s="259"/>
      <c r="V67" s="259"/>
      <c r="W67" s="259"/>
      <c r="X67" s="259"/>
      <c r="Y67" s="259"/>
      <c r="Z67" s="259"/>
      <c r="AA67" s="259"/>
      <c r="AB67" s="259"/>
      <c r="AC67" s="259"/>
      <c r="AD67" s="259"/>
    </row>
    <row r="68" spans="1:30" hidden="1" x14ac:dyDescent="0.25">
      <c r="A68" s="680"/>
      <c r="B68" s="681"/>
      <c r="C68" s="228"/>
      <c r="D68" s="207"/>
      <c r="E68" s="207"/>
      <c r="F68" s="207"/>
      <c r="G68" s="207"/>
      <c r="H68" s="207"/>
      <c r="I68" s="207"/>
      <c r="J68" s="207"/>
      <c r="K68" s="207"/>
      <c r="L68" s="207"/>
      <c r="M68" s="207"/>
      <c r="N68" s="207"/>
      <c r="O68" s="207"/>
      <c r="P68" s="229"/>
      <c r="Q68" s="264">
        <f>+P68</f>
        <v>0</v>
      </c>
      <c r="R68" s="263">
        <f t="shared" si="5"/>
        <v>0</v>
      </c>
      <c r="S68" s="259"/>
      <c r="T68" s="259"/>
      <c r="U68" s="259"/>
      <c r="V68" s="259"/>
      <c r="W68" s="259"/>
      <c r="X68" s="259"/>
      <c r="Y68" s="259"/>
      <c r="Z68" s="259"/>
      <c r="AA68" s="259"/>
      <c r="AB68" s="259"/>
      <c r="AC68" s="259"/>
      <c r="AD68" s="259"/>
    </row>
    <row r="69" spans="1:30" hidden="1" x14ac:dyDescent="0.25">
      <c r="A69" s="330"/>
      <c r="B69" s="331"/>
      <c r="C69" s="228"/>
      <c r="D69" s="214"/>
      <c r="E69" s="214"/>
      <c r="F69" s="214"/>
      <c r="G69" s="214"/>
      <c r="H69" s="214"/>
      <c r="I69" s="214"/>
      <c r="J69" s="214"/>
      <c r="K69" s="214"/>
      <c r="L69" s="214"/>
      <c r="M69" s="214"/>
      <c r="N69" s="214"/>
      <c r="O69" s="214"/>
      <c r="P69" s="229"/>
      <c r="Q69" s="262"/>
      <c r="R69" s="263"/>
      <c r="S69" s="259"/>
      <c r="T69" s="259"/>
      <c r="U69" s="259"/>
      <c r="V69" s="259"/>
      <c r="W69" s="259"/>
      <c r="X69" s="259"/>
      <c r="Y69" s="259"/>
      <c r="Z69" s="259"/>
      <c r="AA69" s="259"/>
      <c r="AB69" s="259"/>
      <c r="AC69" s="259"/>
      <c r="AD69" s="259"/>
    </row>
    <row r="70" spans="1:30" hidden="1" x14ac:dyDescent="0.25">
      <c r="A70" s="680"/>
      <c r="B70" s="681"/>
      <c r="C70" s="228"/>
      <c r="D70" s="207"/>
      <c r="E70" s="207"/>
      <c r="F70" s="207"/>
      <c r="G70" s="207"/>
      <c r="H70" s="207"/>
      <c r="I70" s="207"/>
      <c r="J70" s="207"/>
      <c r="K70" s="207"/>
      <c r="L70" s="207"/>
      <c r="M70" s="207"/>
      <c r="N70" s="207"/>
      <c r="O70" s="207"/>
      <c r="P70" s="229"/>
      <c r="Q70" s="264"/>
      <c r="R70" s="263"/>
      <c r="S70" s="259"/>
      <c r="T70" s="259"/>
      <c r="U70" s="259"/>
      <c r="V70" s="259"/>
      <c r="W70" s="259"/>
      <c r="X70" s="259"/>
      <c r="Y70" s="259"/>
      <c r="Z70" s="259"/>
      <c r="AA70" s="259"/>
      <c r="AB70" s="259"/>
      <c r="AC70" s="259"/>
      <c r="AD70" s="259"/>
    </row>
    <row r="71" spans="1:30" hidden="1" x14ac:dyDescent="0.25">
      <c r="A71" s="260"/>
      <c r="B71" s="208"/>
      <c r="C71" s="209"/>
      <c r="D71" s="204">
        <f>D58+D60+D62+D64</f>
        <v>2.4000000000000011E-2</v>
      </c>
      <c r="E71" s="204">
        <f t="shared" ref="E71:O71" si="9">E58+E60+E62+E64</f>
        <v>2.760000000000001E-2</v>
      </c>
      <c r="F71" s="204">
        <f t="shared" si="9"/>
        <v>2.9000000000000012E-2</v>
      </c>
      <c r="G71" s="204">
        <f t="shared" si="9"/>
        <v>2.9800000000000011E-2</v>
      </c>
      <c r="H71" s="204">
        <f t="shared" si="9"/>
        <v>2.9800000000000011E-2</v>
      </c>
      <c r="I71" s="204">
        <f t="shared" si="9"/>
        <v>0</v>
      </c>
      <c r="J71" s="204">
        <f t="shared" si="9"/>
        <v>0</v>
      </c>
      <c r="K71" s="204">
        <f t="shared" si="9"/>
        <v>0</v>
      </c>
      <c r="L71" s="204">
        <f t="shared" si="9"/>
        <v>0</v>
      </c>
      <c r="M71" s="204">
        <f t="shared" si="9"/>
        <v>0</v>
      </c>
      <c r="N71" s="204">
        <f t="shared" si="9"/>
        <v>0</v>
      </c>
      <c r="O71" s="204">
        <f t="shared" si="9"/>
        <v>0</v>
      </c>
      <c r="P71" s="204">
        <f>P58+P60+P62+P64+P66+P68+P70</f>
        <v>0.14020000000000005</v>
      </c>
      <c r="Q71" s="260"/>
      <c r="R71" s="263">
        <f t="shared" si="5"/>
        <v>0.14020000000000005</v>
      </c>
      <c r="S71" s="259"/>
      <c r="T71" s="259"/>
      <c r="U71" s="259"/>
      <c r="V71" s="259"/>
      <c r="W71" s="259"/>
      <c r="X71" s="259"/>
      <c r="Y71" s="259"/>
      <c r="Z71" s="259"/>
      <c r="AA71" s="259"/>
      <c r="AB71" s="259"/>
      <c r="AC71" s="259"/>
      <c r="AD71" s="259"/>
    </row>
    <row r="72" spans="1:30" hidden="1" x14ac:dyDescent="0.25">
      <c r="A72" s="260"/>
      <c r="B72" s="206"/>
      <c r="C72" s="203" t="s">
        <v>62</v>
      </c>
      <c r="D72" s="202">
        <f t="shared" ref="D72:O72" si="10">D71*$W$17/$B$34</f>
        <v>7.5000000000000039E-2</v>
      </c>
      <c r="E72" s="202">
        <f t="shared" si="10"/>
        <v>8.6250000000000035E-2</v>
      </c>
      <c r="F72" s="202">
        <f t="shared" si="10"/>
        <v>9.0625000000000039E-2</v>
      </c>
      <c r="G72" s="202">
        <f t="shared" si="10"/>
        <v>9.3125000000000027E-2</v>
      </c>
      <c r="H72" s="202">
        <f t="shared" si="10"/>
        <v>9.3125000000000027E-2</v>
      </c>
      <c r="I72" s="202">
        <f t="shared" si="10"/>
        <v>0</v>
      </c>
      <c r="J72" s="202">
        <f t="shared" si="10"/>
        <v>0</v>
      </c>
      <c r="K72" s="202">
        <f t="shared" si="10"/>
        <v>0</v>
      </c>
      <c r="L72" s="202">
        <f t="shared" si="10"/>
        <v>0</v>
      </c>
      <c r="M72" s="202">
        <f t="shared" si="10"/>
        <v>0</v>
      </c>
      <c r="N72" s="202">
        <f t="shared" si="10"/>
        <v>0</v>
      </c>
      <c r="O72" s="202">
        <f t="shared" si="10"/>
        <v>0</v>
      </c>
      <c r="P72" s="201">
        <f>SUM(D72:O72)</f>
        <v>0.4381250000000001</v>
      </c>
      <c r="Q72" s="261"/>
      <c r="R72" s="260"/>
      <c r="S72" s="259"/>
      <c r="T72" s="259"/>
      <c r="U72" s="259"/>
      <c r="V72" s="259"/>
      <c r="W72" s="259"/>
      <c r="X72" s="259"/>
      <c r="Y72" s="259"/>
      <c r="Z72" s="259"/>
      <c r="AA72" s="259"/>
      <c r="AB72" s="259"/>
      <c r="AC72" s="259"/>
      <c r="AD72" s="259"/>
    </row>
    <row r="73" spans="1:30" hidden="1" x14ac:dyDescent="0.25">
      <c r="A73" s="261"/>
      <c r="B73" s="205"/>
      <c r="C73" s="205"/>
      <c r="D73" s="205"/>
      <c r="E73" s="205"/>
      <c r="F73" s="205"/>
      <c r="G73" s="205"/>
      <c r="H73" s="205"/>
      <c r="I73" s="205"/>
      <c r="J73" s="205"/>
      <c r="K73" s="205"/>
      <c r="L73" s="205"/>
      <c r="M73" s="205"/>
      <c r="N73" s="205"/>
      <c r="O73" s="205"/>
      <c r="P73" s="205"/>
      <c r="Q73" s="261"/>
      <c r="R73" s="261"/>
      <c r="S73" s="259"/>
      <c r="T73" s="259"/>
      <c r="U73" s="259"/>
      <c r="V73" s="259"/>
      <c r="W73" s="259"/>
      <c r="X73" s="259"/>
      <c r="Y73" s="259"/>
      <c r="Z73" s="259"/>
      <c r="AA73" s="259"/>
      <c r="AB73" s="259"/>
      <c r="AC73" s="259"/>
      <c r="AD73" s="259"/>
    </row>
    <row r="74" spans="1:30" hidden="1" x14ac:dyDescent="0.25">
      <c r="A74" s="262"/>
      <c r="B74" s="108"/>
      <c r="C74" s="108"/>
      <c r="D74" s="204">
        <f>+D57+D59+D61+D63</f>
        <v>2.4400000000000012E-2</v>
      </c>
      <c r="E74" s="204">
        <f t="shared" ref="E74:P74" si="11">+E57+E59+E61+E63</f>
        <v>2.9000000000000012E-2</v>
      </c>
      <c r="F74" s="204">
        <f t="shared" si="11"/>
        <v>2.9000000000000012E-2</v>
      </c>
      <c r="G74" s="204">
        <f t="shared" si="11"/>
        <v>2.9000000000000012E-2</v>
      </c>
      <c r="H74" s="204">
        <f t="shared" si="11"/>
        <v>2.9000000000000012E-2</v>
      </c>
      <c r="I74" s="204">
        <f t="shared" si="11"/>
        <v>2.580000000000001E-2</v>
      </c>
      <c r="J74" s="204">
        <f t="shared" si="11"/>
        <v>2.580000000000001E-2</v>
      </c>
      <c r="K74" s="204">
        <f t="shared" si="11"/>
        <v>2.580000000000001E-2</v>
      </c>
      <c r="L74" s="204">
        <f t="shared" si="11"/>
        <v>2.580000000000001E-2</v>
      </c>
      <c r="M74" s="204">
        <f t="shared" si="11"/>
        <v>2.580000000000001E-2</v>
      </c>
      <c r="N74" s="204">
        <f t="shared" si="11"/>
        <v>2.580000000000001E-2</v>
      </c>
      <c r="O74" s="204">
        <f t="shared" si="11"/>
        <v>2.480000000000001E-2</v>
      </c>
      <c r="P74" s="204">
        <f t="shared" si="11"/>
        <v>0.32000000000000017</v>
      </c>
      <c r="Q74" s="262"/>
      <c r="R74" s="262"/>
      <c r="S74" s="259"/>
      <c r="T74" s="259"/>
      <c r="U74" s="259"/>
      <c r="V74" s="259"/>
      <c r="W74" s="259"/>
      <c r="X74" s="259"/>
      <c r="Y74" s="259"/>
      <c r="Z74" s="259"/>
      <c r="AA74" s="259"/>
      <c r="AB74" s="259"/>
      <c r="AC74" s="259"/>
      <c r="AD74" s="259"/>
    </row>
    <row r="75" spans="1:30" hidden="1" x14ac:dyDescent="0.25">
      <c r="A75" s="262"/>
      <c r="B75" s="108"/>
      <c r="C75" s="203" t="s">
        <v>61</v>
      </c>
      <c r="D75" s="202">
        <f t="shared" ref="D75:O75" si="12">D74*$W$17/$B$34</f>
        <v>7.625000000000004E-2</v>
      </c>
      <c r="E75" s="202">
        <f t="shared" si="12"/>
        <v>9.0625000000000039E-2</v>
      </c>
      <c r="F75" s="202">
        <f t="shared" si="12"/>
        <v>9.0625000000000039E-2</v>
      </c>
      <c r="G75" s="202">
        <f t="shared" si="12"/>
        <v>9.0625000000000039E-2</v>
      </c>
      <c r="H75" s="202">
        <f t="shared" si="12"/>
        <v>9.0625000000000039E-2</v>
      </c>
      <c r="I75" s="202">
        <f t="shared" si="12"/>
        <v>8.062500000000003E-2</v>
      </c>
      <c r="J75" s="202">
        <f t="shared" si="12"/>
        <v>8.062500000000003E-2</v>
      </c>
      <c r="K75" s="202">
        <f t="shared" si="12"/>
        <v>8.062500000000003E-2</v>
      </c>
      <c r="L75" s="202">
        <f t="shared" si="12"/>
        <v>8.062500000000003E-2</v>
      </c>
      <c r="M75" s="202">
        <f t="shared" si="12"/>
        <v>8.062500000000003E-2</v>
      </c>
      <c r="N75" s="202">
        <f t="shared" si="12"/>
        <v>8.062500000000003E-2</v>
      </c>
      <c r="O75" s="202">
        <f t="shared" si="12"/>
        <v>7.7500000000000027E-2</v>
      </c>
      <c r="P75" s="201">
        <f>SUM(D75:O75)</f>
        <v>1.0000000000000007</v>
      </c>
      <c r="Q75" s="262"/>
      <c r="R75" s="262"/>
      <c r="S75" s="259"/>
      <c r="T75" s="259"/>
      <c r="U75" s="259"/>
      <c r="V75" s="259"/>
      <c r="W75" s="259"/>
      <c r="X75" s="259"/>
      <c r="Y75" s="259"/>
      <c r="Z75" s="259"/>
      <c r="AA75" s="259"/>
      <c r="AB75" s="259"/>
      <c r="AC75" s="259"/>
      <c r="AD75" s="259"/>
    </row>
    <row r="76" spans="1:30" hidden="1" x14ac:dyDescent="0.25">
      <c r="A76" s="259"/>
      <c r="Q76" s="259"/>
      <c r="R76" s="259"/>
      <c r="S76" s="259"/>
      <c r="T76" s="259"/>
      <c r="U76" s="259"/>
      <c r="V76" s="259"/>
      <c r="W76" s="259"/>
      <c r="X76" s="259"/>
      <c r="Y76" s="259"/>
      <c r="Z76" s="259"/>
      <c r="AA76" s="259"/>
      <c r="AB76" s="259"/>
      <c r="AC76" s="259"/>
      <c r="AD76" s="259"/>
    </row>
    <row r="77" spans="1:30" x14ac:dyDescent="0.25">
      <c r="A77" s="259"/>
      <c r="Q77" s="259"/>
      <c r="R77" s="259"/>
      <c r="S77" s="259"/>
      <c r="T77" s="259"/>
      <c r="U77" s="259"/>
      <c r="V77" s="259"/>
      <c r="W77" s="259"/>
      <c r="X77" s="259"/>
      <c r="Y77" s="259"/>
      <c r="Z77" s="259"/>
      <c r="AA77" s="259"/>
      <c r="AB77" s="259"/>
      <c r="AC77" s="259"/>
      <c r="AD77" s="259"/>
    </row>
    <row r="78" spans="1:30" x14ac:dyDescent="0.25">
      <c r="A78" s="259"/>
      <c r="Q78" s="259"/>
      <c r="R78" s="259"/>
      <c r="S78" s="259"/>
      <c r="T78" s="259"/>
      <c r="U78" s="259"/>
      <c r="V78" s="259"/>
      <c r="W78" s="259"/>
      <c r="X78" s="259"/>
      <c r="Y78" s="259"/>
      <c r="Z78" s="259"/>
      <c r="AA78" s="259"/>
      <c r="AB78" s="259"/>
      <c r="AC78" s="259"/>
      <c r="AD78" s="259"/>
    </row>
    <row r="79" spans="1:30" x14ac:dyDescent="0.25">
      <c r="A79" s="259"/>
      <c r="Q79" s="259"/>
      <c r="R79" s="259"/>
      <c r="S79" s="259"/>
      <c r="T79" s="259"/>
      <c r="U79" s="259"/>
      <c r="V79" s="259"/>
      <c r="W79" s="259"/>
      <c r="X79" s="259"/>
      <c r="Y79" s="259"/>
      <c r="Z79" s="259"/>
      <c r="AA79" s="259"/>
      <c r="AB79" s="259"/>
      <c r="AC79" s="259"/>
      <c r="AD79" s="259"/>
    </row>
    <row r="80" spans="1:30" x14ac:dyDescent="0.25">
      <c r="A80" s="259"/>
      <c r="Q80" s="259"/>
      <c r="R80" s="259"/>
      <c r="S80" s="259"/>
      <c r="T80" s="259"/>
      <c r="U80" s="259"/>
      <c r="V80" s="259"/>
      <c r="W80" s="259"/>
      <c r="X80" s="259"/>
      <c r="Y80" s="259"/>
      <c r="Z80" s="259"/>
      <c r="AA80" s="259"/>
      <c r="AB80" s="259"/>
      <c r="AC80" s="259"/>
      <c r="AD80" s="259"/>
    </row>
    <row r="81" spans="1:30" x14ac:dyDescent="0.25">
      <c r="A81" s="259"/>
      <c r="Q81" s="259"/>
      <c r="R81" s="259"/>
      <c r="S81" s="259"/>
      <c r="T81" s="259"/>
      <c r="U81" s="259"/>
      <c r="V81" s="259"/>
      <c r="W81" s="259"/>
      <c r="X81" s="259"/>
      <c r="Y81" s="259"/>
      <c r="Z81" s="259"/>
      <c r="AA81" s="259"/>
      <c r="AB81" s="259"/>
      <c r="AC81" s="259"/>
      <c r="AD81" s="259"/>
    </row>
    <row r="82" spans="1:30" x14ac:dyDescent="0.25">
      <c r="A82" s="259"/>
      <c r="Q82" s="259"/>
      <c r="R82" s="259"/>
      <c r="S82" s="259"/>
      <c r="T82" s="259"/>
      <c r="U82" s="259"/>
      <c r="V82" s="259"/>
      <c r="W82" s="259"/>
      <c r="X82" s="259"/>
      <c r="Y82" s="259"/>
      <c r="Z82" s="259"/>
      <c r="AA82" s="259"/>
      <c r="AB82" s="259"/>
      <c r="AC82" s="259"/>
      <c r="AD82" s="259"/>
    </row>
    <row r="83" spans="1:30" x14ac:dyDescent="0.25">
      <c r="A83" s="259"/>
      <c r="Q83" s="259"/>
      <c r="R83" s="259"/>
      <c r="S83" s="259"/>
      <c r="T83" s="259"/>
      <c r="U83" s="259"/>
      <c r="V83" s="259"/>
      <c r="W83" s="259"/>
      <c r="X83" s="259"/>
      <c r="Y83" s="259"/>
      <c r="Z83" s="259"/>
      <c r="AA83" s="259"/>
      <c r="AB83" s="259"/>
      <c r="AC83" s="259"/>
      <c r="AD83" s="259"/>
    </row>
    <row r="84" spans="1:30" x14ac:dyDescent="0.25">
      <c r="A84" s="259"/>
      <c r="Q84" s="259"/>
      <c r="R84" s="259"/>
      <c r="S84" s="259"/>
      <c r="T84" s="259"/>
      <c r="U84" s="259"/>
      <c r="V84" s="259"/>
      <c r="W84" s="259"/>
      <c r="X84" s="259"/>
      <c r="Y84" s="259"/>
      <c r="Z84" s="259"/>
      <c r="AA84" s="259"/>
      <c r="AB84" s="259"/>
      <c r="AC84" s="259"/>
      <c r="AD84" s="259"/>
    </row>
    <row r="85" spans="1:30" x14ac:dyDescent="0.25">
      <c r="A85" s="259"/>
      <c r="Q85" s="259"/>
      <c r="R85" s="259"/>
      <c r="S85" s="259"/>
      <c r="T85" s="259"/>
      <c r="U85" s="259"/>
      <c r="V85" s="259"/>
      <c r="W85" s="259"/>
      <c r="X85" s="259"/>
      <c r="Y85" s="259"/>
      <c r="Z85" s="259"/>
      <c r="AA85" s="259"/>
      <c r="AB85" s="259"/>
      <c r="AC85" s="259"/>
      <c r="AD85" s="259"/>
    </row>
    <row r="86" spans="1:30" x14ac:dyDescent="0.25">
      <c r="A86" s="259"/>
      <c r="Q86" s="259"/>
      <c r="R86" s="259"/>
      <c r="S86" s="259"/>
      <c r="T86" s="259"/>
      <c r="U86" s="259"/>
      <c r="V86" s="259"/>
      <c r="W86" s="259"/>
      <c r="X86" s="259"/>
      <c r="Y86" s="259"/>
      <c r="Z86" s="259"/>
      <c r="AA86" s="259"/>
      <c r="AB86" s="259"/>
      <c r="AC86" s="259"/>
      <c r="AD86" s="259"/>
    </row>
    <row r="87" spans="1:30" x14ac:dyDescent="0.25">
      <c r="A87" s="259"/>
      <c r="Q87" s="259"/>
      <c r="R87" s="259"/>
      <c r="S87" s="259"/>
      <c r="T87" s="259"/>
      <c r="U87" s="259"/>
      <c r="V87" s="259"/>
      <c r="W87" s="259"/>
      <c r="X87" s="259"/>
      <c r="Y87" s="259"/>
      <c r="Z87" s="259"/>
      <c r="AA87" s="259"/>
      <c r="AB87" s="259"/>
      <c r="AC87" s="259"/>
      <c r="AD87" s="259"/>
    </row>
    <row r="88" spans="1:30" x14ac:dyDescent="0.25">
      <c r="A88" s="259"/>
      <c r="Q88" s="259"/>
      <c r="R88" s="259"/>
      <c r="S88" s="259"/>
      <c r="T88" s="259"/>
      <c r="U88" s="259"/>
      <c r="V88" s="259"/>
      <c r="W88" s="259"/>
      <c r="X88" s="259"/>
      <c r="Y88" s="259"/>
      <c r="Z88" s="259"/>
      <c r="AA88" s="259"/>
      <c r="AB88" s="259"/>
      <c r="AC88" s="259"/>
      <c r="AD88" s="259"/>
    </row>
    <row r="89" spans="1:30" x14ac:dyDescent="0.25">
      <c r="A89" s="259"/>
      <c r="Q89" s="259"/>
      <c r="R89" s="259"/>
      <c r="S89" s="259"/>
      <c r="T89" s="259"/>
      <c r="U89" s="259"/>
      <c r="V89" s="259"/>
      <c r="W89" s="259"/>
      <c r="X89" s="259"/>
      <c r="Y89" s="259"/>
      <c r="Z89" s="259"/>
      <c r="AA89" s="259"/>
      <c r="AB89" s="259"/>
      <c r="AC89" s="259"/>
      <c r="AD89" s="259"/>
    </row>
    <row r="90" spans="1:30" x14ac:dyDescent="0.25">
      <c r="A90" s="259"/>
      <c r="Q90" s="259"/>
      <c r="R90" s="259"/>
      <c r="S90" s="259"/>
      <c r="T90" s="259"/>
      <c r="U90" s="259"/>
      <c r="V90" s="259"/>
      <c r="W90" s="259"/>
      <c r="X90" s="259"/>
      <c r="Y90" s="259"/>
      <c r="Z90" s="259"/>
      <c r="AA90" s="259"/>
      <c r="AB90" s="259"/>
      <c r="AC90" s="259"/>
      <c r="AD90" s="259"/>
    </row>
    <row r="91" spans="1:30" x14ac:dyDescent="0.25">
      <c r="A91" s="259"/>
      <c r="Q91" s="259"/>
      <c r="R91" s="259"/>
      <c r="S91" s="259"/>
      <c r="T91" s="259"/>
      <c r="U91" s="259"/>
      <c r="V91" s="259"/>
      <c r="W91" s="259"/>
      <c r="X91" s="259"/>
      <c r="Y91" s="259"/>
      <c r="Z91" s="259"/>
      <c r="AA91" s="259"/>
      <c r="AB91" s="259"/>
      <c r="AC91" s="259"/>
      <c r="AD91" s="259"/>
    </row>
    <row r="92" spans="1:30" x14ac:dyDescent="0.25">
      <c r="A92" s="259"/>
      <c r="Q92" s="259"/>
      <c r="R92" s="259"/>
      <c r="S92" s="259"/>
      <c r="T92" s="259"/>
      <c r="U92" s="259"/>
      <c r="V92" s="259"/>
      <c r="W92" s="259"/>
      <c r="X92" s="259"/>
      <c r="Y92" s="259"/>
      <c r="Z92" s="259"/>
      <c r="AA92" s="259"/>
      <c r="AB92" s="259"/>
      <c r="AC92" s="259"/>
      <c r="AD92" s="259"/>
    </row>
    <row r="93" spans="1:30" x14ac:dyDescent="0.25">
      <c r="A93" s="259"/>
      <c r="Q93" s="259"/>
      <c r="R93" s="259"/>
      <c r="S93" s="259"/>
      <c r="T93" s="259"/>
      <c r="U93" s="259"/>
      <c r="V93" s="259"/>
      <c r="W93" s="259"/>
      <c r="X93" s="259"/>
      <c r="Y93" s="259"/>
      <c r="Z93" s="259"/>
      <c r="AA93" s="259"/>
      <c r="AB93" s="259"/>
      <c r="AC93" s="259"/>
      <c r="AD93" s="259"/>
    </row>
    <row r="94" spans="1:30" x14ac:dyDescent="0.25">
      <c r="A94" s="259"/>
      <c r="Q94" s="259"/>
      <c r="R94" s="259"/>
      <c r="S94" s="259"/>
      <c r="T94" s="259"/>
      <c r="U94" s="259"/>
      <c r="V94" s="259"/>
      <c r="W94" s="259"/>
      <c r="X94" s="259"/>
      <c r="Y94" s="259"/>
      <c r="Z94" s="259"/>
      <c r="AA94" s="259"/>
      <c r="AB94" s="259"/>
      <c r="AC94" s="259"/>
      <c r="AD94" s="259"/>
    </row>
    <row r="95" spans="1:30" x14ac:dyDescent="0.25">
      <c r="A95" s="259"/>
      <c r="Q95" s="259"/>
      <c r="R95" s="259"/>
      <c r="S95" s="259"/>
      <c r="T95" s="259"/>
      <c r="U95" s="259"/>
      <c r="V95" s="259"/>
      <c r="W95" s="259"/>
      <c r="X95" s="259"/>
      <c r="Y95" s="259"/>
      <c r="Z95" s="259"/>
      <c r="AA95" s="259"/>
      <c r="AB95" s="259"/>
      <c r="AC95" s="259"/>
      <c r="AD95" s="259"/>
    </row>
    <row r="96" spans="1:30" x14ac:dyDescent="0.25">
      <c r="A96" s="259"/>
      <c r="Q96" s="259"/>
      <c r="R96" s="259"/>
      <c r="S96" s="259"/>
      <c r="T96" s="259"/>
      <c r="U96" s="259"/>
      <c r="V96" s="259"/>
      <c r="W96" s="259"/>
      <c r="X96" s="259"/>
      <c r="Y96" s="259"/>
      <c r="Z96" s="259"/>
      <c r="AA96" s="259"/>
      <c r="AB96" s="259"/>
      <c r="AC96" s="259"/>
      <c r="AD96" s="259"/>
    </row>
    <row r="97" spans="1:30" x14ac:dyDescent="0.25">
      <c r="A97" s="259"/>
      <c r="Q97" s="259"/>
      <c r="R97" s="259"/>
      <c r="S97" s="259"/>
      <c r="T97" s="259"/>
      <c r="U97" s="259"/>
      <c r="V97" s="259"/>
      <c r="W97" s="259"/>
      <c r="X97" s="259"/>
      <c r="Y97" s="259"/>
      <c r="Z97" s="259"/>
      <c r="AA97" s="259"/>
      <c r="AB97" s="259"/>
      <c r="AC97" s="259"/>
      <c r="AD97" s="259"/>
    </row>
    <row r="98" spans="1:30" x14ac:dyDescent="0.25">
      <c r="A98" s="259"/>
      <c r="Q98" s="259"/>
      <c r="R98" s="259"/>
      <c r="S98" s="259"/>
      <c r="T98" s="259"/>
      <c r="U98" s="259"/>
      <c r="V98" s="259"/>
      <c r="W98" s="259"/>
      <c r="X98" s="259"/>
      <c r="Y98" s="259"/>
      <c r="Z98" s="259"/>
      <c r="AA98" s="259"/>
      <c r="AB98" s="259"/>
      <c r="AC98" s="259"/>
      <c r="AD98" s="259"/>
    </row>
    <row r="99" spans="1:30" x14ac:dyDescent="0.25">
      <c r="A99" s="259"/>
      <c r="Q99" s="259"/>
      <c r="R99" s="259"/>
      <c r="S99" s="259"/>
      <c r="T99" s="259"/>
      <c r="U99" s="259"/>
      <c r="V99" s="259"/>
      <c r="W99" s="259"/>
      <c r="X99" s="259"/>
      <c r="Y99" s="259"/>
      <c r="Z99" s="259"/>
      <c r="AA99" s="259"/>
      <c r="AB99" s="259"/>
      <c r="AC99" s="259"/>
      <c r="AD99" s="259"/>
    </row>
    <row r="100" spans="1:30" x14ac:dyDescent="0.25">
      <c r="A100" s="259"/>
      <c r="Q100" s="259"/>
      <c r="R100" s="259"/>
      <c r="S100" s="259"/>
      <c r="T100" s="259"/>
      <c r="U100" s="259"/>
      <c r="V100" s="259"/>
      <c r="W100" s="259"/>
      <c r="X100" s="259"/>
      <c r="Y100" s="259"/>
      <c r="Z100" s="259"/>
      <c r="AA100" s="259"/>
      <c r="AB100" s="259"/>
      <c r="AC100" s="259"/>
      <c r="AD100" s="259"/>
    </row>
    <row r="101" spans="1:30" x14ac:dyDescent="0.25">
      <c r="A101" s="259"/>
      <c r="Q101" s="259"/>
      <c r="R101" s="259"/>
      <c r="S101" s="259"/>
      <c r="T101" s="259"/>
      <c r="U101" s="259"/>
      <c r="V101" s="259"/>
      <c r="W101" s="259"/>
      <c r="X101" s="259"/>
      <c r="Y101" s="259"/>
      <c r="Z101" s="259"/>
      <c r="AA101" s="259"/>
      <c r="AB101" s="259"/>
      <c r="AC101" s="259"/>
      <c r="AD101" s="259"/>
    </row>
    <row r="102" spans="1:30" x14ac:dyDescent="0.25">
      <c r="Q102" s="259"/>
      <c r="R102" s="259"/>
      <c r="S102" s="259"/>
      <c r="T102" s="259"/>
      <c r="U102" s="259"/>
      <c r="V102" s="259"/>
      <c r="W102" s="259"/>
      <c r="X102" s="259"/>
      <c r="Y102" s="259"/>
      <c r="Z102" s="259"/>
      <c r="AA102" s="259"/>
      <c r="AB102" s="259"/>
      <c r="AC102" s="259"/>
      <c r="AD102" s="259"/>
    </row>
    <row r="103" spans="1:30" x14ac:dyDescent="0.25">
      <c r="Q103" s="259"/>
      <c r="R103" s="259"/>
      <c r="S103" s="259"/>
      <c r="T103" s="259"/>
      <c r="U103" s="259"/>
      <c r="V103" s="259"/>
      <c r="W103" s="259"/>
      <c r="X103" s="259"/>
      <c r="Y103" s="259"/>
      <c r="Z103" s="259"/>
      <c r="AA103" s="259"/>
      <c r="AB103" s="259"/>
      <c r="AC103" s="259"/>
      <c r="AD103" s="259"/>
    </row>
    <row r="104" spans="1:30" x14ac:dyDescent="0.25">
      <c r="Q104" s="259"/>
      <c r="R104" s="259"/>
      <c r="S104" s="259"/>
      <c r="T104" s="259"/>
      <c r="U104" s="259"/>
      <c r="V104" s="259"/>
      <c r="W104" s="259"/>
      <c r="X104" s="259"/>
      <c r="Y104" s="259"/>
      <c r="Z104" s="259"/>
      <c r="AA104" s="259"/>
      <c r="AB104" s="259"/>
      <c r="AC104" s="259"/>
      <c r="AD104" s="259"/>
    </row>
    <row r="105" spans="1:30" x14ac:dyDescent="0.25">
      <c r="Q105" s="259"/>
      <c r="R105" s="259"/>
      <c r="S105" s="259"/>
      <c r="T105" s="259"/>
      <c r="U105" s="259"/>
      <c r="V105" s="259"/>
      <c r="W105" s="259"/>
      <c r="X105" s="259"/>
      <c r="Y105" s="259"/>
      <c r="Z105" s="259"/>
      <c r="AA105" s="259"/>
      <c r="AB105" s="259"/>
      <c r="AC105" s="259"/>
      <c r="AD105" s="259"/>
    </row>
    <row r="106" spans="1:30" x14ac:dyDescent="0.25">
      <c r="Q106" s="259"/>
      <c r="R106" s="259"/>
      <c r="S106" s="259"/>
      <c r="T106" s="259"/>
      <c r="U106" s="259"/>
      <c r="V106" s="259"/>
      <c r="W106" s="259"/>
      <c r="X106" s="259"/>
      <c r="Y106" s="259"/>
      <c r="Z106" s="259"/>
      <c r="AA106" s="259"/>
      <c r="AB106" s="259"/>
      <c r="AC106" s="259"/>
      <c r="AD106" s="259"/>
    </row>
    <row r="107" spans="1:30" x14ac:dyDescent="0.25">
      <c r="Q107" s="259"/>
      <c r="R107" s="259"/>
      <c r="S107" s="259"/>
      <c r="T107" s="259"/>
      <c r="U107" s="259"/>
      <c r="V107" s="259"/>
      <c r="W107" s="259"/>
      <c r="X107" s="259"/>
      <c r="Y107" s="259"/>
      <c r="Z107" s="259"/>
      <c r="AA107" s="259"/>
      <c r="AB107" s="259"/>
      <c r="AC107" s="259"/>
      <c r="AD107" s="259"/>
    </row>
    <row r="108" spans="1:30" x14ac:dyDescent="0.25">
      <c r="Q108" s="259"/>
      <c r="R108" s="259"/>
      <c r="S108" s="259"/>
      <c r="T108" s="259"/>
      <c r="U108" s="259"/>
      <c r="V108" s="259"/>
      <c r="W108" s="259"/>
      <c r="X108" s="259"/>
      <c r="Y108" s="259"/>
      <c r="Z108" s="259"/>
      <c r="AA108" s="259"/>
      <c r="AB108" s="259"/>
      <c r="AC108" s="259"/>
      <c r="AD108" s="259"/>
    </row>
    <row r="109" spans="1:30" x14ac:dyDescent="0.25">
      <c r="Q109" s="259"/>
      <c r="R109" s="259"/>
      <c r="S109" s="259"/>
      <c r="T109" s="259"/>
      <c r="U109" s="259"/>
      <c r="V109" s="259"/>
      <c r="W109" s="259"/>
      <c r="X109" s="259"/>
      <c r="Y109" s="259"/>
      <c r="Z109" s="259"/>
      <c r="AA109" s="259"/>
      <c r="AB109" s="259"/>
      <c r="AC109" s="259"/>
      <c r="AD109" s="259"/>
    </row>
    <row r="110" spans="1:30" x14ac:dyDescent="0.25">
      <c r="Q110" s="259"/>
      <c r="R110" s="259"/>
      <c r="S110" s="259"/>
      <c r="T110" s="259"/>
      <c r="U110" s="259"/>
      <c r="V110" s="259"/>
      <c r="W110" s="259"/>
      <c r="X110" s="259"/>
      <c r="Y110" s="259"/>
      <c r="Z110" s="259"/>
      <c r="AA110" s="259"/>
      <c r="AB110" s="259"/>
      <c r="AC110" s="259"/>
      <c r="AD110" s="259"/>
    </row>
    <row r="111" spans="1:30" x14ac:dyDescent="0.25">
      <c r="Q111" s="259"/>
      <c r="R111" s="259"/>
      <c r="S111" s="259"/>
      <c r="T111" s="259"/>
      <c r="U111" s="259"/>
      <c r="V111" s="259"/>
      <c r="W111" s="259"/>
      <c r="X111" s="259"/>
      <c r="Y111" s="259"/>
      <c r="Z111" s="259"/>
      <c r="AA111" s="259"/>
      <c r="AB111" s="259"/>
      <c r="AC111" s="259"/>
      <c r="AD111" s="259"/>
    </row>
    <row r="112" spans="1:30" x14ac:dyDescent="0.25">
      <c r="Q112" s="259"/>
      <c r="R112" s="259"/>
      <c r="S112" s="259"/>
      <c r="T112" s="259"/>
      <c r="U112" s="259"/>
      <c r="V112" s="259"/>
      <c r="W112" s="259"/>
      <c r="X112" s="259"/>
      <c r="Y112" s="259"/>
      <c r="Z112" s="259"/>
      <c r="AA112" s="259"/>
      <c r="AB112" s="259"/>
      <c r="AC112" s="259"/>
      <c r="AD112" s="259"/>
    </row>
    <row r="113" spans="17:30" x14ac:dyDescent="0.25">
      <c r="Q113" s="259"/>
      <c r="R113" s="259"/>
      <c r="S113" s="259"/>
      <c r="T113" s="259"/>
      <c r="U113" s="259"/>
      <c r="V113" s="259"/>
      <c r="W113" s="259"/>
      <c r="X113" s="259"/>
      <c r="Y113" s="259"/>
      <c r="Z113" s="259"/>
      <c r="AA113" s="259"/>
      <c r="AB113" s="259"/>
      <c r="AC113" s="259"/>
      <c r="AD113" s="259"/>
    </row>
    <row r="114" spans="17:30" x14ac:dyDescent="0.25">
      <c r="Q114" s="259"/>
      <c r="R114" s="259"/>
      <c r="S114" s="259"/>
      <c r="T114" s="259"/>
      <c r="U114" s="259"/>
      <c r="V114" s="259"/>
      <c r="W114" s="259"/>
      <c r="X114" s="259"/>
      <c r="Y114" s="259"/>
      <c r="Z114" s="259"/>
      <c r="AA114" s="259"/>
      <c r="AB114" s="259"/>
      <c r="AC114" s="259"/>
      <c r="AD114" s="259"/>
    </row>
    <row r="115" spans="17:30" x14ac:dyDescent="0.25">
      <c r="Q115" s="259"/>
      <c r="R115" s="259"/>
      <c r="S115" s="259"/>
      <c r="T115" s="259"/>
      <c r="U115" s="259"/>
      <c r="V115" s="259"/>
      <c r="W115" s="259"/>
      <c r="X115" s="259"/>
      <c r="Y115" s="259"/>
      <c r="Z115" s="259"/>
      <c r="AA115" s="259"/>
      <c r="AB115" s="259"/>
      <c r="AC115" s="259"/>
      <c r="AD115" s="259"/>
    </row>
    <row r="116" spans="17:30" x14ac:dyDescent="0.25">
      <c r="Q116" s="259"/>
      <c r="R116" s="259"/>
      <c r="S116" s="259"/>
      <c r="T116" s="259"/>
      <c r="U116" s="259"/>
      <c r="V116" s="259"/>
      <c r="W116" s="259"/>
      <c r="X116" s="259"/>
      <c r="Y116" s="259"/>
      <c r="Z116" s="259"/>
      <c r="AA116" s="259"/>
      <c r="AB116" s="259"/>
      <c r="AC116" s="259"/>
      <c r="AD116" s="259"/>
    </row>
    <row r="117" spans="17:30" x14ac:dyDescent="0.25">
      <c r="Q117" s="259"/>
      <c r="R117" s="259"/>
      <c r="S117" s="259"/>
      <c r="T117" s="259"/>
      <c r="U117" s="259"/>
      <c r="V117" s="259"/>
      <c r="W117" s="259"/>
      <c r="X117" s="259"/>
      <c r="Y117" s="259"/>
      <c r="Z117" s="259"/>
      <c r="AA117" s="259"/>
      <c r="AB117" s="259"/>
      <c r="AC117" s="259"/>
      <c r="AD117" s="259"/>
    </row>
    <row r="118" spans="17:30" x14ac:dyDescent="0.25">
      <c r="Q118" s="259"/>
      <c r="R118" s="259"/>
      <c r="S118" s="259"/>
      <c r="T118" s="259"/>
      <c r="U118" s="259"/>
      <c r="V118" s="259"/>
      <c r="W118" s="259"/>
      <c r="X118" s="259"/>
      <c r="Y118" s="259"/>
      <c r="Z118" s="259"/>
      <c r="AA118" s="259"/>
      <c r="AB118" s="259"/>
      <c r="AC118" s="259"/>
      <c r="AD118" s="259"/>
    </row>
    <row r="119" spans="17:30" x14ac:dyDescent="0.25">
      <c r="Q119" s="259"/>
      <c r="R119" s="259"/>
      <c r="S119" s="259"/>
      <c r="T119" s="259"/>
      <c r="U119" s="259"/>
      <c r="V119" s="259"/>
      <c r="W119" s="259"/>
      <c r="X119" s="259"/>
      <c r="Y119" s="259"/>
      <c r="Z119" s="259"/>
      <c r="AA119" s="259"/>
      <c r="AB119" s="259"/>
      <c r="AC119" s="259"/>
      <c r="AD119" s="259"/>
    </row>
    <row r="120" spans="17:30" x14ac:dyDescent="0.25">
      <c r="Q120" s="259"/>
      <c r="R120" s="259"/>
      <c r="S120" s="259"/>
      <c r="T120" s="259"/>
      <c r="U120" s="259"/>
      <c r="V120" s="259"/>
      <c r="W120" s="259"/>
      <c r="X120" s="259"/>
      <c r="Y120" s="259"/>
      <c r="Z120" s="259"/>
      <c r="AA120" s="259"/>
      <c r="AB120" s="259"/>
      <c r="AC120" s="259"/>
      <c r="AD120" s="259"/>
    </row>
    <row r="121" spans="17:30" x14ac:dyDescent="0.25">
      <c r="Q121" s="259"/>
      <c r="R121" s="259"/>
      <c r="S121" s="259"/>
      <c r="T121" s="259"/>
      <c r="U121" s="259"/>
      <c r="V121" s="259"/>
      <c r="W121" s="259"/>
      <c r="X121" s="259"/>
      <c r="Y121" s="259"/>
      <c r="Z121" s="259"/>
      <c r="AA121" s="259"/>
      <c r="AB121" s="259"/>
      <c r="AC121" s="259"/>
      <c r="AD121" s="259"/>
    </row>
    <row r="122" spans="17:30" x14ac:dyDescent="0.25">
      <c r="Q122" s="259"/>
      <c r="R122" s="259"/>
      <c r="S122" s="259"/>
      <c r="T122" s="259"/>
      <c r="U122" s="259"/>
      <c r="V122" s="259"/>
      <c r="W122" s="259"/>
      <c r="X122" s="259"/>
      <c r="Y122" s="259"/>
      <c r="Z122" s="259"/>
      <c r="AA122" s="259"/>
      <c r="AB122" s="259"/>
      <c r="AC122" s="259"/>
      <c r="AD122" s="259"/>
    </row>
    <row r="123" spans="17:30" x14ac:dyDescent="0.25">
      <c r="Q123" s="259"/>
      <c r="R123" s="259"/>
      <c r="S123" s="259"/>
      <c r="T123" s="259"/>
      <c r="U123" s="259"/>
      <c r="V123" s="259"/>
      <c r="W123" s="259"/>
      <c r="X123" s="259"/>
      <c r="Y123" s="259"/>
      <c r="Z123" s="259"/>
      <c r="AA123" s="259"/>
      <c r="AB123" s="259"/>
      <c r="AC123" s="259"/>
      <c r="AD123" s="259"/>
    </row>
    <row r="124" spans="17:30" x14ac:dyDescent="0.25">
      <c r="Q124" s="259"/>
      <c r="R124" s="259"/>
      <c r="S124" s="259"/>
      <c r="T124" s="259"/>
      <c r="U124" s="259"/>
      <c r="V124" s="259"/>
      <c r="W124" s="259"/>
      <c r="X124" s="259"/>
      <c r="Y124" s="259"/>
      <c r="Z124" s="259"/>
      <c r="AA124" s="259"/>
      <c r="AB124" s="259"/>
      <c r="AC124" s="259"/>
      <c r="AD124" s="259"/>
    </row>
    <row r="125" spans="17:30" x14ac:dyDescent="0.25">
      <c r="Q125" s="259"/>
      <c r="R125" s="259"/>
      <c r="S125" s="259"/>
      <c r="T125" s="259"/>
      <c r="U125" s="259"/>
      <c r="V125" s="259"/>
      <c r="W125" s="259"/>
      <c r="X125" s="259"/>
      <c r="Y125" s="259"/>
      <c r="Z125" s="259"/>
      <c r="AA125" s="259"/>
      <c r="AB125" s="259"/>
      <c r="AC125" s="259"/>
      <c r="AD125" s="259"/>
    </row>
    <row r="126" spans="17:30" x14ac:dyDescent="0.25">
      <c r="Q126" s="259"/>
      <c r="R126" s="259"/>
      <c r="S126" s="259"/>
      <c r="T126" s="259"/>
      <c r="U126" s="259"/>
      <c r="V126" s="259"/>
      <c r="W126" s="259"/>
      <c r="X126" s="259"/>
      <c r="Y126" s="259"/>
      <c r="Z126" s="259"/>
      <c r="AA126" s="259"/>
      <c r="AB126" s="259"/>
      <c r="AC126" s="259"/>
      <c r="AD126" s="259"/>
    </row>
    <row r="127" spans="17:30" x14ac:dyDescent="0.25">
      <c r="Q127" s="259"/>
      <c r="R127" s="259"/>
      <c r="S127" s="259"/>
      <c r="T127" s="259"/>
      <c r="U127" s="259"/>
      <c r="V127" s="259"/>
      <c r="W127" s="259"/>
      <c r="X127" s="259"/>
      <c r="Y127" s="259"/>
      <c r="Z127" s="259"/>
      <c r="AA127" s="259"/>
      <c r="AB127" s="259"/>
      <c r="AC127" s="259"/>
      <c r="AD127" s="259"/>
    </row>
    <row r="128" spans="17:30" x14ac:dyDescent="0.25">
      <c r="Q128" s="259"/>
      <c r="R128" s="259"/>
      <c r="S128" s="259"/>
      <c r="T128" s="259"/>
      <c r="U128" s="259"/>
      <c r="V128" s="259"/>
      <c r="W128" s="259"/>
      <c r="X128" s="259"/>
      <c r="Y128" s="259"/>
      <c r="Z128" s="259"/>
      <c r="AA128" s="259"/>
      <c r="AB128" s="259"/>
      <c r="AC128" s="259"/>
      <c r="AD128" s="259"/>
    </row>
    <row r="129" spans="17:30" x14ac:dyDescent="0.25">
      <c r="Q129" s="259"/>
      <c r="R129" s="259"/>
      <c r="S129" s="259"/>
      <c r="T129" s="259"/>
      <c r="U129" s="259"/>
      <c r="V129" s="259"/>
      <c r="W129" s="259"/>
      <c r="X129" s="259"/>
      <c r="Y129" s="259"/>
      <c r="Z129" s="259"/>
      <c r="AA129" s="259"/>
      <c r="AB129" s="259"/>
      <c r="AC129" s="259"/>
      <c r="AD129" s="259"/>
    </row>
    <row r="130" spans="17:30" x14ac:dyDescent="0.25">
      <c r="Q130" s="259"/>
      <c r="R130" s="259"/>
      <c r="S130" s="259"/>
      <c r="T130" s="259"/>
      <c r="U130" s="259"/>
      <c r="V130" s="259"/>
      <c r="W130" s="259"/>
      <c r="X130" s="259"/>
      <c r="Y130" s="259"/>
      <c r="Z130" s="259"/>
      <c r="AA130" s="259"/>
      <c r="AB130" s="259"/>
      <c r="AC130" s="259"/>
      <c r="AD130" s="259"/>
    </row>
    <row r="131" spans="17:30" x14ac:dyDescent="0.25">
      <c r="Q131" s="259"/>
      <c r="R131" s="259"/>
      <c r="S131" s="259"/>
      <c r="T131" s="259"/>
      <c r="U131" s="259"/>
      <c r="V131" s="259"/>
      <c r="W131" s="259"/>
      <c r="X131" s="259"/>
      <c r="Y131" s="259"/>
      <c r="Z131" s="259"/>
      <c r="AA131" s="259"/>
      <c r="AB131" s="259"/>
      <c r="AC131" s="259"/>
      <c r="AD131" s="259"/>
    </row>
    <row r="132" spans="17:30" x14ac:dyDescent="0.25">
      <c r="Q132" s="259"/>
      <c r="R132" s="259"/>
      <c r="S132" s="259"/>
      <c r="T132" s="259"/>
      <c r="U132" s="259"/>
      <c r="V132" s="259"/>
      <c r="W132" s="259"/>
      <c r="X132" s="259"/>
      <c r="Y132" s="259"/>
      <c r="Z132" s="259"/>
      <c r="AA132" s="259"/>
      <c r="AB132" s="259"/>
      <c r="AC132" s="259"/>
      <c r="AD132" s="259"/>
    </row>
    <row r="133" spans="17:30" x14ac:dyDescent="0.25">
      <c r="Q133" s="259"/>
      <c r="R133" s="259"/>
      <c r="S133" s="259"/>
      <c r="T133" s="259"/>
      <c r="U133" s="259"/>
      <c r="V133" s="259"/>
      <c r="W133" s="259"/>
      <c r="X133" s="259"/>
      <c r="Y133" s="259"/>
      <c r="Z133" s="259"/>
      <c r="AA133" s="259"/>
      <c r="AB133" s="259"/>
      <c r="AC133" s="259"/>
      <c r="AD133" s="259"/>
    </row>
    <row r="134" spans="17:30" x14ac:dyDescent="0.25">
      <c r="Q134" s="259"/>
      <c r="R134" s="259"/>
      <c r="S134" s="259"/>
      <c r="T134" s="259"/>
      <c r="U134" s="259"/>
      <c r="V134" s="259"/>
      <c r="W134" s="259"/>
      <c r="X134" s="259"/>
      <c r="Y134" s="259"/>
      <c r="Z134" s="259"/>
      <c r="AA134" s="259"/>
      <c r="AB134" s="259"/>
      <c r="AC134" s="259"/>
      <c r="AD134" s="259"/>
    </row>
    <row r="135" spans="17:30" x14ac:dyDescent="0.25">
      <c r="Q135" s="259"/>
      <c r="R135" s="259"/>
      <c r="S135" s="259"/>
      <c r="T135" s="259"/>
      <c r="U135" s="259"/>
      <c r="V135" s="259"/>
      <c r="W135" s="259"/>
      <c r="X135" s="259"/>
      <c r="Y135" s="259"/>
      <c r="Z135" s="259"/>
      <c r="AA135" s="259"/>
      <c r="AB135" s="259"/>
      <c r="AC135" s="259"/>
      <c r="AD135" s="259"/>
    </row>
    <row r="136" spans="17:30" x14ac:dyDescent="0.25">
      <c r="Q136" s="259"/>
      <c r="R136" s="259"/>
      <c r="S136" s="259"/>
      <c r="T136" s="259"/>
      <c r="U136" s="259"/>
      <c r="V136" s="259"/>
      <c r="W136" s="259"/>
      <c r="X136" s="259"/>
      <c r="Y136" s="259"/>
      <c r="Z136" s="259"/>
      <c r="AA136" s="259"/>
      <c r="AB136" s="259"/>
      <c r="AC136" s="259"/>
      <c r="AD136" s="259"/>
    </row>
    <row r="137" spans="17:30" x14ac:dyDescent="0.25">
      <c r="Q137" s="259"/>
      <c r="R137" s="259"/>
      <c r="S137" s="259"/>
      <c r="T137" s="259"/>
      <c r="U137" s="259"/>
      <c r="V137" s="259"/>
      <c r="W137" s="259"/>
      <c r="X137" s="259"/>
      <c r="Y137" s="259"/>
      <c r="Z137" s="259"/>
      <c r="AA137" s="259"/>
      <c r="AB137" s="259"/>
      <c r="AC137" s="259"/>
      <c r="AD137" s="259"/>
    </row>
    <row r="138" spans="17:30" x14ac:dyDescent="0.25">
      <c r="Q138" s="259"/>
      <c r="R138" s="259"/>
      <c r="S138" s="259"/>
      <c r="T138" s="259"/>
      <c r="U138" s="259"/>
      <c r="V138" s="259"/>
      <c r="W138" s="259"/>
      <c r="X138" s="259"/>
      <c r="Y138" s="259"/>
      <c r="Z138" s="259"/>
      <c r="AA138" s="259"/>
      <c r="AB138" s="259"/>
      <c r="AC138" s="259"/>
      <c r="AD138" s="259"/>
    </row>
    <row r="139" spans="17:30" x14ac:dyDescent="0.25">
      <c r="Q139" s="259"/>
      <c r="R139" s="259"/>
      <c r="S139" s="259"/>
      <c r="T139" s="259"/>
      <c r="U139" s="259"/>
      <c r="V139" s="259"/>
      <c r="W139" s="259"/>
      <c r="X139" s="259"/>
      <c r="Y139" s="259"/>
      <c r="Z139" s="259"/>
      <c r="AA139" s="259"/>
      <c r="AB139" s="259"/>
      <c r="AC139" s="259"/>
      <c r="AD139" s="259"/>
    </row>
    <row r="140" spans="17:30" x14ac:dyDescent="0.25">
      <c r="Q140" s="259"/>
      <c r="R140" s="259"/>
      <c r="S140" s="259"/>
      <c r="T140" s="259"/>
      <c r="U140" s="259"/>
      <c r="V140" s="259"/>
      <c r="W140" s="259"/>
      <c r="X140" s="259"/>
      <c r="Y140" s="259"/>
      <c r="Z140" s="259"/>
      <c r="AA140" s="259"/>
      <c r="AB140" s="259"/>
      <c r="AC140" s="259"/>
      <c r="AD140" s="259"/>
    </row>
    <row r="141" spans="17:30" x14ac:dyDescent="0.25">
      <c r="Q141" s="259"/>
      <c r="R141" s="259"/>
      <c r="S141" s="259"/>
      <c r="T141" s="259"/>
      <c r="U141" s="259"/>
      <c r="V141" s="259"/>
      <c r="W141" s="259"/>
      <c r="X141" s="259"/>
      <c r="Y141" s="259"/>
      <c r="Z141" s="259"/>
      <c r="AA141" s="259"/>
      <c r="AB141" s="259"/>
      <c r="AC141" s="259"/>
      <c r="AD141" s="259"/>
    </row>
    <row r="142" spans="17:30" x14ac:dyDescent="0.25">
      <c r="Q142" s="259"/>
      <c r="R142" s="259"/>
      <c r="S142" s="259"/>
      <c r="T142" s="259"/>
      <c r="U142" s="259"/>
      <c r="V142" s="259"/>
      <c r="W142" s="259"/>
      <c r="X142" s="259"/>
      <c r="Y142" s="259"/>
      <c r="Z142" s="259"/>
      <c r="AA142" s="259"/>
      <c r="AB142" s="259"/>
      <c r="AC142" s="259"/>
      <c r="AD142" s="259"/>
    </row>
    <row r="143" spans="17:30" x14ac:dyDescent="0.25">
      <c r="Q143" s="259"/>
      <c r="R143" s="259"/>
      <c r="S143" s="259"/>
      <c r="T143" s="259"/>
      <c r="U143" s="259"/>
      <c r="V143" s="259"/>
      <c r="W143" s="259"/>
      <c r="X143" s="259"/>
      <c r="Y143" s="259"/>
      <c r="Z143" s="259"/>
      <c r="AA143" s="259"/>
      <c r="AB143" s="259"/>
      <c r="AC143" s="259"/>
      <c r="AD143" s="259"/>
    </row>
    <row r="144" spans="17:30" x14ac:dyDescent="0.25">
      <c r="Q144" s="259"/>
      <c r="R144" s="259"/>
      <c r="S144" s="259"/>
      <c r="T144" s="259"/>
      <c r="U144" s="259"/>
      <c r="V144" s="259"/>
      <c r="W144" s="259"/>
      <c r="X144" s="259"/>
      <c r="Y144" s="259"/>
      <c r="Z144" s="259"/>
      <c r="AA144" s="259"/>
      <c r="AB144" s="259"/>
      <c r="AC144" s="259"/>
      <c r="AD144" s="259"/>
    </row>
    <row r="145" spans="17:30" x14ac:dyDescent="0.25">
      <c r="Q145" s="259"/>
      <c r="R145" s="259"/>
      <c r="S145" s="259"/>
      <c r="T145" s="259"/>
      <c r="U145" s="259"/>
      <c r="V145" s="259"/>
      <c r="W145" s="259"/>
      <c r="X145" s="259"/>
      <c r="Y145" s="259"/>
      <c r="Z145" s="259"/>
      <c r="AA145" s="259"/>
      <c r="AB145" s="259"/>
      <c r="AC145" s="259"/>
      <c r="AD145" s="259"/>
    </row>
    <row r="146" spans="17:30" x14ac:dyDescent="0.25">
      <c r="Q146" s="259"/>
      <c r="R146" s="259"/>
      <c r="S146" s="259"/>
      <c r="T146" s="259"/>
      <c r="U146" s="259"/>
      <c r="V146" s="259"/>
      <c r="W146" s="259"/>
      <c r="X146" s="259"/>
      <c r="Y146" s="259"/>
      <c r="Z146" s="259"/>
      <c r="AA146" s="259"/>
      <c r="AB146" s="259"/>
      <c r="AC146" s="259"/>
      <c r="AD146" s="259"/>
    </row>
    <row r="147" spans="17:30" x14ac:dyDescent="0.25">
      <c r="Q147" s="259"/>
      <c r="R147" s="259"/>
      <c r="S147" s="259"/>
      <c r="T147" s="259"/>
      <c r="U147" s="259"/>
      <c r="V147" s="259"/>
      <c r="W147" s="259"/>
      <c r="X147" s="259"/>
      <c r="Y147" s="259"/>
      <c r="Z147" s="259"/>
      <c r="AA147" s="259"/>
      <c r="AB147" s="259"/>
      <c r="AC147" s="259"/>
      <c r="AD147" s="259"/>
    </row>
    <row r="148" spans="17:30" x14ac:dyDescent="0.25">
      <c r="Q148" s="259"/>
      <c r="R148" s="259"/>
      <c r="S148" s="259"/>
      <c r="T148" s="259"/>
      <c r="U148" s="259"/>
      <c r="V148" s="259"/>
      <c r="W148" s="259"/>
      <c r="X148" s="259"/>
      <c r="Y148" s="259"/>
      <c r="Z148" s="259"/>
      <c r="AA148" s="259"/>
      <c r="AB148" s="259"/>
      <c r="AC148" s="259"/>
      <c r="AD148" s="259"/>
    </row>
    <row r="149" spans="17:30" x14ac:dyDescent="0.25">
      <c r="Q149" s="259"/>
      <c r="R149" s="259"/>
      <c r="S149" s="259"/>
      <c r="T149" s="259"/>
      <c r="U149" s="259"/>
      <c r="V149" s="259"/>
      <c r="W149" s="259"/>
      <c r="X149" s="259"/>
      <c r="Y149" s="259"/>
      <c r="Z149" s="259"/>
      <c r="AA149" s="259"/>
      <c r="AB149" s="259"/>
      <c r="AC149" s="259"/>
      <c r="AD149" s="259"/>
    </row>
    <row r="150" spans="17:30" x14ac:dyDescent="0.25">
      <c r="Q150" s="259"/>
      <c r="R150" s="259"/>
      <c r="S150" s="259"/>
      <c r="T150" s="259"/>
      <c r="U150" s="259"/>
      <c r="V150" s="259"/>
      <c r="W150" s="259"/>
      <c r="X150" s="259"/>
      <c r="Y150" s="259"/>
      <c r="Z150" s="259"/>
      <c r="AA150" s="259"/>
      <c r="AB150" s="259"/>
      <c r="AC150" s="259"/>
      <c r="AD150" s="259"/>
    </row>
    <row r="151" spans="17:30" x14ac:dyDescent="0.25">
      <c r="Q151" s="259"/>
      <c r="R151" s="259"/>
      <c r="S151" s="259"/>
      <c r="T151" s="259"/>
      <c r="U151" s="259"/>
      <c r="V151" s="259"/>
      <c r="W151" s="259"/>
      <c r="X151" s="259"/>
      <c r="Y151" s="259"/>
      <c r="Z151" s="259"/>
      <c r="AA151" s="259"/>
      <c r="AB151" s="259"/>
      <c r="AC151" s="259"/>
      <c r="AD151" s="259"/>
    </row>
    <row r="152" spans="17:30" x14ac:dyDescent="0.25">
      <c r="Q152" s="259"/>
      <c r="R152" s="259"/>
      <c r="S152" s="259"/>
      <c r="T152" s="259"/>
      <c r="U152" s="259"/>
      <c r="V152" s="259"/>
      <c r="W152" s="259"/>
      <c r="X152" s="259"/>
      <c r="Y152" s="259"/>
      <c r="Z152" s="259"/>
      <c r="AA152" s="259"/>
      <c r="AB152" s="259"/>
      <c r="AC152" s="259"/>
      <c r="AD152" s="259"/>
    </row>
    <row r="153" spans="17:30" x14ac:dyDescent="0.25">
      <c r="Q153" s="259"/>
      <c r="R153" s="259"/>
      <c r="S153" s="259"/>
      <c r="T153" s="259"/>
      <c r="U153" s="259"/>
      <c r="V153" s="259"/>
      <c r="W153" s="259"/>
      <c r="X153" s="259"/>
      <c r="Y153" s="259"/>
      <c r="Z153" s="259"/>
      <c r="AA153" s="259"/>
      <c r="AB153" s="259"/>
      <c r="AC153" s="259"/>
      <c r="AD153" s="259"/>
    </row>
    <row r="154" spans="17:30" x14ac:dyDescent="0.25">
      <c r="Q154" s="259"/>
      <c r="R154" s="259"/>
      <c r="S154" s="259"/>
      <c r="T154" s="259"/>
      <c r="U154" s="259"/>
      <c r="V154" s="259"/>
      <c r="W154" s="259"/>
      <c r="X154" s="259"/>
      <c r="Y154" s="259"/>
      <c r="Z154" s="259"/>
      <c r="AA154" s="259"/>
      <c r="AB154" s="259"/>
      <c r="AC154" s="259"/>
      <c r="AD154" s="259"/>
    </row>
    <row r="155" spans="17:30" x14ac:dyDescent="0.25">
      <c r="Q155" s="259"/>
      <c r="R155" s="259"/>
      <c r="S155" s="259"/>
      <c r="T155" s="259"/>
      <c r="U155" s="259"/>
      <c r="V155" s="259"/>
      <c r="W155" s="259"/>
      <c r="X155" s="259"/>
      <c r="Y155" s="259"/>
      <c r="Z155" s="259"/>
      <c r="AA155" s="259"/>
      <c r="AB155" s="259"/>
      <c r="AC155" s="259"/>
      <c r="AD155" s="259"/>
    </row>
    <row r="156" spans="17:30" x14ac:dyDescent="0.25">
      <c r="Q156" s="259"/>
      <c r="R156" s="259"/>
      <c r="S156" s="259"/>
      <c r="T156" s="259"/>
      <c r="U156" s="259"/>
      <c r="V156" s="259"/>
      <c r="W156" s="259"/>
      <c r="X156" s="259"/>
      <c r="Y156" s="259"/>
      <c r="Z156" s="259"/>
      <c r="AA156" s="259"/>
      <c r="AB156" s="259"/>
      <c r="AC156" s="259"/>
      <c r="AD156" s="259"/>
    </row>
    <row r="157" spans="17:30" x14ac:dyDescent="0.25">
      <c r="Q157" s="259"/>
      <c r="R157" s="259"/>
      <c r="S157" s="259"/>
      <c r="T157" s="259"/>
      <c r="U157" s="259"/>
      <c r="V157" s="259"/>
      <c r="W157" s="259"/>
      <c r="X157" s="259"/>
      <c r="Y157" s="259"/>
      <c r="Z157" s="259"/>
      <c r="AA157" s="259"/>
      <c r="AB157" s="259"/>
      <c r="AC157" s="259"/>
      <c r="AD157" s="259"/>
    </row>
    <row r="158" spans="17:30" x14ac:dyDescent="0.25">
      <c r="Q158" s="259"/>
      <c r="R158" s="259"/>
      <c r="S158" s="259"/>
      <c r="T158" s="259"/>
      <c r="U158" s="259"/>
      <c r="V158" s="259"/>
      <c r="W158" s="259"/>
      <c r="X158" s="259"/>
      <c r="Y158" s="259"/>
      <c r="Z158" s="259"/>
      <c r="AA158" s="259"/>
      <c r="AB158" s="259"/>
      <c r="AC158" s="259"/>
      <c r="AD158" s="259"/>
    </row>
    <row r="159" spans="17:30" x14ac:dyDescent="0.25">
      <c r="Q159" s="259"/>
      <c r="R159" s="259"/>
      <c r="S159" s="259"/>
      <c r="T159" s="259"/>
      <c r="U159" s="259"/>
      <c r="V159" s="259"/>
      <c r="W159" s="259"/>
      <c r="X159" s="259"/>
      <c r="Y159" s="259"/>
      <c r="Z159" s="259"/>
      <c r="AA159" s="259"/>
      <c r="AB159" s="259"/>
      <c r="AC159" s="259"/>
      <c r="AD159" s="259"/>
    </row>
    <row r="160" spans="17:30" x14ac:dyDescent="0.25">
      <c r="Q160" s="259"/>
      <c r="R160" s="259"/>
      <c r="S160" s="259"/>
      <c r="T160" s="259"/>
      <c r="U160" s="259"/>
      <c r="V160" s="259"/>
      <c r="W160" s="259"/>
      <c r="X160" s="259"/>
      <c r="Y160" s="259"/>
      <c r="Z160" s="259"/>
      <c r="AA160" s="259"/>
      <c r="AB160" s="259"/>
      <c r="AC160" s="259"/>
      <c r="AD160" s="259"/>
    </row>
    <row r="161" spans="17:30" x14ac:dyDescent="0.25">
      <c r="Q161" s="259"/>
      <c r="R161" s="259"/>
      <c r="S161" s="259"/>
      <c r="T161" s="259"/>
      <c r="U161" s="259"/>
      <c r="V161" s="259"/>
      <c r="W161" s="259"/>
      <c r="X161" s="259"/>
      <c r="Y161" s="259"/>
      <c r="Z161" s="259"/>
      <c r="AA161" s="259"/>
      <c r="AB161" s="259"/>
      <c r="AC161" s="259"/>
      <c r="AD161" s="259"/>
    </row>
    <row r="162" spans="17:30" x14ac:dyDescent="0.25">
      <c r="Q162" s="259"/>
      <c r="R162" s="259"/>
      <c r="S162" s="259"/>
      <c r="T162" s="259"/>
      <c r="U162" s="259"/>
      <c r="V162" s="259"/>
      <c r="W162" s="259"/>
      <c r="X162" s="259"/>
      <c r="Y162" s="259"/>
      <c r="Z162" s="259"/>
      <c r="AA162" s="259"/>
      <c r="AB162" s="259"/>
      <c r="AC162" s="259"/>
      <c r="AD162" s="259"/>
    </row>
    <row r="163" spans="17:30" x14ac:dyDescent="0.25">
      <c r="Q163" s="259"/>
      <c r="R163" s="259"/>
      <c r="S163" s="259"/>
      <c r="T163" s="259"/>
      <c r="U163" s="259"/>
      <c r="V163" s="259"/>
      <c r="W163" s="259"/>
      <c r="X163" s="259"/>
      <c r="Y163" s="259"/>
      <c r="Z163" s="259"/>
      <c r="AA163" s="259"/>
      <c r="AB163" s="259"/>
      <c r="AC163" s="259"/>
      <c r="AD163" s="259"/>
    </row>
    <row r="164" spans="17:30" x14ac:dyDescent="0.25">
      <c r="Q164" s="259"/>
      <c r="R164" s="259"/>
      <c r="S164" s="259"/>
      <c r="T164" s="259"/>
      <c r="U164" s="259"/>
      <c r="V164" s="259"/>
      <c r="W164" s="259"/>
      <c r="X164" s="259"/>
      <c r="Y164" s="259"/>
      <c r="Z164" s="259"/>
      <c r="AA164" s="259"/>
      <c r="AB164" s="259"/>
      <c r="AC164" s="259"/>
      <c r="AD164" s="259"/>
    </row>
    <row r="165" spans="17:30" x14ac:dyDescent="0.25">
      <c r="Q165" s="259"/>
      <c r="R165" s="259"/>
      <c r="S165" s="259"/>
      <c r="T165" s="259"/>
      <c r="U165" s="259"/>
      <c r="V165" s="259"/>
      <c r="W165" s="259"/>
      <c r="X165" s="259"/>
      <c r="Y165" s="259"/>
      <c r="Z165" s="259"/>
      <c r="AA165" s="259"/>
      <c r="AB165" s="259"/>
      <c r="AC165" s="259"/>
      <c r="AD165" s="259"/>
    </row>
    <row r="166" spans="17:30" x14ac:dyDescent="0.25">
      <c r="Q166" s="259"/>
      <c r="R166" s="259"/>
      <c r="S166" s="259"/>
      <c r="T166" s="259"/>
      <c r="U166" s="259"/>
      <c r="V166" s="259"/>
      <c r="W166" s="259"/>
      <c r="X166" s="259"/>
      <c r="Y166" s="259"/>
      <c r="Z166" s="259"/>
      <c r="AA166" s="259"/>
      <c r="AB166" s="259"/>
      <c r="AC166" s="259"/>
      <c r="AD166" s="259"/>
    </row>
    <row r="167" spans="17:30" x14ac:dyDescent="0.25">
      <c r="Q167" s="259"/>
      <c r="R167" s="259"/>
      <c r="S167" s="259"/>
      <c r="T167" s="259"/>
      <c r="U167" s="259"/>
      <c r="V167" s="259"/>
      <c r="W167" s="259"/>
      <c r="X167" s="259"/>
      <c r="Y167" s="259"/>
      <c r="Z167" s="259"/>
      <c r="AA167" s="259"/>
      <c r="AB167" s="259"/>
      <c r="AC167" s="259"/>
      <c r="AD167" s="259"/>
    </row>
    <row r="168" spans="17:30" x14ac:dyDescent="0.25">
      <c r="Q168" s="259"/>
      <c r="R168" s="259"/>
      <c r="S168" s="259"/>
      <c r="T168" s="259"/>
      <c r="U168" s="259"/>
      <c r="V168" s="259"/>
      <c r="W168" s="259"/>
      <c r="X168" s="259"/>
      <c r="Y168" s="259"/>
      <c r="Z168" s="259"/>
      <c r="AA168" s="259"/>
      <c r="AB168" s="259"/>
      <c r="AC168" s="259"/>
      <c r="AD168" s="259"/>
    </row>
    <row r="169" spans="17:30" x14ac:dyDescent="0.25">
      <c r="Q169" s="259"/>
      <c r="R169" s="259"/>
      <c r="S169" s="259"/>
      <c r="T169" s="259"/>
      <c r="U169" s="259"/>
      <c r="V169" s="259"/>
      <c r="W169" s="259"/>
      <c r="X169" s="259"/>
      <c r="Y169" s="259"/>
      <c r="Z169" s="259"/>
      <c r="AA169" s="259"/>
      <c r="AB169" s="259"/>
      <c r="AC169" s="259"/>
      <c r="AD169" s="259"/>
    </row>
    <row r="170" spans="17:30" x14ac:dyDescent="0.25">
      <c r="Q170" s="259"/>
      <c r="R170" s="259"/>
      <c r="S170" s="259"/>
      <c r="T170" s="259"/>
      <c r="U170" s="259"/>
      <c r="V170" s="259"/>
      <c r="W170" s="259"/>
      <c r="X170" s="259"/>
      <c r="Y170" s="259"/>
      <c r="Z170" s="259"/>
      <c r="AA170" s="259"/>
      <c r="AB170" s="259"/>
      <c r="AC170" s="259"/>
      <c r="AD170" s="259"/>
    </row>
    <row r="171" spans="17:30" x14ac:dyDescent="0.25">
      <c r="Q171" s="259"/>
      <c r="R171" s="259"/>
      <c r="S171" s="259"/>
      <c r="T171" s="259"/>
      <c r="U171" s="259"/>
      <c r="V171" s="259"/>
      <c r="W171" s="259"/>
      <c r="X171" s="259"/>
      <c r="Y171" s="259"/>
      <c r="Z171" s="259"/>
      <c r="AA171" s="259"/>
      <c r="AB171" s="259"/>
      <c r="AC171" s="259"/>
      <c r="AD171" s="259"/>
    </row>
    <row r="172" spans="17:30" x14ac:dyDescent="0.25">
      <c r="Q172" s="259"/>
      <c r="R172" s="259"/>
      <c r="S172" s="259"/>
      <c r="T172" s="259"/>
      <c r="U172" s="259"/>
      <c r="V172" s="259"/>
      <c r="W172" s="259"/>
      <c r="X172" s="259"/>
      <c r="Y172" s="259"/>
      <c r="Z172" s="259"/>
      <c r="AA172" s="259"/>
      <c r="AB172" s="259"/>
      <c r="AC172" s="259"/>
      <c r="AD172" s="259"/>
    </row>
    <row r="173" spans="17:30" x14ac:dyDescent="0.25">
      <c r="Q173" s="259"/>
      <c r="R173" s="259"/>
      <c r="S173" s="259"/>
      <c r="T173" s="259"/>
      <c r="U173" s="259"/>
      <c r="V173" s="259"/>
      <c r="W173" s="259"/>
      <c r="X173" s="259"/>
      <c r="Y173" s="259"/>
      <c r="Z173" s="259"/>
      <c r="AA173" s="259"/>
      <c r="AB173" s="259"/>
      <c r="AC173" s="259"/>
      <c r="AD173" s="259"/>
    </row>
    <row r="174" spans="17:30" x14ac:dyDescent="0.25">
      <c r="Q174" s="259"/>
      <c r="R174" s="259"/>
      <c r="S174" s="259"/>
      <c r="T174" s="259"/>
      <c r="U174" s="259"/>
      <c r="V174" s="259"/>
      <c r="W174" s="259"/>
      <c r="X174" s="259"/>
      <c r="Y174" s="259"/>
      <c r="Z174" s="259"/>
      <c r="AA174" s="259"/>
      <c r="AB174" s="259"/>
      <c r="AC174" s="259"/>
      <c r="AD174" s="259"/>
    </row>
    <row r="175" spans="17:30" x14ac:dyDescent="0.25">
      <c r="Q175" s="259"/>
      <c r="R175" s="259"/>
      <c r="S175" s="259"/>
      <c r="T175" s="259"/>
      <c r="U175" s="259"/>
      <c r="V175" s="259"/>
      <c r="W175" s="259"/>
      <c r="X175" s="259"/>
      <c r="Y175" s="259"/>
      <c r="Z175" s="259"/>
      <c r="AA175" s="259"/>
      <c r="AB175" s="259"/>
      <c r="AC175" s="259"/>
      <c r="AD175" s="259"/>
    </row>
    <row r="176" spans="17:30" x14ac:dyDescent="0.25">
      <c r="Q176" s="259"/>
      <c r="R176" s="259"/>
      <c r="S176" s="259"/>
      <c r="T176" s="259"/>
      <c r="U176" s="259"/>
      <c r="V176" s="259"/>
      <c r="W176" s="259"/>
      <c r="X176" s="259"/>
      <c r="Y176" s="259"/>
      <c r="Z176" s="259"/>
      <c r="AA176" s="259"/>
      <c r="AB176" s="259"/>
      <c r="AC176" s="259"/>
      <c r="AD176" s="259"/>
    </row>
    <row r="177" spans="17:30" x14ac:dyDescent="0.25">
      <c r="Q177" s="259"/>
      <c r="R177" s="259"/>
      <c r="S177" s="259"/>
      <c r="T177" s="259"/>
      <c r="U177" s="259"/>
      <c r="V177" s="259"/>
      <c r="W177" s="259"/>
      <c r="X177" s="259"/>
      <c r="Y177" s="259"/>
      <c r="Z177" s="259"/>
      <c r="AA177" s="259"/>
      <c r="AB177" s="259"/>
      <c r="AC177" s="259"/>
      <c r="AD177" s="259"/>
    </row>
    <row r="178" spans="17:30" x14ac:dyDescent="0.25">
      <c r="Q178" s="259"/>
      <c r="R178" s="259"/>
      <c r="S178" s="259"/>
      <c r="T178" s="259"/>
      <c r="U178" s="259"/>
      <c r="V178" s="259"/>
      <c r="W178" s="259"/>
      <c r="X178" s="259"/>
      <c r="Y178" s="259"/>
      <c r="Z178" s="259"/>
      <c r="AA178" s="259"/>
      <c r="AB178" s="259"/>
      <c r="AC178" s="259"/>
      <c r="AD178" s="259"/>
    </row>
    <row r="179" spans="17:30" x14ac:dyDescent="0.25">
      <c r="Q179" s="259"/>
      <c r="R179" s="259"/>
      <c r="S179" s="259"/>
      <c r="T179" s="259"/>
      <c r="U179" s="259"/>
      <c r="V179" s="259"/>
      <c r="W179" s="259"/>
      <c r="X179" s="259"/>
      <c r="Y179" s="259"/>
      <c r="Z179" s="259"/>
      <c r="AA179" s="259"/>
      <c r="AB179" s="259"/>
      <c r="AC179" s="259"/>
      <c r="AD179" s="259"/>
    </row>
    <row r="180" spans="17:30" x14ac:dyDescent="0.25">
      <c r="Q180" s="259"/>
      <c r="R180" s="259"/>
      <c r="S180" s="259"/>
      <c r="T180" s="259"/>
      <c r="U180" s="259"/>
      <c r="V180" s="259"/>
      <c r="W180" s="259"/>
      <c r="X180" s="259"/>
      <c r="Y180" s="259"/>
      <c r="Z180" s="259"/>
      <c r="AA180" s="259"/>
      <c r="AB180" s="259"/>
      <c r="AC180" s="259"/>
      <c r="AD180" s="259"/>
    </row>
    <row r="181" spans="17:30" x14ac:dyDescent="0.25">
      <c r="Q181" s="259"/>
      <c r="R181" s="259"/>
      <c r="S181" s="259"/>
      <c r="T181" s="259"/>
      <c r="U181" s="259"/>
      <c r="V181" s="259"/>
      <c r="W181" s="259"/>
      <c r="X181" s="259"/>
      <c r="Y181" s="259"/>
      <c r="Z181" s="259"/>
      <c r="AA181" s="259"/>
      <c r="AB181" s="259"/>
      <c r="AC181" s="259"/>
      <c r="AD181" s="259"/>
    </row>
    <row r="182" spans="17:30" x14ac:dyDescent="0.25">
      <c r="Q182" s="259"/>
      <c r="R182" s="259"/>
      <c r="S182" s="259"/>
      <c r="T182" s="259"/>
      <c r="U182" s="259"/>
      <c r="V182" s="259"/>
      <c r="W182" s="259"/>
      <c r="X182" s="259"/>
      <c r="Y182" s="259"/>
      <c r="Z182" s="259"/>
      <c r="AA182" s="259"/>
      <c r="AB182" s="259"/>
      <c r="AC182" s="259"/>
      <c r="AD182" s="259"/>
    </row>
    <row r="183" spans="17:30" x14ac:dyDescent="0.25">
      <c r="Q183" s="259"/>
      <c r="R183" s="259"/>
      <c r="S183" s="259"/>
      <c r="T183" s="259"/>
      <c r="U183" s="259"/>
      <c r="V183" s="259"/>
      <c r="W183" s="259"/>
      <c r="X183" s="259"/>
      <c r="Y183" s="259"/>
      <c r="Z183" s="259"/>
      <c r="AA183" s="259"/>
      <c r="AB183" s="259"/>
      <c r="AC183" s="259"/>
      <c r="AD183" s="259"/>
    </row>
    <row r="184" spans="17:30" x14ac:dyDescent="0.25">
      <c r="Q184" s="259"/>
      <c r="R184" s="259"/>
      <c r="S184" s="259"/>
      <c r="T184" s="259"/>
      <c r="U184" s="259"/>
      <c r="V184" s="259"/>
      <c r="W184" s="259"/>
      <c r="X184" s="259"/>
      <c r="Y184" s="259"/>
      <c r="Z184" s="259"/>
      <c r="AA184" s="259"/>
      <c r="AB184" s="259"/>
      <c r="AC184" s="259"/>
      <c r="AD184" s="259"/>
    </row>
    <row r="185" spans="17:30" x14ac:dyDescent="0.25">
      <c r="Q185" s="259"/>
      <c r="R185" s="259"/>
      <c r="S185" s="259"/>
      <c r="T185" s="259"/>
      <c r="U185" s="259"/>
      <c r="V185" s="259"/>
      <c r="W185" s="259"/>
      <c r="X185" s="259"/>
      <c r="Y185" s="259"/>
      <c r="Z185" s="259"/>
      <c r="AA185" s="259"/>
      <c r="AB185" s="259"/>
      <c r="AC185" s="259"/>
      <c r="AD185" s="259"/>
    </row>
    <row r="186" spans="17:30" x14ac:dyDescent="0.25">
      <c r="Q186" s="259"/>
      <c r="R186" s="259"/>
      <c r="S186" s="259"/>
      <c r="T186" s="259"/>
      <c r="U186" s="259"/>
      <c r="V186" s="259"/>
      <c r="W186" s="259"/>
      <c r="X186" s="259"/>
      <c r="Y186" s="259"/>
      <c r="Z186" s="259"/>
      <c r="AA186" s="259"/>
      <c r="AB186" s="259"/>
      <c r="AC186" s="259"/>
      <c r="AD186" s="259"/>
    </row>
    <row r="187" spans="17:30" x14ac:dyDescent="0.25">
      <c r="Q187" s="259"/>
      <c r="R187" s="259"/>
      <c r="S187" s="259"/>
      <c r="T187" s="259"/>
      <c r="U187" s="259"/>
      <c r="V187" s="259"/>
      <c r="W187" s="259"/>
      <c r="X187" s="259"/>
      <c r="Y187" s="259"/>
      <c r="Z187" s="259"/>
      <c r="AA187" s="259"/>
      <c r="AB187" s="259"/>
      <c r="AC187" s="259"/>
      <c r="AD187" s="259"/>
    </row>
    <row r="188" spans="17:30" x14ac:dyDescent="0.25">
      <c r="Q188" s="259"/>
      <c r="R188" s="259"/>
      <c r="S188" s="259"/>
      <c r="T188" s="259"/>
      <c r="U188" s="259"/>
      <c r="V188" s="259"/>
      <c r="W188" s="259"/>
      <c r="X188" s="259"/>
      <c r="Y188" s="259"/>
      <c r="Z188" s="259"/>
      <c r="AA188" s="259"/>
      <c r="AB188" s="259"/>
      <c r="AC188" s="259"/>
      <c r="AD188" s="259"/>
    </row>
    <row r="189" spans="17:30" x14ac:dyDescent="0.25">
      <c r="Q189" s="259"/>
      <c r="R189" s="259"/>
      <c r="S189" s="259"/>
      <c r="T189" s="259"/>
      <c r="U189" s="259"/>
      <c r="V189" s="259"/>
      <c r="W189" s="259"/>
      <c r="X189" s="259"/>
      <c r="Y189" s="259"/>
      <c r="Z189" s="259"/>
      <c r="AA189" s="259"/>
      <c r="AB189" s="259"/>
      <c r="AC189" s="259"/>
      <c r="AD189" s="259"/>
    </row>
    <row r="190" spans="17:30" x14ac:dyDescent="0.25">
      <c r="Q190" s="259"/>
      <c r="R190" s="259"/>
      <c r="S190" s="259"/>
      <c r="T190" s="259"/>
      <c r="U190" s="259"/>
      <c r="V190" s="259"/>
      <c r="W190" s="259"/>
      <c r="X190" s="259"/>
      <c r="Y190" s="259"/>
      <c r="Z190" s="259"/>
      <c r="AA190" s="259"/>
      <c r="AB190" s="259"/>
      <c r="AC190" s="259"/>
      <c r="AD190" s="259"/>
    </row>
    <row r="191" spans="17:30" x14ac:dyDescent="0.25">
      <c r="Q191" s="259"/>
      <c r="R191" s="259"/>
      <c r="S191" s="259"/>
      <c r="T191" s="259"/>
      <c r="U191" s="259"/>
      <c r="V191" s="259"/>
      <c r="W191" s="259"/>
      <c r="X191" s="259"/>
      <c r="Y191" s="259"/>
      <c r="Z191" s="259"/>
      <c r="AA191" s="259"/>
      <c r="AB191" s="259"/>
      <c r="AC191" s="259"/>
      <c r="AD191" s="259"/>
    </row>
    <row r="192" spans="17:30" x14ac:dyDescent="0.25">
      <c r="Q192" s="259"/>
      <c r="R192" s="259"/>
      <c r="S192" s="259"/>
      <c r="T192" s="259"/>
      <c r="U192" s="259"/>
      <c r="V192" s="259"/>
      <c r="W192" s="259"/>
      <c r="X192" s="259"/>
      <c r="Y192" s="259"/>
      <c r="Z192" s="259"/>
      <c r="AA192" s="259"/>
      <c r="AB192" s="259"/>
      <c r="AC192" s="259"/>
      <c r="AD192" s="259"/>
    </row>
    <row r="193" spans="17:30" x14ac:dyDescent="0.25">
      <c r="Q193" s="259"/>
      <c r="R193" s="259"/>
      <c r="S193" s="259"/>
      <c r="T193" s="259"/>
      <c r="U193" s="259"/>
      <c r="V193" s="259"/>
      <c r="W193" s="259"/>
      <c r="X193" s="259"/>
      <c r="Y193" s="259"/>
      <c r="Z193" s="259"/>
      <c r="AA193" s="259"/>
      <c r="AB193" s="259"/>
      <c r="AC193" s="259"/>
      <c r="AD193" s="259"/>
    </row>
    <row r="194" spans="17:30" x14ac:dyDescent="0.25">
      <c r="Q194" s="259"/>
      <c r="R194" s="259"/>
      <c r="S194" s="259"/>
      <c r="T194" s="259"/>
      <c r="U194" s="259"/>
      <c r="V194" s="259"/>
      <c r="W194" s="259"/>
      <c r="X194" s="259"/>
      <c r="Y194" s="259"/>
      <c r="Z194" s="259"/>
      <c r="AA194" s="259"/>
      <c r="AB194" s="259"/>
      <c r="AC194" s="259"/>
      <c r="AD194" s="259"/>
    </row>
    <row r="195" spans="17:30" x14ac:dyDescent="0.25">
      <c r="Q195" s="259"/>
      <c r="R195" s="259"/>
      <c r="S195" s="259"/>
      <c r="T195" s="259"/>
      <c r="U195" s="259"/>
      <c r="V195" s="259"/>
      <c r="W195" s="259"/>
      <c r="X195" s="259"/>
      <c r="Y195" s="259"/>
      <c r="Z195" s="259"/>
      <c r="AA195" s="259"/>
      <c r="AB195" s="259"/>
      <c r="AC195" s="259"/>
      <c r="AD195" s="259"/>
    </row>
    <row r="196" spans="17:30" x14ac:dyDescent="0.25">
      <c r="Q196" s="259"/>
      <c r="R196" s="259"/>
      <c r="S196" s="259"/>
      <c r="T196" s="259"/>
      <c r="U196" s="259"/>
      <c r="V196" s="259"/>
      <c r="W196" s="259"/>
      <c r="X196" s="259"/>
      <c r="Y196" s="259"/>
      <c r="Z196" s="259"/>
      <c r="AA196" s="259"/>
      <c r="AB196" s="259"/>
      <c r="AC196" s="259"/>
      <c r="AD196" s="259"/>
    </row>
    <row r="197" spans="17:30" x14ac:dyDescent="0.25">
      <c r="Q197" s="259"/>
      <c r="R197" s="259"/>
      <c r="S197" s="259"/>
      <c r="T197" s="259"/>
      <c r="U197" s="259"/>
      <c r="V197" s="259"/>
      <c r="W197" s="259"/>
      <c r="X197" s="259"/>
      <c r="Y197" s="259"/>
      <c r="Z197" s="259"/>
      <c r="AA197" s="259"/>
      <c r="AB197" s="259"/>
      <c r="AC197" s="259"/>
      <c r="AD197" s="259"/>
    </row>
    <row r="198" spans="17:30" x14ac:dyDescent="0.25">
      <c r="Q198" s="259"/>
      <c r="R198" s="259"/>
      <c r="S198" s="259"/>
      <c r="T198" s="259"/>
      <c r="U198" s="259"/>
      <c r="V198" s="259"/>
      <c r="W198" s="259"/>
      <c r="X198" s="259"/>
      <c r="Y198" s="259"/>
      <c r="Z198" s="259"/>
      <c r="AA198" s="259"/>
      <c r="AB198" s="259"/>
      <c r="AC198" s="259"/>
      <c r="AD198" s="259"/>
    </row>
    <row r="199" spans="17:30" x14ac:dyDescent="0.25">
      <c r="Q199" s="259"/>
      <c r="R199" s="259"/>
      <c r="S199" s="259"/>
      <c r="T199" s="259"/>
      <c r="U199" s="259"/>
      <c r="V199" s="259"/>
      <c r="W199" s="259"/>
      <c r="X199" s="259"/>
      <c r="Y199" s="259"/>
      <c r="Z199" s="259"/>
      <c r="AA199" s="259"/>
      <c r="AB199" s="259"/>
      <c r="AC199" s="259"/>
      <c r="AD199" s="259"/>
    </row>
    <row r="200" spans="17:30" x14ac:dyDescent="0.25">
      <c r="Q200" s="259"/>
      <c r="R200" s="259"/>
      <c r="S200" s="259"/>
      <c r="T200" s="259"/>
      <c r="U200" s="259"/>
      <c r="V200" s="259"/>
      <c r="W200" s="259"/>
      <c r="X200" s="259"/>
      <c r="Y200" s="259"/>
      <c r="Z200" s="259"/>
      <c r="AA200" s="259"/>
      <c r="AB200" s="259"/>
      <c r="AC200" s="259"/>
      <c r="AD200" s="259"/>
    </row>
    <row r="201" spans="17:30" x14ac:dyDescent="0.25">
      <c r="Q201" s="259"/>
      <c r="R201" s="259"/>
      <c r="S201" s="259"/>
      <c r="T201" s="259"/>
      <c r="U201" s="259"/>
      <c r="V201" s="259"/>
      <c r="W201" s="259"/>
      <c r="X201" s="259"/>
      <c r="Y201" s="259"/>
      <c r="Z201" s="259"/>
      <c r="AA201" s="259"/>
      <c r="AB201" s="259"/>
      <c r="AC201" s="259"/>
      <c r="AD201" s="259"/>
    </row>
    <row r="202" spans="17:30" x14ac:dyDescent="0.25">
      <c r="Q202" s="259"/>
      <c r="R202" s="259"/>
      <c r="S202" s="259"/>
      <c r="T202" s="259"/>
      <c r="U202" s="259"/>
      <c r="V202" s="259"/>
      <c r="W202" s="259"/>
      <c r="X202" s="259"/>
      <c r="Y202" s="259"/>
      <c r="Z202" s="259"/>
      <c r="AA202" s="259"/>
      <c r="AB202" s="259"/>
      <c r="AC202" s="259"/>
      <c r="AD202" s="259"/>
    </row>
    <row r="203" spans="17:30" x14ac:dyDescent="0.25">
      <c r="Q203" s="259"/>
      <c r="R203" s="259"/>
      <c r="S203" s="259"/>
      <c r="T203" s="259"/>
      <c r="U203" s="259"/>
      <c r="V203" s="259"/>
      <c r="W203" s="259"/>
      <c r="X203" s="259"/>
      <c r="Y203" s="259"/>
      <c r="Z203" s="259"/>
      <c r="AA203" s="259"/>
      <c r="AB203" s="259"/>
      <c r="AC203" s="259"/>
      <c r="AD203" s="259"/>
    </row>
    <row r="204" spans="17:30" x14ac:dyDescent="0.25">
      <c r="Q204" s="259"/>
      <c r="R204" s="259"/>
      <c r="S204" s="259"/>
      <c r="T204" s="259"/>
      <c r="U204" s="259"/>
      <c r="V204" s="259"/>
      <c r="W204" s="259"/>
      <c r="X204" s="259"/>
      <c r="Y204" s="259"/>
      <c r="Z204" s="259"/>
      <c r="AA204" s="259"/>
      <c r="AB204" s="259"/>
      <c r="AC204" s="259"/>
      <c r="AD204" s="259"/>
    </row>
    <row r="205" spans="17:30" x14ac:dyDescent="0.25">
      <c r="Q205" s="259"/>
      <c r="R205" s="259"/>
      <c r="S205" s="259"/>
      <c r="T205" s="259"/>
      <c r="U205" s="259"/>
      <c r="V205" s="259"/>
      <c r="W205" s="259"/>
      <c r="X205" s="259"/>
      <c r="Y205" s="259"/>
      <c r="Z205" s="259"/>
      <c r="AA205" s="259"/>
      <c r="AB205" s="259"/>
      <c r="AC205" s="259"/>
      <c r="AD205" s="259"/>
    </row>
    <row r="206" spans="17:30" x14ac:dyDescent="0.25">
      <c r="Q206" s="259"/>
      <c r="R206" s="259"/>
      <c r="S206" s="259"/>
      <c r="T206" s="259"/>
      <c r="U206" s="259"/>
      <c r="V206" s="259"/>
      <c r="W206" s="259"/>
      <c r="X206" s="259"/>
      <c r="Y206" s="259"/>
      <c r="Z206" s="259"/>
      <c r="AA206" s="259"/>
      <c r="AB206" s="259"/>
      <c r="AC206" s="259"/>
      <c r="AD206" s="259"/>
    </row>
    <row r="207" spans="17:30" x14ac:dyDescent="0.25">
      <c r="Q207" s="259"/>
      <c r="R207" s="259"/>
      <c r="S207" s="259"/>
      <c r="T207" s="259"/>
      <c r="U207" s="259"/>
      <c r="V207" s="259"/>
      <c r="W207" s="259"/>
      <c r="X207" s="259"/>
      <c r="Y207" s="259"/>
      <c r="Z207" s="259"/>
      <c r="AA207" s="259"/>
      <c r="AB207" s="259"/>
      <c r="AC207" s="259"/>
      <c r="AD207" s="259"/>
    </row>
    <row r="208" spans="17:30" x14ac:dyDescent="0.25">
      <c r="Q208" s="259"/>
      <c r="R208" s="259"/>
      <c r="S208" s="259"/>
      <c r="T208" s="259"/>
      <c r="U208" s="259"/>
      <c r="V208" s="259"/>
      <c r="W208" s="259"/>
      <c r="X208" s="259"/>
      <c r="Y208" s="259"/>
      <c r="Z208" s="259"/>
      <c r="AA208" s="259"/>
      <c r="AB208" s="259"/>
      <c r="AC208" s="259"/>
      <c r="AD208" s="259"/>
    </row>
    <row r="209" spans="17:30" x14ac:dyDescent="0.25">
      <c r="Q209" s="259"/>
      <c r="R209" s="259"/>
      <c r="S209" s="259"/>
      <c r="T209" s="259"/>
      <c r="U209" s="259"/>
      <c r="V209" s="259"/>
      <c r="W209" s="259"/>
      <c r="X209" s="259"/>
      <c r="Y209" s="259"/>
      <c r="Z209" s="259"/>
      <c r="AA209" s="259"/>
      <c r="AB209" s="259"/>
      <c r="AC209" s="259"/>
      <c r="AD209" s="259"/>
    </row>
    <row r="210" spans="17:30" x14ac:dyDescent="0.25">
      <c r="Q210" s="259"/>
      <c r="R210" s="259"/>
      <c r="S210" s="259"/>
      <c r="T210" s="259"/>
      <c r="U210" s="259"/>
      <c r="V210" s="259"/>
      <c r="W210" s="259"/>
      <c r="X210" s="259"/>
      <c r="Y210" s="259"/>
      <c r="Z210" s="259"/>
      <c r="AA210" s="259"/>
      <c r="AB210" s="259"/>
      <c r="AC210" s="259"/>
      <c r="AD210" s="259"/>
    </row>
    <row r="211" spans="17:30" x14ac:dyDescent="0.25">
      <c r="Q211" s="259"/>
      <c r="R211" s="259"/>
      <c r="S211" s="259"/>
      <c r="T211" s="259"/>
      <c r="U211" s="259"/>
      <c r="V211" s="259"/>
      <c r="W211" s="259"/>
      <c r="X211" s="259"/>
      <c r="Y211" s="259"/>
      <c r="Z211" s="259"/>
      <c r="AA211" s="259"/>
      <c r="AB211" s="259"/>
      <c r="AC211" s="259"/>
      <c r="AD211" s="259"/>
    </row>
    <row r="212" spans="17:30" x14ac:dyDescent="0.25">
      <c r="Q212" s="259"/>
      <c r="R212" s="259"/>
      <c r="S212" s="259"/>
      <c r="T212" s="259"/>
      <c r="U212" s="259"/>
      <c r="V212" s="259"/>
      <c r="W212" s="259"/>
      <c r="X212" s="259"/>
      <c r="Y212" s="259"/>
      <c r="Z212" s="259"/>
      <c r="AA212" s="259"/>
      <c r="AB212" s="259"/>
      <c r="AC212" s="259"/>
      <c r="AD212" s="259"/>
    </row>
    <row r="213" spans="17:30" x14ac:dyDescent="0.25">
      <c r="Q213" s="259"/>
      <c r="R213" s="259"/>
      <c r="S213" s="259"/>
      <c r="T213" s="259"/>
      <c r="U213" s="259"/>
      <c r="V213" s="259"/>
      <c r="W213" s="259"/>
      <c r="X213" s="259"/>
      <c r="Y213" s="259"/>
      <c r="Z213" s="259"/>
      <c r="AA213" s="259"/>
      <c r="AB213" s="259"/>
      <c r="AC213" s="259"/>
      <c r="AD213" s="259"/>
    </row>
    <row r="214" spans="17:30" x14ac:dyDescent="0.25">
      <c r="Q214" s="259"/>
      <c r="R214" s="259"/>
      <c r="S214" s="259"/>
      <c r="T214" s="259"/>
      <c r="U214" s="259"/>
      <c r="V214" s="259"/>
      <c r="W214" s="259"/>
      <c r="X214" s="259"/>
      <c r="Y214" s="259"/>
      <c r="Z214" s="259"/>
      <c r="AA214" s="259"/>
      <c r="AB214" s="259"/>
      <c r="AC214" s="259"/>
      <c r="AD214" s="259"/>
    </row>
    <row r="215" spans="17:30" x14ac:dyDescent="0.25">
      <c r="Q215" s="259"/>
      <c r="R215" s="259"/>
      <c r="S215" s="259"/>
      <c r="T215" s="259"/>
      <c r="U215" s="259"/>
      <c r="V215" s="259"/>
      <c r="W215" s="259"/>
      <c r="X215" s="259"/>
      <c r="Y215" s="259"/>
      <c r="Z215" s="259"/>
      <c r="AA215" s="259"/>
      <c r="AB215" s="259"/>
      <c r="AC215" s="259"/>
      <c r="AD215" s="259"/>
    </row>
    <row r="216" spans="17:30" x14ac:dyDescent="0.25">
      <c r="Q216" s="259"/>
      <c r="R216" s="259"/>
      <c r="S216" s="259"/>
      <c r="T216" s="259"/>
      <c r="U216" s="259"/>
      <c r="V216" s="259"/>
      <c r="W216" s="259"/>
      <c r="X216" s="259"/>
      <c r="Y216" s="259"/>
      <c r="Z216" s="259"/>
      <c r="AA216" s="259"/>
      <c r="AB216" s="259"/>
      <c r="AC216" s="259"/>
      <c r="AD216" s="259"/>
    </row>
    <row r="217" spans="17:30" x14ac:dyDescent="0.25">
      <c r="Q217" s="259"/>
      <c r="R217" s="259"/>
      <c r="S217" s="259"/>
      <c r="T217" s="259"/>
      <c r="U217" s="259"/>
      <c r="V217" s="259"/>
      <c r="W217" s="259"/>
      <c r="X217" s="259"/>
      <c r="Y217" s="259"/>
      <c r="Z217" s="259"/>
      <c r="AA217" s="259"/>
      <c r="AB217" s="259"/>
      <c r="AC217" s="259"/>
      <c r="AD217" s="259"/>
    </row>
    <row r="218" spans="17:30" x14ac:dyDescent="0.25">
      <c r="Q218" s="259"/>
      <c r="R218" s="259"/>
      <c r="S218" s="259"/>
      <c r="T218" s="259"/>
      <c r="U218" s="259"/>
      <c r="V218" s="259"/>
      <c r="W218" s="259"/>
      <c r="X218" s="259"/>
      <c r="Y218" s="259"/>
      <c r="Z218" s="259"/>
      <c r="AA218" s="259"/>
      <c r="AB218" s="259"/>
      <c r="AC218" s="259"/>
      <c r="AD218" s="259"/>
    </row>
    <row r="219" spans="17:30" x14ac:dyDescent="0.25">
      <c r="Q219" s="259"/>
      <c r="R219" s="259"/>
      <c r="S219" s="259"/>
      <c r="T219" s="259"/>
      <c r="U219" s="259"/>
      <c r="V219" s="259"/>
      <c r="W219" s="259"/>
      <c r="X219" s="259"/>
      <c r="Y219" s="259"/>
      <c r="Z219" s="259"/>
      <c r="AA219" s="259"/>
      <c r="AB219" s="259"/>
      <c r="AC219" s="259"/>
      <c r="AD219" s="259"/>
    </row>
    <row r="220" spans="17:30" x14ac:dyDescent="0.25">
      <c r="Q220" s="259"/>
      <c r="R220" s="259"/>
      <c r="S220" s="259"/>
      <c r="T220" s="259"/>
      <c r="U220" s="259"/>
      <c r="V220" s="259"/>
      <c r="W220" s="259"/>
      <c r="X220" s="259"/>
      <c r="Y220" s="259"/>
      <c r="Z220" s="259"/>
      <c r="AA220" s="259"/>
      <c r="AB220" s="259"/>
      <c r="AC220" s="259"/>
      <c r="AD220" s="259"/>
    </row>
    <row r="221" spans="17:30" x14ac:dyDescent="0.25">
      <c r="Q221" s="259"/>
      <c r="R221" s="259"/>
      <c r="S221" s="259"/>
      <c r="T221" s="259"/>
      <c r="U221" s="259"/>
      <c r="V221" s="259"/>
      <c r="W221" s="259"/>
      <c r="X221" s="259"/>
      <c r="Y221" s="259"/>
      <c r="Z221" s="259"/>
      <c r="AA221" s="259"/>
      <c r="AB221" s="259"/>
      <c r="AC221" s="259"/>
      <c r="AD221" s="259"/>
    </row>
    <row r="222" spans="17:30" x14ac:dyDescent="0.25">
      <c r="Q222" s="259"/>
      <c r="R222" s="259"/>
      <c r="S222" s="259"/>
      <c r="T222" s="259"/>
      <c r="U222" s="259"/>
      <c r="V222" s="259"/>
      <c r="W222" s="259"/>
      <c r="X222" s="259"/>
      <c r="Y222" s="259"/>
      <c r="Z222" s="259"/>
      <c r="AA222" s="259"/>
      <c r="AB222" s="259"/>
      <c r="AC222" s="259"/>
      <c r="AD222" s="259"/>
    </row>
    <row r="223" spans="17:30" x14ac:dyDescent="0.25">
      <c r="Q223" s="259"/>
      <c r="R223" s="259"/>
      <c r="S223" s="259"/>
      <c r="T223" s="259"/>
      <c r="U223" s="259"/>
      <c r="V223" s="259"/>
      <c r="W223" s="259"/>
      <c r="X223" s="259"/>
      <c r="Y223" s="259"/>
      <c r="Z223" s="259"/>
      <c r="AA223" s="259"/>
      <c r="AB223" s="259"/>
      <c r="AC223" s="259"/>
      <c r="AD223" s="259"/>
    </row>
    <row r="224" spans="17:30" x14ac:dyDescent="0.25">
      <c r="Q224" s="259"/>
      <c r="R224" s="259"/>
      <c r="S224" s="259"/>
      <c r="T224" s="259"/>
      <c r="U224" s="259"/>
      <c r="V224" s="259"/>
      <c r="W224" s="259"/>
      <c r="X224" s="259"/>
      <c r="Y224" s="259"/>
      <c r="Z224" s="259"/>
      <c r="AA224" s="259"/>
      <c r="AB224" s="259"/>
      <c r="AC224" s="259"/>
      <c r="AD224" s="259"/>
    </row>
    <row r="225" spans="17:30" x14ac:dyDescent="0.25">
      <c r="Q225" s="259"/>
      <c r="R225" s="259"/>
      <c r="S225" s="259"/>
      <c r="T225" s="259"/>
      <c r="U225" s="259"/>
      <c r="V225" s="259"/>
      <c r="W225" s="259"/>
      <c r="X225" s="259"/>
      <c r="Y225" s="259"/>
      <c r="Z225" s="259"/>
      <c r="AA225" s="259"/>
      <c r="AB225" s="259"/>
      <c r="AC225" s="259"/>
      <c r="AD225" s="259"/>
    </row>
    <row r="226" spans="17:30" x14ac:dyDescent="0.25">
      <c r="Q226" s="259"/>
      <c r="R226" s="259"/>
      <c r="S226" s="259"/>
      <c r="T226" s="259"/>
      <c r="U226" s="259"/>
      <c r="V226" s="259"/>
      <c r="W226" s="259"/>
      <c r="X226" s="259"/>
      <c r="Y226" s="259"/>
      <c r="Z226" s="259"/>
      <c r="AA226" s="259"/>
      <c r="AB226" s="259"/>
      <c r="AC226" s="259"/>
      <c r="AD226" s="259"/>
    </row>
    <row r="227" spans="17:30" x14ac:dyDescent="0.25">
      <c r="Q227" s="259"/>
      <c r="R227" s="259"/>
      <c r="S227" s="259"/>
      <c r="T227" s="259"/>
      <c r="U227" s="259"/>
      <c r="V227" s="259"/>
      <c r="W227" s="259"/>
      <c r="X227" s="259"/>
      <c r="Y227" s="259"/>
      <c r="Z227" s="259"/>
      <c r="AA227" s="259"/>
      <c r="AB227" s="259"/>
      <c r="AC227" s="259"/>
      <c r="AD227" s="259"/>
    </row>
    <row r="228" spans="17:30" x14ac:dyDescent="0.25">
      <c r="Q228" s="259"/>
      <c r="R228" s="259"/>
      <c r="S228" s="259"/>
      <c r="T228" s="259"/>
      <c r="U228" s="259"/>
      <c r="V228" s="259"/>
      <c r="W228" s="259"/>
      <c r="X228" s="259"/>
      <c r="Y228" s="259"/>
      <c r="Z228" s="259"/>
      <c r="AA228" s="259"/>
      <c r="AB228" s="259"/>
      <c r="AC228" s="259"/>
      <c r="AD228" s="259"/>
    </row>
    <row r="229" spans="17:30" x14ac:dyDescent="0.25">
      <c r="Q229" s="259"/>
      <c r="R229" s="259"/>
      <c r="S229" s="259"/>
      <c r="T229" s="259"/>
      <c r="U229" s="259"/>
      <c r="V229" s="259"/>
      <c r="W229" s="259"/>
      <c r="X229" s="259"/>
      <c r="Y229" s="259"/>
      <c r="Z229" s="259"/>
      <c r="AA229" s="259"/>
      <c r="AB229" s="259"/>
      <c r="AC229" s="259"/>
      <c r="AD229" s="259"/>
    </row>
    <row r="230" spans="17:30" x14ac:dyDescent="0.25">
      <c r="Q230" s="259"/>
      <c r="R230" s="259"/>
      <c r="S230" s="259"/>
      <c r="T230" s="259"/>
      <c r="U230" s="259"/>
      <c r="V230" s="259"/>
      <c r="W230" s="259"/>
      <c r="X230" s="259"/>
      <c r="Y230" s="259"/>
      <c r="Z230" s="259"/>
      <c r="AA230" s="259"/>
      <c r="AB230" s="259"/>
      <c r="AC230" s="259"/>
      <c r="AD230" s="259"/>
    </row>
    <row r="231" spans="17:30" x14ac:dyDescent="0.25">
      <c r="Q231" s="259"/>
      <c r="R231" s="259"/>
      <c r="S231" s="259"/>
      <c r="T231" s="259"/>
      <c r="U231" s="259"/>
      <c r="V231" s="259"/>
      <c r="W231" s="259"/>
      <c r="X231" s="259"/>
      <c r="Y231" s="259"/>
      <c r="Z231" s="259"/>
      <c r="AA231" s="259"/>
      <c r="AB231" s="259"/>
      <c r="AC231" s="259"/>
      <c r="AD231" s="259"/>
    </row>
    <row r="232" spans="17:30" x14ac:dyDescent="0.25">
      <c r="Q232" s="259"/>
      <c r="R232" s="259"/>
      <c r="S232" s="259"/>
      <c r="T232" s="259"/>
      <c r="U232" s="259"/>
      <c r="V232" s="259"/>
      <c r="W232" s="259"/>
      <c r="X232" s="259"/>
      <c r="Y232" s="259"/>
      <c r="Z232" s="259"/>
      <c r="AA232" s="259"/>
      <c r="AB232" s="259"/>
      <c r="AC232" s="259"/>
      <c r="AD232" s="259"/>
    </row>
    <row r="233" spans="17:30" x14ac:dyDescent="0.25">
      <c r="Q233" s="259"/>
      <c r="R233" s="259"/>
      <c r="S233" s="259"/>
      <c r="T233" s="259"/>
      <c r="U233" s="259"/>
      <c r="V233" s="259"/>
      <c r="W233" s="259"/>
      <c r="X233" s="259"/>
      <c r="Y233" s="259"/>
      <c r="Z233" s="259"/>
      <c r="AA233" s="259"/>
      <c r="AB233" s="259"/>
      <c r="AC233" s="259"/>
      <c r="AD233" s="259"/>
    </row>
    <row r="234" spans="17:30" x14ac:dyDescent="0.25">
      <c r="Q234" s="259"/>
      <c r="R234" s="259"/>
      <c r="S234" s="259"/>
      <c r="T234" s="259"/>
      <c r="U234" s="259"/>
      <c r="V234" s="259"/>
      <c r="W234" s="259"/>
      <c r="X234" s="259"/>
      <c r="Y234" s="259"/>
      <c r="Z234" s="259"/>
      <c r="AA234" s="259"/>
      <c r="AB234" s="259"/>
      <c r="AC234" s="259"/>
      <c r="AD234" s="259"/>
    </row>
    <row r="235" spans="17:30" x14ac:dyDescent="0.25">
      <c r="Q235" s="259"/>
      <c r="R235" s="259"/>
      <c r="S235" s="259"/>
      <c r="T235" s="259"/>
      <c r="U235" s="259"/>
      <c r="V235" s="259"/>
      <c r="W235" s="259"/>
      <c r="X235" s="259"/>
      <c r="Y235" s="259"/>
      <c r="Z235" s="259"/>
      <c r="AA235" s="259"/>
      <c r="AB235" s="259"/>
      <c r="AC235" s="259"/>
      <c r="AD235" s="259"/>
    </row>
    <row r="236" spans="17:30" x14ac:dyDescent="0.25">
      <c r="Q236" s="259"/>
      <c r="R236" s="259"/>
      <c r="S236" s="259"/>
      <c r="T236" s="259"/>
      <c r="U236" s="259"/>
      <c r="V236" s="259"/>
      <c r="W236" s="259"/>
      <c r="X236" s="259"/>
      <c r="Y236" s="259"/>
      <c r="Z236" s="259"/>
      <c r="AA236" s="259"/>
      <c r="AB236" s="259"/>
      <c r="AC236" s="259"/>
      <c r="AD236" s="259"/>
    </row>
    <row r="237" spans="17:30" x14ac:dyDescent="0.25">
      <c r="Q237" s="259"/>
      <c r="R237" s="259"/>
      <c r="S237" s="259"/>
      <c r="T237" s="259"/>
      <c r="U237" s="259"/>
      <c r="V237" s="259"/>
      <c r="W237" s="259"/>
      <c r="X237" s="259"/>
      <c r="Y237" s="259"/>
      <c r="Z237" s="259"/>
      <c r="AA237" s="259"/>
      <c r="AB237" s="259"/>
      <c r="AC237" s="259"/>
      <c r="AD237" s="259"/>
    </row>
    <row r="238" spans="17:30" x14ac:dyDescent="0.25">
      <c r="Q238" s="259"/>
      <c r="R238" s="259"/>
      <c r="S238" s="259"/>
      <c r="T238" s="259"/>
      <c r="U238" s="259"/>
      <c r="V238" s="259"/>
      <c r="W238" s="259"/>
      <c r="X238" s="259"/>
      <c r="Y238" s="259"/>
      <c r="Z238" s="259"/>
      <c r="AA238" s="259"/>
      <c r="AB238" s="259"/>
      <c r="AC238" s="259"/>
      <c r="AD238" s="259"/>
    </row>
    <row r="239" spans="17:30" x14ac:dyDescent="0.25">
      <c r="Q239" s="259"/>
      <c r="R239" s="259"/>
      <c r="S239" s="259"/>
      <c r="T239" s="259"/>
      <c r="U239" s="259"/>
      <c r="V239" s="259"/>
      <c r="W239" s="259"/>
      <c r="X239" s="259"/>
      <c r="Y239" s="259"/>
      <c r="Z239" s="259"/>
      <c r="AA239" s="259"/>
      <c r="AB239" s="259"/>
      <c r="AC239" s="259"/>
      <c r="AD239" s="259"/>
    </row>
    <row r="240" spans="17:30" x14ac:dyDescent="0.25">
      <c r="Q240" s="259"/>
      <c r="R240" s="259"/>
      <c r="S240" s="259"/>
      <c r="T240" s="259"/>
      <c r="U240" s="259"/>
      <c r="V240" s="259"/>
      <c r="W240" s="259"/>
      <c r="X240" s="259"/>
      <c r="Y240" s="259"/>
      <c r="Z240" s="259"/>
      <c r="AA240" s="259"/>
      <c r="AB240" s="259"/>
      <c r="AC240" s="259"/>
      <c r="AD240" s="259"/>
    </row>
    <row r="241" spans="17:30" x14ac:dyDescent="0.25">
      <c r="Q241" s="259"/>
      <c r="R241" s="259"/>
      <c r="S241" s="259"/>
      <c r="T241" s="259"/>
      <c r="U241" s="259"/>
      <c r="V241" s="259"/>
      <c r="W241" s="259"/>
      <c r="X241" s="259"/>
      <c r="Y241" s="259"/>
      <c r="Z241" s="259"/>
      <c r="AA241" s="259"/>
      <c r="AB241" s="259"/>
      <c r="AC241" s="259"/>
      <c r="AD241" s="259"/>
    </row>
    <row r="242" spans="17:30" x14ac:dyDescent="0.25">
      <c r="Q242" s="259"/>
      <c r="R242" s="259"/>
      <c r="S242" s="259"/>
      <c r="T242" s="259"/>
      <c r="U242" s="259"/>
      <c r="V242" s="259"/>
      <c r="W242" s="259"/>
      <c r="X242" s="259"/>
      <c r="Y242" s="259"/>
      <c r="Z242" s="259"/>
      <c r="AA242" s="259"/>
      <c r="AB242" s="259"/>
      <c r="AC242" s="259"/>
      <c r="AD242" s="259"/>
    </row>
    <row r="243" spans="17:30" x14ac:dyDescent="0.25">
      <c r="Q243" s="259"/>
      <c r="R243" s="259"/>
      <c r="S243" s="259"/>
      <c r="T243" s="259"/>
      <c r="U243" s="259"/>
      <c r="V243" s="259"/>
      <c r="W243" s="259"/>
      <c r="X243" s="259"/>
      <c r="Y243" s="259"/>
      <c r="Z243" s="259"/>
      <c r="AA243" s="259"/>
      <c r="AB243" s="259"/>
      <c r="AC243" s="259"/>
      <c r="AD243" s="259"/>
    </row>
    <row r="244" spans="17:30" x14ac:dyDescent="0.25">
      <c r="Q244" s="259"/>
      <c r="R244" s="259"/>
      <c r="S244" s="259"/>
      <c r="T244" s="259"/>
      <c r="U244" s="259"/>
      <c r="V244" s="259"/>
      <c r="W244" s="259"/>
      <c r="X244" s="259"/>
      <c r="Y244" s="259"/>
      <c r="Z244" s="259"/>
      <c r="AA244" s="259"/>
      <c r="AB244" s="259"/>
      <c r="AC244" s="259"/>
      <c r="AD244" s="259"/>
    </row>
    <row r="245" spans="17:30" x14ac:dyDescent="0.25">
      <c r="Q245" s="259"/>
      <c r="R245" s="259"/>
      <c r="S245" s="259"/>
      <c r="T245" s="259"/>
      <c r="U245" s="259"/>
      <c r="V245" s="259"/>
      <c r="W245" s="259"/>
      <c r="X245" s="259"/>
      <c r="Y245" s="259"/>
      <c r="Z245" s="259"/>
      <c r="AA245" s="259"/>
      <c r="AB245" s="259"/>
      <c r="AC245" s="259"/>
      <c r="AD245" s="259"/>
    </row>
    <row r="246" spans="17:30" x14ac:dyDescent="0.25">
      <c r="Q246" s="259"/>
      <c r="R246" s="259"/>
      <c r="S246" s="259"/>
      <c r="T246" s="259"/>
      <c r="U246" s="259"/>
      <c r="V246" s="259"/>
      <c r="W246" s="259"/>
      <c r="X246" s="259"/>
      <c r="Y246" s="259"/>
      <c r="Z246" s="259"/>
      <c r="AA246" s="259"/>
      <c r="AB246" s="259"/>
      <c r="AC246" s="259"/>
      <c r="AD246" s="259"/>
    </row>
    <row r="247" spans="17:30" x14ac:dyDescent="0.25">
      <c r="Q247" s="259"/>
      <c r="R247" s="259"/>
      <c r="S247" s="259"/>
      <c r="T247" s="259"/>
      <c r="U247" s="259"/>
      <c r="V247" s="259"/>
      <c r="W247" s="259"/>
      <c r="X247" s="259"/>
      <c r="Y247" s="259"/>
      <c r="Z247" s="259"/>
      <c r="AA247" s="259"/>
      <c r="AB247" s="259"/>
      <c r="AC247" s="259"/>
      <c r="AD247" s="259"/>
    </row>
    <row r="248" spans="17:30" x14ac:dyDescent="0.25">
      <c r="Q248" s="259"/>
      <c r="R248" s="259"/>
      <c r="S248" s="259"/>
      <c r="T248" s="259"/>
      <c r="U248" s="259"/>
      <c r="V248" s="259"/>
      <c r="W248" s="259"/>
      <c r="X248" s="259"/>
      <c r="Y248" s="259"/>
      <c r="Z248" s="259"/>
      <c r="AA248" s="259"/>
      <c r="AB248" s="259"/>
      <c r="AC248" s="259"/>
      <c r="AD248" s="259"/>
    </row>
    <row r="249" spans="17:30" x14ac:dyDescent="0.25">
      <c r="Q249" s="259"/>
      <c r="R249" s="259"/>
      <c r="S249" s="259"/>
      <c r="T249" s="259"/>
      <c r="U249" s="259"/>
      <c r="V249" s="259"/>
      <c r="W249" s="259"/>
      <c r="X249" s="259"/>
      <c r="Y249" s="259"/>
      <c r="Z249" s="259"/>
      <c r="AA249" s="259"/>
      <c r="AB249" s="259"/>
      <c r="AC249" s="259"/>
      <c r="AD249" s="259"/>
    </row>
    <row r="250" spans="17:30" x14ac:dyDescent="0.25">
      <c r="Q250" s="259"/>
      <c r="R250" s="259"/>
      <c r="S250" s="259"/>
      <c r="T250" s="259"/>
      <c r="U250" s="259"/>
      <c r="V250" s="259"/>
      <c r="W250" s="259"/>
      <c r="X250" s="259"/>
      <c r="Y250" s="259"/>
      <c r="Z250" s="259"/>
      <c r="AA250" s="259"/>
      <c r="AB250" s="259"/>
      <c r="AC250" s="259"/>
      <c r="AD250" s="259"/>
    </row>
    <row r="251" spans="17:30" x14ac:dyDescent="0.25">
      <c r="Q251" s="259"/>
      <c r="R251" s="259"/>
      <c r="S251" s="259"/>
      <c r="T251" s="259"/>
      <c r="U251" s="259"/>
      <c r="V251" s="259"/>
      <c r="W251" s="259"/>
      <c r="X251" s="259"/>
      <c r="Y251" s="259"/>
      <c r="Z251" s="259"/>
      <c r="AA251" s="259"/>
      <c r="AB251" s="259"/>
      <c r="AC251" s="259"/>
      <c r="AD251" s="259"/>
    </row>
    <row r="252" spans="17:30" x14ac:dyDescent="0.25">
      <c r="Q252" s="259"/>
      <c r="R252" s="259"/>
      <c r="S252" s="259"/>
      <c r="T252" s="259"/>
      <c r="U252" s="259"/>
      <c r="V252" s="259"/>
      <c r="W252" s="259"/>
      <c r="X252" s="259"/>
      <c r="Y252" s="259"/>
      <c r="Z252" s="259"/>
      <c r="AA252" s="259"/>
      <c r="AB252" s="259"/>
      <c r="AC252" s="259"/>
      <c r="AD252" s="259"/>
    </row>
    <row r="253" spans="17:30" x14ac:dyDescent="0.25">
      <c r="Q253" s="259"/>
      <c r="R253" s="259"/>
      <c r="S253" s="259"/>
      <c r="T253" s="259"/>
      <c r="U253" s="259"/>
      <c r="V253" s="259"/>
      <c r="W253" s="259"/>
      <c r="X253" s="259"/>
      <c r="Y253" s="259"/>
      <c r="Z253" s="259"/>
      <c r="AA253" s="259"/>
      <c r="AB253" s="259"/>
      <c r="AC253" s="259"/>
      <c r="AD253" s="259"/>
    </row>
    <row r="254" spans="17:30" x14ac:dyDescent="0.25">
      <c r="Q254" s="259"/>
      <c r="R254" s="259"/>
      <c r="S254" s="259"/>
      <c r="T254" s="259"/>
      <c r="U254" s="259"/>
      <c r="V254" s="259"/>
      <c r="W254" s="259"/>
      <c r="X254" s="259"/>
      <c r="Y254" s="259"/>
      <c r="Z254" s="259"/>
      <c r="AA254" s="259"/>
      <c r="AB254" s="259"/>
      <c r="AC254" s="259"/>
      <c r="AD254" s="259"/>
    </row>
    <row r="255" spans="17:30" x14ac:dyDescent="0.25">
      <c r="Q255" s="259"/>
      <c r="R255" s="259"/>
      <c r="S255" s="259"/>
      <c r="T255" s="259"/>
      <c r="U255" s="259"/>
      <c r="V255" s="259"/>
      <c r="W255" s="259"/>
      <c r="X255" s="259"/>
      <c r="Y255" s="259"/>
      <c r="Z255" s="259"/>
      <c r="AA255" s="259"/>
      <c r="AB255" s="259"/>
      <c r="AC255" s="259"/>
      <c r="AD255" s="259"/>
    </row>
    <row r="256" spans="17:30" x14ac:dyDescent="0.25">
      <c r="Q256" s="259"/>
      <c r="R256" s="259"/>
      <c r="S256" s="259"/>
      <c r="T256" s="259"/>
      <c r="U256" s="259"/>
      <c r="V256" s="259"/>
      <c r="W256" s="259"/>
      <c r="X256" s="259"/>
      <c r="Y256" s="259"/>
      <c r="Z256" s="259"/>
      <c r="AA256" s="259"/>
      <c r="AB256" s="259"/>
      <c r="AC256" s="259"/>
      <c r="AD256" s="259"/>
    </row>
    <row r="257" spans="17:30" x14ac:dyDescent="0.25">
      <c r="Q257" s="259"/>
      <c r="R257" s="259"/>
      <c r="S257" s="259"/>
      <c r="T257" s="259"/>
      <c r="U257" s="259"/>
      <c r="V257" s="259"/>
      <c r="W257" s="259"/>
      <c r="X257" s="259"/>
      <c r="Y257" s="259"/>
      <c r="Z257" s="259"/>
      <c r="AA257" s="259"/>
      <c r="AB257" s="259"/>
      <c r="AC257" s="259"/>
      <c r="AD257" s="259"/>
    </row>
    <row r="258" spans="17:30" x14ac:dyDescent="0.25">
      <c r="Q258" s="259"/>
      <c r="R258" s="259"/>
      <c r="S258" s="259"/>
      <c r="T258" s="259"/>
      <c r="U258" s="259"/>
      <c r="V258" s="259"/>
      <c r="W258" s="259"/>
      <c r="X258" s="259"/>
      <c r="Y258" s="259"/>
      <c r="Z258" s="259"/>
      <c r="AA258" s="259"/>
      <c r="AB258" s="259"/>
      <c r="AC258" s="259"/>
      <c r="AD258" s="259"/>
    </row>
    <row r="259" spans="17:30" x14ac:dyDescent="0.25">
      <c r="Q259" s="259"/>
      <c r="R259" s="259"/>
      <c r="S259" s="259"/>
      <c r="T259" s="259"/>
      <c r="U259" s="259"/>
      <c r="V259" s="259"/>
      <c r="W259" s="259"/>
      <c r="X259" s="259"/>
      <c r="Y259" s="259"/>
      <c r="Z259" s="259"/>
      <c r="AA259" s="259"/>
      <c r="AB259" s="259"/>
      <c r="AC259" s="259"/>
      <c r="AD259" s="259"/>
    </row>
    <row r="260" spans="17:30" x14ac:dyDescent="0.25">
      <c r="Q260" s="259"/>
      <c r="R260" s="259"/>
      <c r="S260" s="259"/>
      <c r="T260" s="259"/>
      <c r="U260" s="259"/>
      <c r="V260" s="259"/>
      <c r="W260" s="259"/>
      <c r="X260" s="259"/>
      <c r="Y260" s="259"/>
      <c r="Z260" s="259"/>
      <c r="AA260" s="259"/>
      <c r="AB260" s="259"/>
      <c r="AC260" s="259"/>
      <c r="AD260" s="259"/>
    </row>
    <row r="261" spans="17:30" x14ac:dyDescent="0.25">
      <c r="Q261" s="259"/>
      <c r="R261" s="259"/>
      <c r="S261" s="259"/>
      <c r="T261" s="259"/>
      <c r="U261" s="259"/>
      <c r="V261" s="259"/>
      <c r="W261" s="259"/>
      <c r="X261" s="259"/>
      <c r="Y261" s="259"/>
      <c r="Z261" s="259"/>
      <c r="AA261" s="259"/>
      <c r="AB261" s="259"/>
      <c r="AC261" s="259"/>
      <c r="AD261" s="259"/>
    </row>
    <row r="262" spans="17:30" x14ac:dyDescent="0.25">
      <c r="Q262" s="259"/>
      <c r="R262" s="259"/>
      <c r="S262" s="259"/>
      <c r="T262" s="259"/>
      <c r="U262" s="259"/>
      <c r="V262" s="259"/>
      <c r="W262" s="259"/>
      <c r="X262" s="259"/>
      <c r="Y262" s="259"/>
      <c r="Z262" s="259"/>
      <c r="AA262" s="259"/>
      <c r="AB262" s="259"/>
      <c r="AC262" s="259"/>
      <c r="AD262" s="259"/>
    </row>
    <row r="263" spans="17:30" x14ac:dyDescent="0.25">
      <c r="Q263" s="259"/>
      <c r="R263" s="259"/>
      <c r="S263" s="259"/>
      <c r="T263" s="259"/>
      <c r="U263" s="259"/>
      <c r="V263" s="259"/>
      <c r="W263" s="259"/>
      <c r="X263" s="259"/>
      <c r="Y263" s="259"/>
      <c r="Z263" s="259"/>
      <c r="AA263" s="259"/>
      <c r="AB263" s="259"/>
      <c r="AC263" s="259"/>
      <c r="AD263" s="259"/>
    </row>
    <row r="264" spans="17:30" x14ac:dyDescent="0.25">
      <c r="Q264" s="259"/>
      <c r="R264" s="259"/>
      <c r="S264" s="259"/>
      <c r="T264" s="259"/>
      <c r="U264" s="259"/>
      <c r="V264" s="259"/>
      <c r="W264" s="259"/>
      <c r="X264" s="259"/>
      <c r="Y264" s="259"/>
      <c r="Z264" s="259"/>
      <c r="AA264" s="259"/>
      <c r="AB264" s="259"/>
      <c r="AC264" s="259"/>
      <c r="AD264" s="259"/>
    </row>
    <row r="265" spans="17:30" x14ac:dyDescent="0.25">
      <c r="Q265" s="259"/>
      <c r="R265" s="259"/>
      <c r="S265" s="259"/>
      <c r="T265" s="259"/>
      <c r="U265" s="259"/>
      <c r="V265" s="259"/>
      <c r="W265" s="259"/>
      <c r="X265" s="259"/>
      <c r="Y265" s="259"/>
      <c r="Z265" s="259"/>
      <c r="AA265" s="259"/>
      <c r="AB265" s="259"/>
      <c r="AC265" s="259"/>
      <c r="AD265" s="259"/>
    </row>
    <row r="266" spans="17:30" x14ac:dyDescent="0.25">
      <c r="Q266" s="259"/>
      <c r="R266" s="259"/>
      <c r="S266" s="259"/>
      <c r="T266" s="259"/>
      <c r="U266" s="259"/>
      <c r="V266" s="259"/>
      <c r="W266" s="259"/>
      <c r="X266" s="259"/>
      <c r="Y266" s="259"/>
      <c r="Z266" s="259"/>
      <c r="AA266" s="259"/>
      <c r="AB266" s="259"/>
      <c r="AC266" s="259"/>
      <c r="AD266" s="259"/>
    </row>
    <row r="267" spans="17:30" x14ac:dyDescent="0.25">
      <c r="Q267" s="259"/>
      <c r="R267" s="259"/>
      <c r="S267" s="259"/>
      <c r="T267" s="259"/>
      <c r="U267" s="259"/>
      <c r="V267" s="259"/>
      <c r="W267" s="259"/>
      <c r="X267" s="259"/>
      <c r="Y267" s="259"/>
      <c r="Z267" s="259"/>
      <c r="AA267" s="259"/>
      <c r="AB267" s="259"/>
      <c r="AC267" s="259"/>
      <c r="AD267" s="259"/>
    </row>
    <row r="268" spans="17:30" x14ac:dyDescent="0.25">
      <c r="Q268" s="259"/>
      <c r="R268" s="259"/>
      <c r="S268" s="259"/>
      <c r="T268" s="259"/>
      <c r="U268" s="259"/>
      <c r="V268" s="259"/>
      <c r="W268" s="259"/>
      <c r="X268" s="259"/>
      <c r="Y268" s="259"/>
      <c r="Z268" s="259"/>
      <c r="AA268" s="259"/>
      <c r="AB268" s="259"/>
      <c r="AC268" s="259"/>
      <c r="AD268" s="259"/>
    </row>
    <row r="269" spans="17:30" x14ac:dyDescent="0.25">
      <c r="Q269" s="259"/>
      <c r="R269" s="259"/>
      <c r="S269" s="259"/>
      <c r="T269" s="259"/>
      <c r="U269" s="259"/>
      <c r="V269" s="259"/>
      <c r="W269" s="259"/>
      <c r="X269" s="259"/>
      <c r="Y269" s="259"/>
      <c r="Z269" s="259"/>
      <c r="AA269" s="259"/>
      <c r="AB269" s="259"/>
      <c r="AC269" s="259"/>
      <c r="AD269" s="259"/>
    </row>
    <row r="270" spans="17:30" x14ac:dyDescent="0.25">
      <c r="Q270" s="259"/>
      <c r="R270" s="259"/>
      <c r="S270" s="259"/>
      <c r="T270" s="259"/>
      <c r="U270" s="259"/>
      <c r="V270" s="259"/>
      <c r="W270" s="259"/>
      <c r="X270" s="259"/>
      <c r="Y270" s="259"/>
      <c r="Z270" s="259"/>
      <c r="AA270" s="259"/>
      <c r="AB270" s="259"/>
      <c r="AC270" s="259"/>
      <c r="AD270" s="259"/>
    </row>
    <row r="271" spans="17:30" x14ac:dyDescent="0.25">
      <c r="Q271" s="259"/>
      <c r="R271" s="259"/>
      <c r="S271" s="259"/>
      <c r="T271" s="259"/>
      <c r="U271" s="259"/>
      <c r="V271" s="259"/>
      <c r="W271" s="259"/>
      <c r="X271" s="259"/>
      <c r="Y271" s="259"/>
      <c r="Z271" s="259"/>
      <c r="AA271" s="259"/>
      <c r="AB271" s="259"/>
      <c r="AC271" s="259"/>
      <c r="AD271" s="259"/>
    </row>
    <row r="272" spans="17:30" x14ac:dyDescent="0.25">
      <c r="Q272" s="259"/>
      <c r="R272" s="259"/>
      <c r="S272" s="259"/>
      <c r="T272" s="259"/>
      <c r="U272" s="259"/>
      <c r="V272" s="259"/>
      <c r="W272" s="259"/>
      <c r="X272" s="259"/>
      <c r="Y272" s="259"/>
      <c r="Z272" s="259"/>
      <c r="AA272" s="259"/>
      <c r="AB272" s="259"/>
      <c r="AC272" s="259"/>
      <c r="AD272" s="259"/>
    </row>
    <row r="273" spans="17:30" x14ac:dyDescent="0.25">
      <c r="Q273" s="259"/>
      <c r="R273" s="259"/>
      <c r="S273" s="259"/>
      <c r="T273" s="259"/>
      <c r="U273" s="259"/>
      <c r="V273" s="259"/>
      <c r="W273" s="259"/>
      <c r="X273" s="259"/>
      <c r="Y273" s="259"/>
      <c r="Z273" s="259"/>
      <c r="AA273" s="259"/>
      <c r="AB273" s="259"/>
      <c r="AC273" s="259"/>
      <c r="AD273" s="259"/>
    </row>
    <row r="274" spans="17:30" x14ac:dyDescent="0.25">
      <c r="Q274" s="259"/>
      <c r="R274" s="259"/>
      <c r="S274" s="259"/>
      <c r="T274" s="259"/>
      <c r="U274" s="259"/>
      <c r="V274" s="259"/>
      <c r="W274" s="259"/>
      <c r="X274" s="259"/>
      <c r="Y274" s="259"/>
      <c r="Z274" s="259"/>
      <c r="AA274" s="259"/>
      <c r="AB274" s="259"/>
      <c r="AC274" s="259"/>
      <c r="AD274" s="259"/>
    </row>
    <row r="275" spans="17:30" x14ac:dyDescent="0.25">
      <c r="Q275" s="259"/>
      <c r="R275" s="259"/>
      <c r="S275" s="259"/>
      <c r="T275" s="259"/>
      <c r="U275" s="259"/>
      <c r="V275" s="259"/>
      <c r="W275" s="259"/>
      <c r="X275" s="259"/>
      <c r="Y275" s="259"/>
      <c r="Z275" s="259"/>
      <c r="AA275" s="259"/>
      <c r="AB275" s="259"/>
      <c r="AC275" s="259"/>
      <c r="AD275" s="259"/>
    </row>
    <row r="276" spans="17:30" x14ac:dyDescent="0.25">
      <c r="Q276" s="259"/>
      <c r="R276" s="259"/>
      <c r="S276" s="259"/>
      <c r="T276" s="259"/>
      <c r="U276" s="259"/>
      <c r="V276" s="259"/>
      <c r="W276" s="259"/>
      <c r="X276" s="259"/>
      <c r="Y276" s="259"/>
      <c r="Z276" s="259"/>
      <c r="AA276" s="259"/>
      <c r="AB276" s="259"/>
      <c r="AC276" s="259"/>
      <c r="AD276" s="259"/>
    </row>
    <row r="277" spans="17:30" x14ac:dyDescent="0.25">
      <c r="Q277" s="259"/>
      <c r="R277" s="259"/>
      <c r="S277" s="259"/>
      <c r="T277" s="259"/>
      <c r="U277" s="259"/>
      <c r="V277" s="259"/>
      <c r="W277" s="259"/>
      <c r="X277" s="259"/>
      <c r="Y277" s="259"/>
      <c r="Z277" s="259"/>
      <c r="AA277" s="259"/>
      <c r="AB277" s="259"/>
      <c r="AC277" s="259"/>
      <c r="AD277" s="259"/>
    </row>
    <row r="278" spans="17:30" x14ac:dyDescent="0.25">
      <c r="Q278" s="259"/>
      <c r="R278" s="259"/>
      <c r="S278" s="259"/>
      <c r="T278" s="259"/>
      <c r="U278" s="259"/>
      <c r="V278" s="259"/>
      <c r="W278" s="259"/>
      <c r="X278" s="259"/>
      <c r="Y278" s="259"/>
      <c r="Z278" s="259"/>
      <c r="AA278" s="259"/>
      <c r="AB278" s="259"/>
      <c r="AC278" s="259"/>
      <c r="AD278" s="259"/>
    </row>
    <row r="279" spans="17:30" x14ac:dyDescent="0.25">
      <c r="Q279" s="259"/>
      <c r="R279" s="259"/>
      <c r="S279" s="259"/>
      <c r="T279" s="259"/>
      <c r="U279" s="259"/>
      <c r="V279" s="259"/>
      <c r="W279" s="259"/>
      <c r="X279" s="259"/>
      <c r="Y279" s="259"/>
      <c r="Z279" s="259"/>
      <c r="AA279" s="259"/>
      <c r="AB279" s="259"/>
      <c r="AC279" s="259"/>
      <c r="AD279" s="259"/>
    </row>
    <row r="280" spans="17:30" x14ac:dyDescent="0.25">
      <c r="Q280" s="259"/>
      <c r="R280" s="259"/>
      <c r="S280" s="259"/>
      <c r="T280" s="259"/>
      <c r="U280" s="259"/>
      <c r="V280" s="259"/>
      <c r="W280" s="259"/>
      <c r="X280" s="259"/>
      <c r="Y280" s="259"/>
      <c r="Z280" s="259"/>
      <c r="AA280" s="259"/>
      <c r="AB280" s="259"/>
      <c r="AC280" s="259"/>
      <c r="AD280" s="259"/>
    </row>
    <row r="281" spans="17:30" x14ac:dyDescent="0.25">
      <c r="Q281" s="259"/>
      <c r="R281" s="259"/>
      <c r="S281" s="259"/>
      <c r="T281" s="259"/>
      <c r="U281" s="259"/>
      <c r="V281" s="259"/>
      <c r="W281" s="259"/>
      <c r="X281" s="259"/>
      <c r="Y281" s="259"/>
      <c r="Z281" s="259"/>
      <c r="AA281" s="259"/>
      <c r="AB281" s="259"/>
      <c r="AC281" s="259"/>
      <c r="AD281" s="259"/>
    </row>
    <row r="282" spans="17:30" x14ac:dyDescent="0.25">
      <c r="Q282" s="259"/>
      <c r="R282" s="259"/>
      <c r="S282" s="259"/>
      <c r="T282" s="259"/>
      <c r="U282" s="259"/>
      <c r="V282" s="259"/>
      <c r="W282" s="259"/>
      <c r="X282" s="259"/>
      <c r="Y282" s="259"/>
      <c r="Z282" s="259"/>
      <c r="AA282" s="259"/>
      <c r="AB282" s="259"/>
      <c r="AC282" s="259"/>
      <c r="AD282" s="259"/>
    </row>
    <row r="283" spans="17:30" x14ac:dyDescent="0.25">
      <c r="Q283" s="259"/>
      <c r="R283" s="259"/>
      <c r="S283" s="259"/>
      <c r="T283" s="259"/>
      <c r="U283" s="259"/>
      <c r="V283" s="259"/>
      <c r="W283" s="259"/>
      <c r="X283" s="259"/>
      <c r="Y283" s="259"/>
      <c r="Z283" s="259"/>
      <c r="AA283" s="259"/>
      <c r="AB283" s="259"/>
      <c r="AC283" s="259"/>
      <c r="AD283" s="259"/>
    </row>
    <row r="284" spans="17:30" x14ac:dyDescent="0.25">
      <c r="Q284" s="259"/>
      <c r="R284" s="259"/>
      <c r="S284" s="259"/>
      <c r="T284" s="259"/>
      <c r="U284" s="259"/>
      <c r="V284" s="259"/>
      <c r="W284" s="259"/>
      <c r="X284" s="259"/>
      <c r="Y284" s="259"/>
      <c r="Z284" s="259"/>
      <c r="AA284" s="259"/>
      <c r="AB284" s="259"/>
      <c r="AC284" s="259"/>
      <c r="AD284" s="259"/>
    </row>
    <row r="285" spans="17:30" x14ac:dyDescent="0.25">
      <c r="Q285" s="259"/>
      <c r="R285" s="259"/>
      <c r="S285" s="259"/>
      <c r="T285" s="259"/>
      <c r="U285" s="259"/>
      <c r="V285" s="259"/>
      <c r="W285" s="259"/>
      <c r="X285" s="259"/>
      <c r="Y285" s="259"/>
      <c r="Z285" s="259"/>
      <c r="AA285" s="259"/>
      <c r="AB285" s="259"/>
      <c r="AC285" s="259"/>
      <c r="AD285" s="259"/>
    </row>
    <row r="286" spans="17:30" x14ac:dyDescent="0.25">
      <c r="Q286" s="259"/>
      <c r="R286" s="259"/>
      <c r="S286" s="259"/>
      <c r="T286" s="259"/>
      <c r="U286" s="259"/>
      <c r="V286" s="259"/>
      <c r="W286" s="259"/>
      <c r="X286" s="259"/>
      <c r="Y286" s="259"/>
      <c r="Z286" s="259"/>
      <c r="AA286" s="259"/>
      <c r="AB286" s="259"/>
      <c r="AC286" s="259"/>
      <c r="AD286" s="259"/>
    </row>
    <row r="287" spans="17:30" x14ac:dyDescent="0.25">
      <c r="Q287" s="259"/>
      <c r="R287" s="259"/>
      <c r="S287" s="259"/>
      <c r="T287" s="259"/>
      <c r="U287" s="259"/>
      <c r="V287" s="259"/>
      <c r="W287" s="259"/>
      <c r="X287" s="259"/>
      <c r="Y287" s="259"/>
      <c r="Z287" s="259"/>
      <c r="AA287" s="259"/>
      <c r="AB287" s="259"/>
      <c r="AC287" s="259"/>
      <c r="AD287" s="259"/>
    </row>
    <row r="288" spans="17:30" x14ac:dyDescent="0.25">
      <c r="Q288" s="259"/>
      <c r="R288" s="259"/>
      <c r="S288" s="259"/>
      <c r="T288" s="259"/>
      <c r="U288" s="259"/>
      <c r="V288" s="259"/>
      <c r="W288" s="259"/>
      <c r="X288" s="259"/>
      <c r="Y288" s="259"/>
      <c r="Z288" s="259"/>
      <c r="AA288" s="259"/>
      <c r="AB288" s="259"/>
      <c r="AC288" s="259"/>
      <c r="AD288" s="259"/>
    </row>
    <row r="289" spans="17:30" x14ac:dyDescent="0.25">
      <c r="Q289" s="259"/>
      <c r="R289" s="259"/>
      <c r="S289" s="259"/>
      <c r="T289" s="259"/>
      <c r="U289" s="259"/>
      <c r="V289" s="259"/>
      <c r="W289" s="259"/>
      <c r="X289" s="259"/>
      <c r="Y289" s="259"/>
      <c r="Z289" s="259"/>
      <c r="AA289" s="259"/>
      <c r="AB289" s="259"/>
      <c r="AC289" s="259"/>
      <c r="AD289" s="259"/>
    </row>
    <row r="290" spans="17:30" x14ac:dyDescent="0.25">
      <c r="Q290" s="259"/>
      <c r="R290" s="259"/>
      <c r="S290" s="259"/>
      <c r="T290" s="259"/>
      <c r="U290" s="259"/>
      <c r="V290" s="259"/>
      <c r="W290" s="259"/>
      <c r="X290" s="259"/>
      <c r="Y290" s="259"/>
      <c r="Z290" s="259"/>
      <c r="AA290" s="259"/>
      <c r="AB290" s="259"/>
      <c r="AC290" s="259"/>
      <c r="AD290" s="259"/>
    </row>
    <row r="291" spans="17:30" x14ac:dyDescent="0.25">
      <c r="Q291" s="259"/>
      <c r="R291" s="259"/>
      <c r="S291" s="259"/>
      <c r="T291" s="259"/>
      <c r="U291" s="259"/>
      <c r="V291" s="259"/>
      <c r="W291" s="259"/>
      <c r="X291" s="259"/>
      <c r="Y291" s="259"/>
      <c r="Z291" s="259"/>
      <c r="AA291" s="259"/>
      <c r="AB291" s="259"/>
      <c r="AC291" s="259"/>
      <c r="AD291" s="259"/>
    </row>
    <row r="292" spans="17:30" x14ac:dyDescent="0.25">
      <c r="Q292" s="259"/>
      <c r="R292" s="259"/>
      <c r="S292" s="259"/>
      <c r="T292" s="259"/>
      <c r="U292" s="259"/>
      <c r="V292" s="259"/>
      <c r="W292" s="259"/>
      <c r="X292" s="259"/>
      <c r="Y292" s="259"/>
      <c r="Z292" s="259"/>
      <c r="AA292" s="259"/>
      <c r="AB292" s="259"/>
      <c r="AC292" s="259"/>
      <c r="AD292" s="259"/>
    </row>
    <row r="293" spans="17:30" x14ac:dyDescent="0.25">
      <c r="Q293" s="259"/>
      <c r="R293" s="259"/>
      <c r="S293" s="259"/>
      <c r="T293" s="259"/>
      <c r="U293" s="259"/>
      <c r="V293" s="259"/>
      <c r="W293" s="259"/>
      <c r="X293" s="259"/>
      <c r="Y293" s="259"/>
      <c r="Z293" s="259"/>
      <c r="AA293" s="259"/>
      <c r="AB293" s="259"/>
      <c r="AC293" s="259"/>
      <c r="AD293" s="259"/>
    </row>
    <row r="294" spans="17:30" x14ac:dyDescent="0.25">
      <c r="Q294" s="259"/>
      <c r="R294" s="259"/>
      <c r="S294" s="259"/>
      <c r="T294" s="259"/>
      <c r="U294" s="259"/>
      <c r="V294" s="259"/>
      <c r="W294" s="259"/>
      <c r="X294" s="259"/>
      <c r="Y294" s="259"/>
      <c r="Z294" s="259"/>
      <c r="AA294" s="259"/>
      <c r="AB294" s="259"/>
      <c r="AC294" s="259"/>
      <c r="AD294" s="259"/>
    </row>
    <row r="295" spans="17:30" x14ac:dyDescent="0.25">
      <c r="Q295" s="259"/>
      <c r="R295" s="259"/>
      <c r="S295" s="259"/>
      <c r="T295" s="259"/>
      <c r="U295" s="259"/>
      <c r="V295" s="259"/>
      <c r="W295" s="259"/>
      <c r="X295" s="259"/>
      <c r="Y295" s="259"/>
      <c r="Z295" s="259"/>
      <c r="AA295" s="259"/>
      <c r="AB295" s="259"/>
      <c r="AC295" s="259"/>
      <c r="AD295" s="259"/>
    </row>
    <row r="296" spans="17:30" x14ac:dyDescent="0.25">
      <c r="Q296" s="259"/>
      <c r="R296" s="259"/>
      <c r="S296" s="259"/>
      <c r="T296" s="259"/>
      <c r="U296" s="259"/>
      <c r="V296" s="259"/>
      <c r="W296" s="259"/>
      <c r="X296" s="259"/>
      <c r="Y296" s="259"/>
      <c r="Z296" s="259"/>
      <c r="AA296" s="259"/>
      <c r="AB296" s="259"/>
      <c r="AC296" s="259"/>
      <c r="AD296" s="259"/>
    </row>
    <row r="297" spans="17:30" x14ac:dyDescent="0.25">
      <c r="Q297" s="259"/>
      <c r="R297" s="259"/>
      <c r="S297" s="259"/>
      <c r="T297" s="259"/>
      <c r="U297" s="259"/>
      <c r="V297" s="259"/>
      <c r="W297" s="259"/>
      <c r="X297" s="259"/>
      <c r="Y297" s="259"/>
      <c r="Z297" s="259"/>
      <c r="AA297" s="259"/>
      <c r="AB297" s="259"/>
      <c r="AC297" s="259"/>
      <c r="AD297" s="259"/>
    </row>
    <row r="298" spans="17:30" x14ac:dyDescent="0.25">
      <c r="Q298" s="259"/>
      <c r="R298" s="259"/>
      <c r="S298" s="259"/>
      <c r="T298" s="259"/>
      <c r="U298" s="259"/>
      <c r="V298" s="259"/>
      <c r="W298" s="259"/>
      <c r="X298" s="259"/>
      <c r="Y298" s="259"/>
      <c r="Z298" s="259"/>
      <c r="AA298" s="259"/>
      <c r="AB298" s="259"/>
      <c r="AC298" s="259"/>
      <c r="AD298" s="259"/>
    </row>
    <row r="299" spans="17:30" x14ac:dyDescent="0.25">
      <c r="Q299" s="259"/>
      <c r="R299" s="259"/>
      <c r="S299" s="259"/>
      <c r="T299" s="259"/>
      <c r="U299" s="259"/>
      <c r="V299" s="259"/>
      <c r="W299" s="259"/>
      <c r="X299" s="259"/>
      <c r="Y299" s="259"/>
      <c r="Z299" s="259"/>
      <c r="AA299" s="259"/>
      <c r="AB299" s="259"/>
      <c r="AC299" s="259"/>
      <c r="AD299" s="259"/>
    </row>
    <row r="300" spans="17:30" x14ac:dyDescent="0.25">
      <c r="Q300" s="259"/>
      <c r="R300" s="259"/>
      <c r="S300" s="259"/>
      <c r="T300" s="259"/>
      <c r="U300" s="259"/>
      <c r="V300" s="259"/>
      <c r="W300" s="259"/>
      <c r="X300" s="259"/>
      <c r="Y300" s="259"/>
      <c r="Z300" s="259"/>
      <c r="AA300" s="259"/>
      <c r="AB300" s="259"/>
      <c r="AC300" s="259"/>
      <c r="AD300" s="259"/>
    </row>
    <row r="301" spans="17:30" x14ac:dyDescent="0.25">
      <c r="Q301" s="259"/>
      <c r="R301" s="259"/>
      <c r="S301" s="259"/>
      <c r="T301" s="259"/>
      <c r="U301" s="259"/>
      <c r="V301" s="259"/>
      <c r="W301" s="259"/>
      <c r="X301" s="259"/>
      <c r="Y301" s="259"/>
      <c r="Z301" s="259"/>
      <c r="AA301" s="259"/>
      <c r="AB301" s="259"/>
      <c r="AC301" s="259"/>
      <c r="AD301" s="259"/>
    </row>
    <row r="302" spans="17:30" x14ac:dyDescent="0.25">
      <c r="Q302" s="259"/>
      <c r="R302" s="259"/>
      <c r="S302" s="259"/>
      <c r="T302" s="259"/>
      <c r="U302" s="259"/>
      <c r="V302" s="259"/>
      <c r="W302" s="259"/>
      <c r="X302" s="259"/>
      <c r="Y302" s="259"/>
      <c r="Z302" s="259"/>
      <c r="AA302" s="259"/>
      <c r="AB302" s="259"/>
      <c r="AC302" s="259"/>
      <c r="AD302" s="259"/>
    </row>
    <row r="303" spans="17:30" x14ac:dyDescent="0.25">
      <c r="Q303" s="259"/>
      <c r="R303" s="259"/>
      <c r="S303" s="259"/>
      <c r="T303" s="259"/>
      <c r="U303" s="259"/>
      <c r="V303" s="259"/>
      <c r="W303" s="259"/>
      <c r="X303" s="259"/>
      <c r="Y303" s="259"/>
      <c r="Z303" s="259"/>
      <c r="AA303" s="259"/>
      <c r="AB303" s="259"/>
      <c r="AC303" s="259"/>
      <c r="AD303" s="259"/>
    </row>
  </sheetData>
  <mergeCells count="99">
    <mergeCell ref="A1:A4"/>
    <mergeCell ref="B1:AA1"/>
    <mergeCell ref="AB1:AD1"/>
    <mergeCell ref="B2:AA2"/>
    <mergeCell ref="AB2:AD2"/>
    <mergeCell ref="B3:AA4"/>
    <mergeCell ref="AB3:AD3"/>
    <mergeCell ref="AB4:AD4"/>
    <mergeCell ref="A19:AD19"/>
    <mergeCell ref="C20:P20"/>
    <mergeCell ref="I7:J9"/>
    <mergeCell ref="K7:L9"/>
    <mergeCell ref="M7:N7"/>
    <mergeCell ref="O7:P7"/>
    <mergeCell ref="A11:B13"/>
    <mergeCell ref="C11:AD13"/>
    <mergeCell ref="A7:B9"/>
    <mergeCell ref="C7:C9"/>
    <mergeCell ref="D7:H9"/>
    <mergeCell ref="M8:N8"/>
    <mergeCell ref="O8:P8"/>
    <mergeCell ref="M9:N9"/>
    <mergeCell ref="O9:P9"/>
    <mergeCell ref="AA15:AD15"/>
    <mergeCell ref="AC17:AD17"/>
    <mergeCell ref="A15:B15"/>
    <mergeCell ref="C15:K15"/>
    <mergeCell ref="L15:Q15"/>
    <mergeCell ref="R15:X15"/>
    <mergeCell ref="Y15:Z15"/>
    <mergeCell ref="C16:AB16"/>
    <mergeCell ref="A17:B17"/>
    <mergeCell ref="C17:Q17"/>
    <mergeCell ref="R17:V17"/>
    <mergeCell ref="W17:X17"/>
    <mergeCell ref="Y17:AB17"/>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A38:A39"/>
    <mergeCell ref="Q38:AD39"/>
    <mergeCell ref="B38:B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Q44:AD45"/>
    <mergeCell ref="A40:A41"/>
    <mergeCell ref="Q40:AD41"/>
    <mergeCell ref="A42:A43"/>
    <mergeCell ref="Q42:AD43"/>
    <mergeCell ref="B40:B41"/>
    <mergeCell ref="B42:B43"/>
    <mergeCell ref="B44:B45"/>
    <mergeCell ref="A44:A45"/>
    <mergeCell ref="A55:A56"/>
    <mergeCell ref="B55:B56"/>
    <mergeCell ref="C55:P55"/>
    <mergeCell ref="A57:A58"/>
    <mergeCell ref="B57:B58"/>
    <mergeCell ref="A67:A68"/>
    <mergeCell ref="B67:B68"/>
    <mergeCell ref="A59:A60"/>
    <mergeCell ref="B59:B60"/>
    <mergeCell ref="A69:A70"/>
    <mergeCell ref="B69:B70"/>
    <mergeCell ref="A61:A62"/>
    <mergeCell ref="B61:B62"/>
    <mergeCell ref="A63:A64"/>
    <mergeCell ref="B63:B64"/>
    <mergeCell ref="A65:A66"/>
    <mergeCell ref="B65:B66"/>
  </mergeCells>
  <dataValidations count="3">
    <dataValidation type="textLength" operator="lessThanOrEqual" allowBlank="1" showInputMessage="1" showErrorMessage="1" errorTitle="Máximo 2.000 caracteres" error="Máximo 2.000 caracteres" sqref="Q34 W34 AA34 T34 Q38:AD45"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formula1>$C$21:$N$21</formula1>
    </dataValidation>
  </dataValidations>
  <pageMargins left="0.25" right="0.25" top="1" bottom="1" header="0.3" footer="0.3"/>
  <pageSetup paperSize="9" scale="24"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303"/>
  <sheetViews>
    <sheetView showGridLines="0" topLeftCell="L15" zoomScale="60" zoomScaleNormal="60" workbookViewId="0">
      <selection activeCell="Q23" sqref="M22:Q23"/>
    </sheetView>
  </sheetViews>
  <sheetFormatPr baseColWidth="10" defaultColWidth="10.71093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71093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3" ht="32.25" customHeight="1" thickBot="1" x14ac:dyDescent="0.3">
      <c r="A1" s="351"/>
      <c r="B1" s="354" t="s">
        <v>0</v>
      </c>
      <c r="C1" s="355"/>
      <c r="D1" s="355"/>
      <c r="E1" s="355"/>
      <c r="F1" s="355"/>
      <c r="G1" s="355"/>
      <c r="H1" s="355"/>
      <c r="I1" s="355"/>
      <c r="J1" s="355"/>
      <c r="K1" s="355"/>
      <c r="L1" s="355"/>
      <c r="M1" s="355"/>
      <c r="N1" s="355"/>
      <c r="O1" s="355"/>
      <c r="P1" s="355"/>
      <c r="Q1" s="355"/>
      <c r="R1" s="355"/>
      <c r="S1" s="355"/>
      <c r="T1" s="355"/>
      <c r="U1" s="355"/>
      <c r="V1" s="355"/>
      <c r="W1" s="355"/>
      <c r="X1" s="355"/>
      <c r="Y1" s="355"/>
      <c r="Z1" s="355"/>
      <c r="AA1" s="356"/>
      <c r="AB1" s="357" t="s">
        <v>1</v>
      </c>
      <c r="AC1" s="358"/>
      <c r="AD1" s="359"/>
    </row>
    <row r="2" spans="1:33" ht="30.75" customHeight="1" thickBot="1" x14ac:dyDescent="0.3">
      <c r="A2" s="352"/>
      <c r="B2" s="354" t="s">
        <v>2</v>
      </c>
      <c r="C2" s="355"/>
      <c r="D2" s="355"/>
      <c r="E2" s="355"/>
      <c r="F2" s="355"/>
      <c r="G2" s="355"/>
      <c r="H2" s="355"/>
      <c r="I2" s="355"/>
      <c r="J2" s="355"/>
      <c r="K2" s="355"/>
      <c r="L2" s="355"/>
      <c r="M2" s="355"/>
      <c r="N2" s="355"/>
      <c r="O2" s="355"/>
      <c r="P2" s="355"/>
      <c r="Q2" s="355"/>
      <c r="R2" s="355"/>
      <c r="S2" s="355"/>
      <c r="T2" s="355"/>
      <c r="U2" s="355"/>
      <c r="V2" s="355"/>
      <c r="W2" s="355"/>
      <c r="X2" s="355"/>
      <c r="Y2" s="355"/>
      <c r="Z2" s="355"/>
      <c r="AA2" s="356"/>
      <c r="AB2" s="360" t="s">
        <v>3</v>
      </c>
      <c r="AC2" s="361"/>
      <c r="AD2" s="362"/>
    </row>
    <row r="3" spans="1:33" ht="24" customHeight="1" x14ac:dyDescent="0.25">
      <c r="A3" s="352"/>
      <c r="B3" s="535" t="s">
        <v>4</v>
      </c>
      <c r="C3" s="406"/>
      <c r="D3" s="406"/>
      <c r="E3" s="406"/>
      <c r="F3" s="406"/>
      <c r="G3" s="406"/>
      <c r="H3" s="406"/>
      <c r="I3" s="406"/>
      <c r="J3" s="406"/>
      <c r="K3" s="406"/>
      <c r="L3" s="406"/>
      <c r="M3" s="406"/>
      <c r="N3" s="406"/>
      <c r="O3" s="406"/>
      <c r="P3" s="406"/>
      <c r="Q3" s="406"/>
      <c r="R3" s="406"/>
      <c r="S3" s="406"/>
      <c r="T3" s="406"/>
      <c r="U3" s="406"/>
      <c r="V3" s="406"/>
      <c r="W3" s="406"/>
      <c r="X3" s="406"/>
      <c r="Y3" s="406"/>
      <c r="Z3" s="406"/>
      <c r="AA3" s="407"/>
      <c r="AB3" s="360" t="s">
        <v>5</v>
      </c>
      <c r="AC3" s="361"/>
      <c r="AD3" s="362"/>
    </row>
    <row r="4" spans="1:33" ht="21.75" customHeight="1" thickBot="1" x14ac:dyDescent="0.3">
      <c r="A4" s="353"/>
      <c r="B4" s="670"/>
      <c r="C4" s="671"/>
      <c r="D4" s="671"/>
      <c r="E4" s="671"/>
      <c r="F4" s="671"/>
      <c r="G4" s="671"/>
      <c r="H4" s="671"/>
      <c r="I4" s="671"/>
      <c r="J4" s="671"/>
      <c r="K4" s="671"/>
      <c r="L4" s="671"/>
      <c r="M4" s="671"/>
      <c r="N4" s="671"/>
      <c r="O4" s="671"/>
      <c r="P4" s="671"/>
      <c r="Q4" s="671"/>
      <c r="R4" s="671"/>
      <c r="S4" s="671"/>
      <c r="T4" s="671"/>
      <c r="U4" s="671"/>
      <c r="V4" s="671"/>
      <c r="W4" s="671"/>
      <c r="X4" s="671"/>
      <c r="Y4" s="671"/>
      <c r="Z4" s="671"/>
      <c r="AA4" s="672"/>
      <c r="AB4" s="372" t="s">
        <v>6</v>
      </c>
      <c r="AC4" s="373"/>
      <c r="AD4" s="374"/>
    </row>
    <row r="5" spans="1:33" ht="9" customHeight="1" thickBot="1" x14ac:dyDescent="0.3">
      <c r="A5" s="51"/>
      <c r="B5" s="170"/>
      <c r="C5" s="17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3"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3" x14ac:dyDescent="0.25">
      <c r="A7" s="375" t="s">
        <v>7</v>
      </c>
      <c r="B7" s="376"/>
      <c r="C7" s="417" t="s">
        <v>32</v>
      </c>
      <c r="D7" s="381" t="s">
        <v>9</v>
      </c>
      <c r="E7" s="382"/>
      <c r="F7" s="382"/>
      <c r="G7" s="382"/>
      <c r="H7" s="383"/>
      <c r="I7" s="390">
        <v>45083</v>
      </c>
      <c r="J7" s="391"/>
      <c r="K7" s="381" t="s">
        <v>10</v>
      </c>
      <c r="L7" s="383"/>
      <c r="M7" s="415" t="s">
        <v>11</v>
      </c>
      <c r="N7" s="416"/>
      <c r="O7" s="673"/>
      <c r="P7" s="674"/>
      <c r="Q7" s="255"/>
      <c r="R7" s="255"/>
      <c r="S7" s="255"/>
      <c r="T7" s="255"/>
      <c r="U7" s="255"/>
      <c r="V7" s="255"/>
      <c r="W7" s="255"/>
      <c r="X7" s="255"/>
      <c r="Y7" s="255"/>
      <c r="Z7" s="256"/>
      <c r="AA7" s="255"/>
      <c r="AB7" s="255"/>
      <c r="AC7" s="257"/>
      <c r="AD7" s="258"/>
      <c r="AE7" s="259"/>
      <c r="AF7" s="259"/>
      <c r="AG7" s="259"/>
    </row>
    <row r="8" spans="1:33" x14ac:dyDescent="0.25">
      <c r="A8" s="377"/>
      <c r="B8" s="378"/>
      <c r="C8" s="418"/>
      <c r="D8" s="384"/>
      <c r="E8" s="385"/>
      <c r="F8" s="385"/>
      <c r="G8" s="385"/>
      <c r="H8" s="386"/>
      <c r="I8" s="392"/>
      <c r="J8" s="393"/>
      <c r="K8" s="384"/>
      <c r="L8" s="386"/>
      <c r="M8" s="398" t="s">
        <v>12</v>
      </c>
      <c r="N8" s="399"/>
      <c r="O8" s="413"/>
      <c r="P8" s="414"/>
      <c r="Q8" s="255"/>
      <c r="R8" s="255"/>
      <c r="S8" s="255"/>
      <c r="T8" s="255"/>
      <c r="U8" s="255"/>
      <c r="V8" s="255"/>
      <c r="W8" s="255"/>
      <c r="X8" s="255"/>
      <c r="Y8" s="255"/>
      <c r="Z8" s="256"/>
      <c r="AA8" s="255"/>
      <c r="AB8" s="255"/>
      <c r="AC8" s="257"/>
      <c r="AD8" s="258"/>
      <c r="AE8" s="259"/>
      <c r="AF8" s="259"/>
      <c r="AG8" s="259"/>
    </row>
    <row r="9" spans="1:33" ht="15.75" thickBot="1" x14ac:dyDescent="0.3">
      <c r="A9" s="379"/>
      <c r="B9" s="380"/>
      <c r="C9" s="419"/>
      <c r="D9" s="387"/>
      <c r="E9" s="388"/>
      <c r="F9" s="388"/>
      <c r="G9" s="388"/>
      <c r="H9" s="389"/>
      <c r="I9" s="394"/>
      <c r="J9" s="395"/>
      <c r="K9" s="387"/>
      <c r="L9" s="389"/>
      <c r="M9" s="430" t="s">
        <v>13</v>
      </c>
      <c r="N9" s="431"/>
      <c r="O9" s="432" t="s">
        <v>14</v>
      </c>
      <c r="P9" s="433"/>
      <c r="Q9" s="255"/>
      <c r="R9" s="255"/>
      <c r="S9" s="255"/>
      <c r="T9" s="255"/>
      <c r="U9" s="255"/>
      <c r="V9" s="255"/>
      <c r="W9" s="255"/>
      <c r="X9" s="255"/>
      <c r="Y9" s="255"/>
      <c r="Z9" s="256"/>
      <c r="AA9" s="255"/>
      <c r="AB9" s="255"/>
      <c r="AC9" s="257"/>
      <c r="AD9" s="258"/>
      <c r="AE9" s="259"/>
      <c r="AF9" s="259"/>
      <c r="AG9" s="259"/>
    </row>
    <row r="10" spans="1:33" ht="15" customHeight="1" thickBot="1" x14ac:dyDescent="0.3">
      <c r="A10" s="146"/>
      <c r="B10" s="147"/>
      <c r="C10" s="147"/>
      <c r="D10" s="65"/>
      <c r="E10" s="65"/>
      <c r="F10" s="65"/>
      <c r="G10" s="65"/>
      <c r="H10" s="65"/>
      <c r="I10" s="143"/>
      <c r="J10" s="143"/>
      <c r="K10" s="65"/>
      <c r="L10" s="65"/>
      <c r="M10" s="144"/>
      <c r="N10" s="144"/>
      <c r="O10" s="145"/>
      <c r="P10" s="145"/>
      <c r="Q10" s="147"/>
      <c r="R10" s="147"/>
      <c r="S10" s="147"/>
      <c r="T10" s="147"/>
      <c r="U10" s="147"/>
      <c r="V10" s="147"/>
      <c r="W10" s="147"/>
      <c r="X10" s="147"/>
      <c r="Y10" s="147"/>
      <c r="Z10" s="148"/>
      <c r="AA10" s="147"/>
      <c r="AB10" s="147"/>
      <c r="AC10" s="149"/>
      <c r="AD10" s="150"/>
    </row>
    <row r="11" spans="1:33" ht="15" customHeight="1" x14ac:dyDescent="0.25">
      <c r="A11" s="375" t="s">
        <v>15</v>
      </c>
      <c r="B11" s="376"/>
      <c r="C11" s="434" t="s">
        <v>126</v>
      </c>
      <c r="D11" s="435"/>
      <c r="E11" s="435"/>
      <c r="F11" s="435"/>
      <c r="G11" s="435"/>
      <c r="H11" s="435"/>
      <c r="I11" s="435"/>
      <c r="J11" s="435"/>
      <c r="K11" s="435"/>
      <c r="L11" s="435"/>
      <c r="M11" s="435"/>
      <c r="N11" s="435"/>
      <c r="O11" s="435"/>
      <c r="P11" s="435"/>
      <c r="Q11" s="435"/>
      <c r="R11" s="435"/>
      <c r="S11" s="435"/>
      <c r="T11" s="435"/>
      <c r="U11" s="435"/>
      <c r="V11" s="435"/>
      <c r="W11" s="435"/>
      <c r="X11" s="435"/>
      <c r="Y11" s="435"/>
      <c r="Z11" s="435"/>
      <c r="AA11" s="435"/>
      <c r="AB11" s="435"/>
      <c r="AC11" s="435"/>
      <c r="AD11" s="436"/>
    </row>
    <row r="12" spans="1:33" ht="15" customHeight="1" x14ac:dyDescent="0.25">
      <c r="A12" s="377"/>
      <c r="B12" s="378"/>
      <c r="C12" s="437"/>
      <c r="D12" s="438"/>
      <c r="E12" s="438"/>
      <c r="F12" s="438"/>
      <c r="G12" s="438"/>
      <c r="H12" s="438"/>
      <c r="I12" s="438"/>
      <c r="J12" s="438"/>
      <c r="K12" s="438"/>
      <c r="L12" s="438"/>
      <c r="M12" s="438"/>
      <c r="N12" s="438"/>
      <c r="O12" s="438"/>
      <c r="P12" s="438"/>
      <c r="Q12" s="438"/>
      <c r="R12" s="438"/>
      <c r="S12" s="438"/>
      <c r="T12" s="438"/>
      <c r="U12" s="438"/>
      <c r="V12" s="438"/>
      <c r="W12" s="438"/>
      <c r="X12" s="438"/>
      <c r="Y12" s="438"/>
      <c r="Z12" s="438"/>
      <c r="AA12" s="438"/>
      <c r="AB12" s="438"/>
      <c r="AC12" s="438"/>
      <c r="AD12" s="439"/>
    </row>
    <row r="13" spans="1:33" ht="15" customHeight="1" thickBot="1" x14ac:dyDescent="0.3">
      <c r="A13" s="379"/>
      <c r="B13" s="380"/>
      <c r="C13" s="440"/>
      <c r="D13" s="441"/>
      <c r="E13" s="441"/>
      <c r="F13" s="441"/>
      <c r="G13" s="441"/>
      <c r="H13" s="441"/>
      <c r="I13" s="441"/>
      <c r="J13" s="441"/>
      <c r="K13" s="441"/>
      <c r="L13" s="441"/>
      <c r="M13" s="441"/>
      <c r="N13" s="441"/>
      <c r="O13" s="441"/>
      <c r="P13" s="441"/>
      <c r="Q13" s="441"/>
      <c r="R13" s="441"/>
      <c r="S13" s="441"/>
      <c r="T13" s="441"/>
      <c r="U13" s="441"/>
      <c r="V13" s="441"/>
      <c r="W13" s="441"/>
      <c r="X13" s="441"/>
      <c r="Y13" s="441"/>
      <c r="Z13" s="441"/>
      <c r="AA13" s="441"/>
      <c r="AB13" s="441"/>
      <c r="AC13" s="441"/>
      <c r="AD13" s="442"/>
    </row>
    <row r="14" spans="1:3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3" ht="41.1" customHeight="1" thickBot="1" x14ac:dyDescent="0.3">
      <c r="A15" s="428" t="s">
        <v>17</v>
      </c>
      <c r="B15" s="429"/>
      <c r="C15" s="363" t="s">
        <v>127</v>
      </c>
      <c r="D15" s="364"/>
      <c r="E15" s="364"/>
      <c r="F15" s="364"/>
      <c r="G15" s="364"/>
      <c r="H15" s="364"/>
      <c r="I15" s="364"/>
      <c r="J15" s="364"/>
      <c r="K15" s="365"/>
      <c r="L15" s="423" t="s">
        <v>19</v>
      </c>
      <c r="M15" s="427"/>
      <c r="N15" s="427"/>
      <c r="O15" s="427"/>
      <c r="P15" s="427"/>
      <c r="Q15" s="424"/>
      <c r="R15" s="420" t="s">
        <v>20</v>
      </c>
      <c r="S15" s="421"/>
      <c r="T15" s="421"/>
      <c r="U15" s="421"/>
      <c r="V15" s="421"/>
      <c r="W15" s="421"/>
      <c r="X15" s="422"/>
      <c r="Y15" s="423" t="s">
        <v>21</v>
      </c>
      <c r="Z15" s="424"/>
      <c r="AA15" s="456" t="s">
        <v>598</v>
      </c>
      <c r="AB15" s="457"/>
      <c r="AC15" s="457"/>
      <c r="AD15" s="458"/>
    </row>
    <row r="16" spans="1:33" ht="9" customHeight="1" thickBot="1" x14ac:dyDescent="0.3">
      <c r="A16" s="59"/>
      <c r="B16" s="54"/>
      <c r="C16" s="471"/>
      <c r="D16" s="471"/>
      <c r="E16" s="471"/>
      <c r="F16" s="471"/>
      <c r="G16" s="471"/>
      <c r="H16" s="471"/>
      <c r="I16" s="471"/>
      <c r="J16" s="471"/>
      <c r="K16" s="471"/>
      <c r="L16" s="471"/>
      <c r="M16" s="471"/>
      <c r="N16" s="471"/>
      <c r="O16" s="471"/>
      <c r="P16" s="471"/>
      <c r="Q16" s="471"/>
      <c r="R16" s="471"/>
      <c r="S16" s="471"/>
      <c r="T16" s="471"/>
      <c r="U16" s="471"/>
      <c r="V16" s="471"/>
      <c r="W16" s="471"/>
      <c r="X16" s="471"/>
      <c r="Y16" s="471"/>
      <c r="Z16" s="471"/>
      <c r="AA16" s="471"/>
      <c r="AB16" s="471"/>
      <c r="AC16" s="73"/>
      <c r="AD16" s="74"/>
    </row>
    <row r="17" spans="1:41" s="76" customFormat="1" ht="37.5" customHeight="1" thickBot="1" x14ac:dyDescent="0.3">
      <c r="A17" s="428" t="s">
        <v>22</v>
      </c>
      <c r="B17" s="429"/>
      <c r="C17" s="667" t="s">
        <v>128</v>
      </c>
      <c r="D17" s="668"/>
      <c r="E17" s="668"/>
      <c r="F17" s="668"/>
      <c r="G17" s="668"/>
      <c r="H17" s="668"/>
      <c r="I17" s="668"/>
      <c r="J17" s="668"/>
      <c r="K17" s="668"/>
      <c r="L17" s="668"/>
      <c r="M17" s="668"/>
      <c r="N17" s="668"/>
      <c r="O17" s="668"/>
      <c r="P17" s="668"/>
      <c r="Q17" s="669"/>
      <c r="R17" s="423" t="s">
        <v>24</v>
      </c>
      <c r="S17" s="427"/>
      <c r="T17" s="427"/>
      <c r="U17" s="427"/>
      <c r="V17" s="424"/>
      <c r="W17" s="425">
        <v>0.3</v>
      </c>
      <c r="X17" s="426"/>
      <c r="Y17" s="427" t="s">
        <v>25</v>
      </c>
      <c r="Z17" s="427"/>
      <c r="AA17" s="427"/>
      <c r="AB17" s="424"/>
      <c r="AC17" s="469">
        <v>0.09</v>
      </c>
      <c r="AD17" s="470"/>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23" t="s">
        <v>26</v>
      </c>
      <c r="B19" s="427"/>
      <c r="C19" s="427"/>
      <c r="D19" s="427"/>
      <c r="E19" s="427"/>
      <c r="F19" s="427"/>
      <c r="G19" s="427"/>
      <c r="H19" s="427"/>
      <c r="I19" s="427"/>
      <c r="J19" s="427"/>
      <c r="K19" s="427"/>
      <c r="L19" s="427"/>
      <c r="M19" s="427"/>
      <c r="N19" s="427"/>
      <c r="O19" s="427"/>
      <c r="P19" s="427"/>
      <c r="Q19" s="427"/>
      <c r="R19" s="427"/>
      <c r="S19" s="427"/>
      <c r="T19" s="427"/>
      <c r="U19" s="427"/>
      <c r="V19" s="427"/>
      <c r="W19" s="427"/>
      <c r="X19" s="427"/>
      <c r="Y19" s="427"/>
      <c r="Z19" s="427"/>
      <c r="AA19" s="427"/>
      <c r="AB19" s="427"/>
      <c r="AC19" s="427"/>
      <c r="AD19" s="424"/>
      <c r="AE19" s="83"/>
      <c r="AF19" s="83"/>
    </row>
    <row r="20" spans="1:41" ht="32.1" customHeight="1" thickBot="1" x14ac:dyDescent="0.3">
      <c r="A20" s="82"/>
      <c r="B20" s="60"/>
      <c r="C20" s="447" t="s">
        <v>27</v>
      </c>
      <c r="D20" s="448"/>
      <c r="E20" s="448"/>
      <c r="F20" s="448"/>
      <c r="G20" s="448"/>
      <c r="H20" s="448"/>
      <c r="I20" s="448"/>
      <c r="J20" s="448"/>
      <c r="K20" s="448"/>
      <c r="L20" s="448"/>
      <c r="M20" s="448"/>
      <c r="N20" s="448"/>
      <c r="O20" s="448"/>
      <c r="P20" s="449"/>
      <c r="Q20" s="444" t="s">
        <v>28</v>
      </c>
      <c r="R20" s="445"/>
      <c r="S20" s="445"/>
      <c r="T20" s="445"/>
      <c r="U20" s="445"/>
      <c r="V20" s="445"/>
      <c r="W20" s="445"/>
      <c r="X20" s="445"/>
      <c r="Y20" s="445"/>
      <c r="Z20" s="445"/>
      <c r="AA20" s="445"/>
      <c r="AB20" s="445"/>
      <c r="AC20" s="445"/>
      <c r="AD20" s="446"/>
      <c r="AE20" s="83"/>
      <c r="AF20" s="83"/>
    </row>
    <row r="21" spans="1:41" ht="32.1" customHeight="1" thickBot="1" x14ac:dyDescent="0.3">
      <c r="A21" s="59"/>
      <c r="B21" s="54"/>
      <c r="C21" s="167" t="s">
        <v>29</v>
      </c>
      <c r="D21" s="168" t="s">
        <v>30</v>
      </c>
      <c r="E21" s="168" t="s">
        <v>31</v>
      </c>
      <c r="F21" s="168" t="s">
        <v>8</v>
      </c>
      <c r="G21" s="168" t="s">
        <v>32</v>
      </c>
      <c r="H21" s="168" t="s">
        <v>33</v>
      </c>
      <c r="I21" s="168" t="s">
        <v>34</v>
      </c>
      <c r="J21" s="168" t="s">
        <v>35</v>
      </c>
      <c r="K21" s="168" t="s">
        <v>36</v>
      </c>
      <c r="L21" s="168" t="s">
        <v>37</v>
      </c>
      <c r="M21" s="168" t="s">
        <v>38</v>
      </c>
      <c r="N21" s="168" t="s">
        <v>39</v>
      </c>
      <c r="O21" s="168" t="s">
        <v>40</v>
      </c>
      <c r="P21" s="169" t="s">
        <v>41</v>
      </c>
      <c r="Q21" s="167" t="s">
        <v>29</v>
      </c>
      <c r="R21" s="168" t="s">
        <v>30</v>
      </c>
      <c r="S21" s="168" t="s">
        <v>31</v>
      </c>
      <c r="T21" s="168" t="s">
        <v>8</v>
      </c>
      <c r="U21" s="168" t="s">
        <v>32</v>
      </c>
      <c r="V21" s="168" t="s">
        <v>33</v>
      </c>
      <c r="W21" s="168" t="s">
        <v>34</v>
      </c>
      <c r="X21" s="168" t="s">
        <v>35</v>
      </c>
      <c r="Y21" s="168" t="s">
        <v>36</v>
      </c>
      <c r="Z21" s="168" t="s">
        <v>37</v>
      </c>
      <c r="AA21" s="168" t="s">
        <v>38</v>
      </c>
      <c r="AB21" s="168" t="s">
        <v>39</v>
      </c>
      <c r="AC21" s="168" t="s">
        <v>40</v>
      </c>
      <c r="AD21" s="169" t="s">
        <v>41</v>
      </c>
      <c r="AE21" s="3"/>
      <c r="AF21" s="3"/>
    </row>
    <row r="22" spans="1:41" ht="32.1" customHeight="1" x14ac:dyDescent="0.25">
      <c r="A22" s="408" t="s">
        <v>42</v>
      </c>
      <c r="B22" s="468"/>
      <c r="C22" s="157"/>
      <c r="D22" s="155"/>
      <c r="E22" s="155"/>
      <c r="F22" s="155"/>
      <c r="G22" s="155"/>
      <c r="H22" s="155"/>
      <c r="I22" s="155"/>
      <c r="J22" s="155"/>
      <c r="K22" s="155"/>
      <c r="L22" s="155"/>
      <c r="M22" s="155"/>
      <c r="N22" s="155"/>
      <c r="O22" s="155">
        <f>SUM(C22:N22)</f>
        <v>0</v>
      </c>
      <c r="P22" s="158"/>
      <c r="Q22" s="178">
        <v>389272925</v>
      </c>
      <c r="R22" s="179">
        <v>8537488</v>
      </c>
      <c r="S22" s="179">
        <v>8390000</v>
      </c>
      <c r="T22" s="179">
        <v>0</v>
      </c>
      <c r="U22" s="179">
        <v>45000000</v>
      </c>
      <c r="V22" s="179">
        <v>15000000</v>
      </c>
      <c r="W22" s="179">
        <v>0</v>
      </c>
      <c r="X22" s="179">
        <v>0</v>
      </c>
      <c r="Y22" s="179">
        <v>0</v>
      </c>
      <c r="Z22" s="179">
        <v>0</v>
      </c>
      <c r="AA22" s="179">
        <v>0</v>
      </c>
      <c r="AB22" s="179">
        <v>0</v>
      </c>
      <c r="AC22" s="155">
        <f>SUM(Q22:AB22)</f>
        <v>466200413</v>
      </c>
      <c r="AD22" s="161"/>
      <c r="AE22" s="3"/>
      <c r="AF22" s="3"/>
    </row>
    <row r="23" spans="1:41" ht="32.1" customHeight="1" x14ac:dyDescent="0.25">
      <c r="A23" s="409" t="s">
        <v>43</v>
      </c>
      <c r="B23" s="443"/>
      <c r="C23" s="152"/>
      <c r="D23" s="151"/>
      <c r="E23" s="151"/>
      <c r="F23" s="151"/>
      <c r="G23" s="151"/>
      <c r="H23" s="151"/>
      <c r="I23" s="151"/>
      <c r="J23" s="151"/>
      <c r="K23" s="151"/>
      <c r="L23" s="151"/>
      <c r="M23" s="151"/>
      <c r="N23" s="151"/>
      <c r="O23" s="151">
        <f>SUM(C23:N23)</f>
        <v>0</v>
      </c>
      <c r="P23" s="162" t="str">
        <f>IFERROR(O23/(SUMIF(C23:N23,"&gt;0",C22:N22))," ")</f>
        <v xml:space="preserve"> </v>
      </c>
      <c r="Q23" s="176">
        <f>136170675</f>
        <v>136170675</v>
      </c>
      <c r="R23" s="177">
        <f>315660175-Q23</f>
        <v>179489500</v>
      </c>
      <c r="S23" s="177">
        <f>328562115-Q23-R23</f>
        <v>12901940</v>
      </c>
      <c r="T23" s="177">
        <f>317785408-Q23-R23-S23</f>
        <v>-10776707</v>
      </c>
      <c r="U23" s="177">
        <f>392910919-Q23-R23-S23-T23</f>
        <v>75125511</v>
      </c>
      <c r="V23" s="177"/>
      <c r="W23" s="177"/>
      <c r="X23" s="177"/>
      <c r="Y23" s="177"/>
      <c r="Z23" s="177"/>
      <c r="AA23" s="177"/>
      <c r="AB23" s="177"/>
      <c r="AC23" s="151">
        <f>SUM(Q23:AB23)</f>
        <v>392910919</v>
      </c>
      <c r="AD23" s="160">
        <f>AC23/AC22</f>
        <v>0.84279401743043925</v>
      </c>
      <c r="AE23" s="3"/>
      <c r="AF23" s="3"/>
    </row>
    <row r="24" spans="1:41" ht="32.1" customHeight="1" x14ac:dyDescent="0.25">
      <c r="A24" s="409" t="s">
        <v>44</v>
      </c>
      <c r="B24" s="443"/>
      <c r="C24" s="152"/>
      <c r="D24" s="151"/>
      <c r="E24" s="151"/>
      <c r="F24" s="151"/>
      <c r="G24" s="151"/>
      <c r="H24" s="151"/>
      <c r="I24" s="151"/>
      <c r="J24" s="151"/>
      <c r="K24" s="151"/>
      <c r="L24" s="151"/>
      <c r="M24" s="151"/>
      <c r="N24" s="151"/>
      <c r="O24" s="151">
        <f>SUM(C24:N24)</f>
        <v>0</v>
      </c>
      <c r="P24" s="156"/>
      <c r="Q24" s="176"/>
      <c r="R24" s="181">
        <v>16917651</v>
      </c>
      <c r="S24" s="180">
        <v>30675087</v>
      </c>
      <c r="T24" s="180">
        <v>30424287</v>
      </c>
      <c r="U24" s="180">
        <v>30424287</v>
      </c>
      <c r="V24" s="180">
        <v>30424287</v>
      </c>
      <c r="W24" s="181">
        <v>43624037</v>
      </c>
      <c r="X24" s="181">
        <v>55678037</v>
      </c>
      <c r="Y24" s="181">
        <v>58678037</v>
      </c>
      <c r="Z24" s="181">
        <v>60348102</v>
      </c>
      <c r="AA24" s="181">
        <v>42897543</v>
      </c>
      <c r="AB24" s="181">
        <v>66109058.406666696</v>
      </c>
      <c r="AC24" s="151">
        <f>SUM(Q24:AB24)</f>
        <v>466200413.4066667</v>
      </c>
      <c r="AD24" s="160"/>
      <c r="AE24" s="3"/>
      <c r="AF24" s="3"/>
    </row>
    <row r="25" spans="1:41" ht="32.1" customHeight="1" thickBot="1" x14ac:dyDescent="0.3">
      <c r="A25" s="454" t="s">
        <v>45</v>
      </c>
      <c r="B25" s="455"/>
      <c r="C25" s="153"/>
      <c r="D25" s="154"/>
      <c r="E25" s="154"/>
      <c r="F25" s="154"/>
      <c r="G25" s="154"/>
      <c r="H25" s="154"/>
      <c r="I25" s="154"/>
      <c r="J25" s="154"/>
      <c r="K25" s="154"/>
      <c r="L25" s="154"/>
      <c r="M25" s="154"/>
      <c r="N25" s="154"/>
      <c r="O25" s="154">
        <f>SUM(C25:N25)</f>
        <v>0</v>
      </c>
      <c r="P25" s="159" t="str">
        <f>IFERROR(O25/(SUMIF(C25:N25,"&gt;0",C24:N24))," ")</f>
        <v xml:space="preserve"> </v>
      </c>
      <c r="Q25" s="182"/>
      <c r="R25" s="183">
        <f>2487274</f>
        <v>2487274</v>
      </c>
      <c r="S25" s="183">
        <f>22155991-R25</f>
        <v>19668717</v>
      </c>
      <c r="T25" s="183">
        <f>51355125-R25-S25</f>
        <v>29199134</v>
      </c>
      <c r="U25" s="183">
        <f>80850825-R25-S25-T25</f>
        <v>29495700</v>
      </c>
      <c r="V25" s="183"/>
      <c r="W25" s="183"/>
      <c r="X25" s="183"/>
      <c r="Y25" s="183"/>
      <c r="Z25" s="183"/>
      <c r="AA25" s="183"/>
      <c r="AB25" s="183"/>
      <c r="AC25" s="154">
        <f>SUM(Q25:AB25)</f>
        <v>80850825</v>
      </c>
      <c r="AD25" s="276">
        <f>AC25/AC24</f>
        <v>0.17342503926411967</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50"/>
    </row>
    <row r="27" spans="1:41" ht="33.75" customHeight="1" x14ac:dyDescent="0.25">
      <c r="A27" s="450" t="s">
        <v>46</v>
      </c>
      <c r="B27" s="451"/>
      <c r="C27" s="452"/>
      <c r="D27" s="452"/>
      <c r="E27" s="452"/>
      <c r="F27" s="452"/>
      <c r="G27" s="452"/>
      <c r="H27" s="452"/>
      <c r="I27" s="452"/>
      <c r="J27" s="452"/>
      <c r="K27" s="452"/>
      <c r="L27" s="452"/>
      <c r="M27" s="452"/>
      <c r="N27" s="452"/>
      <c r="O27" s="452"/>
      <c r="P27" s="452"/>
      <c r="Q27" s="452"/>
      <c r="R27" s="452"/>
      <c r="S27" s="452"/>
      <c r="T27" s="452"/>
      <c r="U27" s="452"/>
      <c r="V27" s="452"/>
      <c r="W27" s="452"/>
      <c r="X27" s="452"/>
      <c r="Y27" s="452"/>
      <c r="Z27" s="452"/>
      <c r="AA27" s="452"/>
      <c r="AB27" s="452"/>
      <c r="AC27" s="452"/>
      <c r="AD27" s="453"/>
    </row>
    <row r="28" spans="1:41" ht="15" customHeight="1" x14ac:dyDescent="0.25">
      <c r="A28" s="459" t="s">
        <v>47</v>
      </c>
      <c r="B28" s="461" t="s">
        <v>48</v>
      </c>
      <c r="C28" s="462"/>
      <c r="D28" s="443" t="s">
        <v>49</v>
      </c>
      <c r="E28" s="465"/>
      <c r="F28" s="465"/>
      <c r="G28" s="465"/>
      <c r="H28" s="465"/>
      <c r="I28" s="465"/>
      <c r="J28" s="465"/>
      <c r="K28" s="465"/>
      <c r="L28" s="465"/>
      <c r="M28" s="465"/>
      <c r="N28" s="465"/>
      <c r="O28" s="466"/>
      <c r="P28" s="411" t="s">
        <v>40</v>
      </c>
      <c r="Q28" s="411" t="s">
        <v>50</v>
      </c>
      <c r="R28" s="411"/>
      <c r="S28" s="411"/>
      <c r="T28" s="411"/>
      <c r="U28" s="411"/>
      <c r="V28" s="411"/>
      <c r="W28" s="411"/>
      <c r="X28" s="411"/>
      <c r="Y28" s="411"/>
      <c r="Z28" s="411"/>
      <c r="AA28" s="411"/>
      <c r="AB28" s="411"/>
      <c r="AC28" s="411"/>
      <c r="AD28" s="467"/>
    </row>
    <row r="29" spans="1:41" ht="27" customHeight="1" x14ac:dyDescent="0.25">
      <c r="A29" s="460"/>
      <c r="B29" s="463"/>
      <c r="C29" s="464"/>
      <c r="D29" s="88" t="s">
        <v>29</v>
      </c>
      <c r="E29" s="88" t="s">
        <v>30</v>
      </c>
      <c r="F29" s="88" t="s">
        <v>31</v>
      </c>
      <c r="G29" s="88" t="s">
        <v>8</v>
      </c>
      <c r="H29" s="88" t="s">
        <v>32</v>
      </c>
      <c r="I29" s="88" t="s">
        <v>33</v>
      </c>
      <c r="J29" s="88" t="s">
        <v>34</v>
      </c>
      <c r="K29" s="88" t="s">
        <v>35</v>
      </c>
      <c r="L29" s="88" t="s">
        <v>36</v>
      </c>
      <c r="M29" s="88" t="s">
        <v>37</v>
      </c>
      <c r="N29" s="88" t="s">
        <v>38</v>
      </c>
      <c r="O29" s="88" t="s">
        <v>39</v>
      </c>
      <c r="P29" s="466"/>
      <c r="Q29" s="411"/>
      <c r="R29" s="411"/>
      <c r="S29" s="411"/>
      <c r="T29" s="411"/>
      <c r="U29" s="411"/>
      <c r="V29" s="411"/>
      <c r="W29" s="411"/>
      <c r="X29" s="411"/>
      <c r="Y29" s="411"/>
      <c r="Z29" s="411"/>
      <c r="AA29" s="411"/>
      <c r="AB29" s="411"/>
      <c r="AC29" s="411"/>
      <c r="AD29" s="467"/>
    </row>
    <row r="30" spans="1:41" ht="72" customHeight="1" thickBot="1" x14ac:dyDescent="0.3">
      <c r="A30" s="217" t="s">
        <v>129</v>
      </c>
      <c r="B30" s="546"/>
      <c r="C30" s="547"/>
      <c r="D30" s="89"/>
      <c r="E30" s="89"/>
      <c r="F30" s="89"/>
      <c r="G30" s="89"/>
      <c r="H30" s="89"/>
      <c r="I30" s="89"/>
      <c r="J30" s="89"/>
      <c r="K30" s="89"/>
      <c r="L30" s="89"/>
      <c r="M30" s="89"/>
      <c r="N30" s="89"/>
      <c r="O30" s="89"/>
      <c r="P30" s="86">
        <f>SUM(D30:O30)</f>
        <v>0</v>
      </c>
      <c r="Q30" s="402"/>
      <c r="R30" s="402"/>
      <c r="S30" s="402"/>
      <c r="T30" s="402"/>
      <c r="U30" s="402"/>
      <c r="V30" s="402"/>
      <c r="W30" s="402"/>
      <c r="X30" s="402"/>
      <c r="Y30" s="402"/>
      <c r="Z30" s="402"/>
      <c r="AA30" s="402"/>
      <c r="AB30" s="402"/>
      <c r="AC30" s="402"/>
      <c r="AD30" s="403"/>
    </row>
    <row r="31" spans="1:41" ht="45" customHeight="1" thickBot="1" x14ac:dyDescent="0.3">
      <c r="A31" s="404" t="s">
        <v>52</v>
      </c>
      <c r="B31" s="405"/>
      <c r="C31" s="405"/>
      <c r="D31" s="405"/>
      <c r="E31" s="405"/>
      <c r="F31" s="405"/>
      <c r="G31" s="405"/>
      <c r="H31" s="405"/>
      <c r="I31" s="405"/>
      <c r="J31" s="405"/>
      <c r="K31" s="405"/>
      <c r="L31" s="405"/>
      <c r="M31" s="405"/>
      <c r="N31" s="405"/>
      <c r="O31" s="405"/>
      <c r="P31" s="405"/>
      <c r="Q31" s="405"/>
      <c r="R31" s="405"/>
      <c r="S31" s="405"/>
      <c r="T31" s="405"/>
      <c r="U31" s="405"/>
      <c r="V31" s="405"/>
      <c r="W31" s="405"/>
      <c r="X31" s="405"/>
      <c r="Y31" s="405"/>
      <c r="Z31" s="405"/>
      <c r="AA31" s="405"/>
      <c r="AB31" s="405"/>
      <c r="AC31" s="405"/>
      <c r="AD31" s="734"/>
    </row>
    <row r="32" spans="1:41" ht="23.1" customHeight="1" x14ac:dyDescent="0.25">
      <c r="A32" s="408" t="s">
        <v>53</v>
      </c>
      <c r="B32" s="410" t="s">
        <v>54</v>
      </c>
      <c r="C32" s="410" t="s">
        <v>48</v>
      </c>
      <c r="D32" s="410" t="s">
        <v>55</v>
      </c>
      <c r="E32" s="410"/>
      <c r="F32" s="410"/>
      <c r="G32" s="410"/>
      <c r="H32" s="410"/>
      <c r="I32" s="410"/>
      <c r="J32" s="410"/>
      <c r="K32" s="410"/>
      <c r="L32" s="410"/>
      <c r="M32" s="410"/>
      <c r="N32" s="410"/>
      <c r="O32" s="410"/>
      <c r="P32" s="410"/>
      <c r="Q32" s="410" t="s">
        <v>56</v>
      </c>
      <c r="R32" s="410"/>
      <c r="S32" s="410"/>
      <c r="T32" s="410"/>
      <c r="U32" s="410"/>
      <c r="V32" s="410"/>
      <c r="W32" s="410"/>
      <c r="X32" s="410"/>
      <c r="Y32" s="410"/>
      <c r="Z32" s="410"/>
      <c r="AA32" s="410"/>
      <c r="AB32" s="410"/>
      <c r="AC32" s="410"/>
      <c r="AD32" s="491"/>
      <c r="AG32" s="87"/>
      <c r="AH32" s="87"/>
      <c r="AI32" s="87"/>
      <c r="AJ32" s="87"/>
      <c r="AK32" s="87"/>
      <c r="AL32" s="87"/>
      <c r="AM32" s="87"/>
      <c r="AN32" s="87"/>
      <c r="AO32" s="87"/>
    </row>
    <row r="33" spans="1:41" ht="27" customHeight="1" thickBot="1" x14ac:dyDescent="0.3">
      <c r="A33" s="454"/>
      <c r="B33" s="735"/>
      <c r="C33" s="736"/>
      <c r="D33" s="239" t="s">
        <v>29</v>
      </c>
      <c r="E33" s="239" t="s">
        <v>30</v>
      </c>
      <c r="F33" s="239" t="s">
        <v>31</v>
      </c>
      <c r="G33" s="239" t="s">
        <v>8</v>
      </c>
      <c r="H33" s="239" t="s">
        <v>32</v>
      </c>
      <c r="I33" s="239" t="s">
        <v>33</v>
      </c>
      <c r="J33" s="239" t="s">
        <v>34</v>
      </c>
      <c r="K33" s="239" t="s">
        <v>35</v>
      </c>
      <c r="L33" s="239" t="s">
        <v>36</v>
      </c>
      <c r="M33" s="239" t="s">
        <v>37</v>
      </c>
      <c r="N33" s="239" t="s">
        <v>38</v>
      </c>
      <c r="O33" s="239" t="s">
        <v>39</v>
      </c>
      <c r="P33" s="239" t="s">
        <v>40</v>
      </c>
      <c r="Q33" s="735" t="s">
        <v>57</v>
      </c>
      <c r="R33" s="735"/>
      <c r="S33" s="735"/>
      <c r="T33" s="735" t="s">
        <v>58</v>
      </c>
      <c r="U33" s="735"/>
      <c r="V33" s="735"/>
      <c r="W33" s="662" t="s">
        <v>59</v>
      </c>
      <c r="X33" s="448"/>
      <c r="Y33" s="448"/>
      <c r="Z33" s="730"/>
      <c r="AA33" s="662" t="s">
        <v>60</v>
      </c>
      <c r="AB33" s="448"/>
      <c r="AC33" s="448"/>
      <c r="AD33" s="449"/>
      <c r="AG33" s="87"/>
      <c r="AH33" s="87"/>
      <c r="AI33" s="87"/>
      <c r="AJ33" s="87"/>
      <c r="AK33" s="87"/>
      <c r="AL33" s="87"/>
      <c r="AM33" s="87"/>
      <c r="AN33" s="87"/>
      <c r="AO33" s="87"/>
    </row>
    <row r="34" spans="1:41" ht="45" customHeight="1" x14ac:dyDescent="0.25">
      <c r="A34" s="731" t="s">
        <v>129</v>
      </c>
      <c r="B34" s="733">
        <v>0.09</v>
      </c>
      <c r="C34" s="90" t="s">
        <v>61</v>
      </c>
      <c r="D34" s="254">
        <f>D69</f>
        <v>0</v>
      </c>
      <c r="E34" s="254">
        <f t="shared" ref="E34:P34" si="0">E69</f>
        <v>9.0000000000000011E-3</v>
      </c>
      <c r="F34" s="254">
        <f t="shared" si="0"/>
        <v>1.6E-2</v>
      </c>
      <c r="G34" s="254">
        <f t="shared" si="0"/>
        <v>2.4999999999999998E-2</v>
      </c>
      <c r="H34" s="254">
        <f t="shared" si="0"/>
        <v>0.03</v>
      </c>
      <c r="I34" s="254">
        <f t="shared" si="0"/>
        <v>3.4999999999999996E-2</v>
      </c>
      <c r="J34" s="254">
        <f t="shared" si="0"/>
        <v>3.9999999999999994E-2</v>
      </c>
      <c r="K34" s="254">
        <f t="shared" si="0"/>
        <v>3.9999999999999994E-2</v>
      </c>
      <c r="L34" s="254">
        <f t="shared" si="0"/>
        <v>3.9999999999999994E-2</v>
      </c>
      <c r="M34" s="254">
        <f t="shared" si="0"/>
        <v>0.03</v>
      </c>
      <c r="N34" s="254">
        <f t="shared" si="0"/>
        <v>0.02</v>
      </c>
      <c r="O34" s="254">
        <f t="shared" si="0"/>
        <v>1.4999999999999999E-2</v>
      </c>
      <c r="P34" s="254">
        <f t="shared" si="0"/>
        <v>0.29999999999999993</v>
      </c>
      <c r="Q34" s="479" t="s">
        <v>582</v>
      </c>
      <c r="R34" s="480"/>
      <c r="S34" s="481"/>
      <c r="T34" s="480" t="s">
        <v>552</v>
      </c>
      <c r="U34" s="480"/>
      <c r="V34" s="481"/>
      <c r="W34" s="479" t="s">
        <v>583</v>
      </c>
      <c r="X34" s="480"/>
      <c r="Y34" s="480"/>
      <c r="Z34" s="481"/>
      <c r="AA34" s="479" t="s">
        <v>131</v>
      </c>
      <c r="AB34" s="480"/>
      <c r="AC34" s="480"/>
      <c r="AD34" s="485"/>
      <c r="AG34" s="87"/>
      <c r="AH34" s="87"/>
      <c r="AI34" s="87"/>
      <c r="AJ34" s="87"/>
      <c r="AK34" s="87"/>
      <c r="AL34" s="87"/>
      <c r="AM34" s="87"/>
      <c r="AN34" s="87"/>
      <c r="AO34" s="87"/>
    </row>
    <row r="35" spans="1:41" ht="97.35" customHeight="1" thickBot="1" x14ac:dyDescent="0.3">
      <c r="A35" s="732"/>
      <c r="B35" s="478"/>
      <c r="C35" s="91" t="s">
        <v>62</v>
      </c>
      <c r="D35" s="224">
        <f>D66</f>
        <v>0</v>
      </c>
      <c r="E35" s="224">
        <f t="shared" ref="E35:P35" si="1">E66</f>
        <v>9.0000000000000011E-3</v>
      </c>
      <c r="F35" s="224">
        <f t="shared" si="1"/>
        <v>1.6E-2</v>
      </c>
      <c r="G35" s="224">
        <f t="shared" si="1"/>
        <v>2.4999999999999998E-2</v>
      </c>
      <c r="H35" s="224">
        <f t="shared" si="1"/>
        <v>0.03</v>
      </c>
      <c r="I35" s="224">
        <f t="shared" si="1"/>
        <v>0</v>
      </c>
      <c r="J35" s="224">
        <f t="shared" si="1"/>
        <v>0</v>
      </c>
      <c r="K35" s="224">
        <f t="shared" si="1"/>
        <v>0</v>
      </c>
      <c r="L35" s="224">
        <f t="shared" si="1"/>
        <v>0</v>
      </c>
      <c r="M35" s="224">
        <f t="shared" si="1"/>
        <v>0</v>
      </c>
      <c r="N35" s="224">
        <f t="shared" si="1"/>
        <v>0</v>
      </c>
      <c r="O35" s="224">
        <f t="shared" si="1"/>
        <v>0</v>
      </c>
      <c r="P35" s="224">
        <f t="shared" si="1"/>
        <v>0.08</v>
      </c>
      <c r="Q35" s="482"/>
      <c r="R35" s="483"/>
      <c r="S35" s="484"/>
      <c r="T35" s="483"/>
      <c r="U35" s="483"/>
      <c r="V35" s="484"/>
      <c r="W35" s="482"/>
      <c r="X35" s="483"/>
      <c r="Y35" s="483"/>
      <c r="Z35" s="484"/>
      <c r="AA35" s="482"/>
      <c r="AB35" s="483"/>
      <c r="AC35" s="483"/>
      <c r="AD35" s="486"/>
      <c r="AE35" s="49"/>
      <c r="AG35" s="87"/>
      <c r="AH35" s="87"/>
      <c r="AI35" s="87"/>
      <c r="AJ35" s="87"/>
      <c r="AK35" s="87"/>
      <c r="AL35" s="87"/>
      <c r="AM35" s="87"/>
      <c r="AN35" s="87"/>
      <c r="AO35" s="87"/>
    </row>
    <row r="36" spans="1:41" ht="26.1" customHeight="1" x14ac:dyDescent="0.25">
      <c r="A36" s="659" t="s">
        <v>63</v>
      </c>
      <c r="B36" s="661" t="s">
        <v>64</v>
      </c>
      <c r="C36" s="408" t="s">
        <v>65</v>
      </c>
      <c r="D36" s="410"/>
      <c r="E36" s="410"/>
      <c r="F36" s="410"/>
      <c r="G36" s="410"/>
      <c r="H36" s="410"/>
      <c r="I36" s="410"/>
      <c r="J36" s="410"/>
      <c r="K36" s="410"/>
      <c r="L36" s="410"/>
      <c r="M36" s="410"/>
      <c r="N36" s="410"/>
      <c r="O36" s="410"/>
      <c r="P36" s="491"/>
      <c r="Q36" s="512" t="s">
        <v>66</v>
      </c>
      <c r="R36" s="512"/>
      <c r="S36" s="512"/>
      <c r="T36" s="512"/>
      <c r="U36" s="512"/>
      <c r="V36" s="512"/>
      <c r="W36" s="512"/>
      <c r="X36" s="512"/>
      <c r="Y36" s="512"/>
      <c r="Z36" s="512"/>
      <c r="AA36" s="512"/>
      <c r="AB36" s="512"/>
      <c r="AC36" s="512"/>
      <c r="AD36" s="513"/>
      <c r="AG36" s="87"/>
      <c r="AH36" s="87"/>
      <c r="AI36" s="87"/>
      <c r="AJ36" s="87"/>
      <c r="AK36" s="87"/>
      <c r="AL36" s="87"/>
      <c r="AM36" s="87"/>
      <c r="AN36" s="87"/>
      <c r="AO36" s="87"/>
    </row>
    <row r="37" spans="1:41" ht="40.5" customHeight="1" thickBot="1" x14ac:dyDescent="0.3">
      <c r="A37" s="660"/>
      <c r="B37" s="662"/>
      <c r="C37" s="223" t="s">
        <v>67</v>
      </c>
      <c r="D37" s="239" t="s">
        <v>68</v>
      </c>
      <c r="E37" s="239" t="s">
        <v>69</v>
      </c>
      <c r="F37" s="239" t="s">
        <v>70</v>
      </c>
      <c r="G37" s="239" t="s">
        <v>71</v>
      </c>
      <c r="H37" s="239" t="s">
        <v>72</v>
      </c>
      <c r="I37" s="239" t="s">
        <v>73</v>
      </c>
      <c r="J37" s="239" t="s">
        <v>74</v>
      </c>
      <c r="K37" s="239" t="s">
        <v>75</v>
      </c>
      <c r="L37" s="239" t="s">
        <v>76</v>
      </c>
      <c r="M37" s="239" t="s">
        <v>77</v>
      </c>
      <c r="N37" s="239" t="s">
        <v>78</v>
      </c>
      <c r="O37" s="239" t="s">
        <v>79</v>
      </c>
      <c r="P37" s="240" t="s">
        <v>80</v>
      </c>
      <c r="Q37" s="515" t="s">
        <v>81</v>
      </c>
      <c r="R37" s="515"/>
      <c r="S37" s="515"/>
      <c r="T37" s="515"/>
      <c r="U37" s="515"/>
      <c r="V37" s="515"/>
      <c r="W37" s="515"/>
      <c r="X37" s="515"/>
      <c r="Y37" s="515"/>
      <c r="Z37" s="515"/>
      <c r="AA37" s="515"/>
      <c r="AB37" s="515"/>
      <c r="AC37" s="515"/>
      <c r="AD37" s="516"/>
      <c r="AG37" s="94"/>
      <c r="AH37" s="94"/>
      <c r="AI37" s="94"/>
      <c r="AJ37" s="94"/>
      <c r="AK37" s="94"/>
      <c r="AL37" s="94"/>
      <c r="AM37" s="94"/>
      <c r="AN37" s="94"/>
      <c r="AO37" s="94"/>
    </row>
    <row r="38" spans="1:41" ht="39" customHeight="1" x14ac:dyDescent="0.25">
      <c r="A38" s="707" t="s">
        <v>132</v>
      </c>
      <c r="B38" s="709">
        <v>0.03</v>
      </c>
      <c r="C38" s="241" t="s">
        <v>61</v>
      </c>
      <c r="D38" s="95">
        <v>0</v>
      </c>
      <c r="E38" s="95">
        <v>0.02</v>
      </c>
      <c r="F38" s="95">
        <v>0.03</v>
      </c>
      <c r="G38" s="95">
        <v>0.1</v>
      </c>
      <c r="H38" s="95">
        <v>0.1</v>
      </c>
      <c r="I38" s="95">
        <v>0.15</v>
      </c>
      <c r="J38" s="95">
        <v>0.15</v>
      </c>
      <c r="K38" s="95">
        <v>0.15</v>
      </c>
      <c r="L38" s="95">
        <v>0.15</v>
      </c>
      <c r="M38" s="95">
        <v>0.05</v>
      </c>
      <c r="N38" s="95">
        <v>0.05</v>
      </c>
      <c r="O38" s="95">
        <v>0.05</v>
      </c>
      <c r="P38" s="236">
        <f t="shared" ref="P38:P43" si="2">SUM(D38:O38)</f>
        <v>1.0000000000000002</v>
      </c>
      <c r="Q38" s="663" t="s">
        <v>584</v>
      </c>
      <c r="R38" s="664"/>
      <c r="S38" s="664"/>
      <c r="T38" s="664"/>
      <c r="U38" s="664"/>
      <c r="V38" s="664"/>
      <c r="W38" s="664"/>
      <c r="X38" s="664"/>
      <c r="Y38" s="664"/>
      <c r="Z38" s="664"/>
      <c r="AA38" s="664"/>
      <c r="AB38" s="664"/>
      <c r="AC38" s="664"/>
      <c r="AD38" s="665"/>
      <c r="AE38" s="97"/>
      <c r="AG38" s="98"/>
      <c r="AH38" s="98"/>
      <c r="AI38" s="98"/>
      <c r="AJ38" s="98"/>
      <c r="AK38" s="98"/>
      <c r="AL38" s="98"/>
      <c r="AM38" s="98"/>
      <c r="AN38" s="98"/>
      <c r="AO38" s="98"/>
    </row>
    <row r="39" spans="1:41" ht="63" customHeight="1" x14ac:dyDescent="0.25">
      <c r="A39" s="651"/>
      <c r="B39" s="709"/>
      <c r="C39" s="242" t="s">
        <v>62</v>
      </c>
      <c r="D39" s="100">
        <v>0</v>
      </c>
      <c r="E39" s="100">
        <v>0.02</v>
      </c>
      <c r="F39" s="100">
        <v>0.03</v>
      </c>
      <c r="G39" s="100">
        <v>0.1</v>
      </c>
      <c r="H39" s="100">
        <v>0.1</v>
      </c>
      <c r="I39" s="100"/>
      <c r="J39" s="100"/>
      <c r="K39" s="100"/>
      <c r="L39" s="100"/>
      <c r="M39" s="100"/>
      <c r="N39" s="100"/>
      <c r="O39" s="100"/>
      <c r="P39" s="243">
        <f t="shared" si="2"/>
        <v>0.25</v>
      </c>
      <c r="Q39" s="656"/>
      <c r="R39" s="657"/>
      <c r="S39" s="657"/>
      <c r="T39" s="657"/>
      <c r="U39" s="657"/>
      <c r="V39" s="657"/>
      <c r="W39" s="657"/>
      <c r="X39" s="657"/>
      <c r="Y39" s="657"/>
      <c r="Z39" s="657"/>
      <c r="AA39" s="657"/>
      <c r="AB39" s="657"/>
      <c r="AC39" s="657"/>
      <c r="AD39" s="658"/>
      <c r="AE39" s="97"/>
    </row>
    <row r="40" spans="1:41" ht="39" customHeight="1" x14ac:dyDescent="0.25">
      <c r="A40" s="348" t="s">
        <v>133</v>
      </c>
      <c r="B40" s="729">
        <v>0.03</v>
      </c>
      <c r="C40" s="244" t="s">
        <v>61</v>
      </c>
      <c r="D40" s="103">
        <v>0</v>
      </c>
      <c r="E40" s="103">
        <v>0.02</v>
      </c>
      <c r="F40" s="103">
        <v>0.03</v>
      </c>
      <c r="G40" s="103">
        <v>0.05</v>
      </c>
      <c r="H40" s="103">
        <v>0.1</v>
      </c>
      <c r="I40" s="103">
        <v>0.1</v>
      </c>
      <c r="J40" s="103">
        <v>0.15</v>
      </c>
      <c r="K40" s="103">
        <v>0.15</v>
      </c>
      <c r="L40" s="103">
        <v>0.15</v>
      </c>
      <c r="M40" s="103">
        <v>0.15</v>
      </c>
      <c r="N40" s="103">
        <v>0.05</v>
      </c>
      <c r="O40" s="103">
        <v>0.05</v>
      </c>
      <c r="P40" s="237">
        <f t="shared" si="2"/>
        <v>1.0000000000000002</v>
      </c>
      <c r="Q40" s="719" t="s">
        <v>553</v>
      </c>
      <c r="R40" s="719"/>
      <c r="S40" s="719"/>
      <c r="T40" s="719"/>
      <c r="U40" s="719"/>
      <c r="V40" s="719"/>
      <c r="W40" s="719"/>
      <c r="X40" s="719"/>
      <c r="Y40" s="719"/>
      <c r="Z40" s="719"/>
      <c r="AA40" s="719"/>
      <c r="AB40" s="719"/>
      <c r="AC40" s="719"/>
      <c r="AD40" s="720"/>
      <c r="AE40" s="97"/>
    </row>
    <row r="41" spans="1:41" ht="101.45" customHeight="1" thickBot="1" x14ac:dyDescent="0.3">
      <c r="A41" s="348"/>
      <c r="B41" s="666"/>
      <c r="C41" s="242" t="s">
        <v>62</v>
      </c>
      <c r="D41" s="100">
        <v>0</v>
      </c>
      <c r="E41" s="100">
        <v>0.02</v>
      </c>
      <c r="F41" s="100">
        <v>0.03</v>
      </c>
      <c r="G41" s="100">
        <v>0.05</v>
      </c>
      <c r="H41" s="100">
        <v>0.1</v>
      </c>
      <c r="I41" s="100"/>
      <c r="J41" s="100"/>
      <c r="K41" s="100"/>
      <c r="L41" s="100"/>
      <c r="M41" s="100"/>
      <c r="N41" s="100"/>
      <c r="O41" s="100"/>
      <c r="P41" s="243">
        <f t="shared" si="2"/>
        <v>0.2</v>
      </c>
      <c r="Q41" s="721"/>
      <c r="R41" s="721"/>
      <c r="S41" s="721"/>
      <c r="T41" s="721"/>
      <c r="U41" s="721"/>
      <c r="V41" s="721"/>
      <c r="W41" s="721"/>
      <c r="X41" s="721"/>
      <c r="Y41" s="721"/>
      <c r="Z41" s="721"/>
      <c r="AA41" s="721"/>
      <c r="AB41" s="721"/>
      <c r="AC41" s="721"/>
      <c r="AD41" s="722"/>
      <c r="AE41" s="97"/>
    </row>
    <row r="42" spans="1:41" ht="39" customHeight="1" x14ac:dyDescent="0.25">
      <c r="A42" s="723" t="s">
        <v>134</v>
      </c>
      <c r="B42" s="666">
        <v>0.03</v>
      </c>
      <c r="C42" s="241" t="s">
        <v>61</v>
      </c>
      <c r="D42" s="95">
        <v>0</v>
      </c>
      <c r="E42" s="95">
        <v>0.05</v>
      </c>
      <c r="F42" s="95">
        <v>0.1</v>
      </c>
      <c r="G42" s="95">
        <v>0.1</v>
      </c>
      <c r="H42" s="95">
        <v>0.1</v>
      </c>
      <c r="I42" s="95">
        <v>0.1</v>
      </c>
      <c r="J42" s="95">
        <v>0.1</v>
      </c>
      <c r="K42" s="95">
        <v>0.1</v>
      </c>
      <c r="L42" s="95">
        <v>0.1</v>
      </c>
      <c r="M42" s="95">
        <v>0.1</v>
      </c>
      <c r="N42" s="95">
        <v>0.1</v>
      </c>
      <c r="O42" s="95">
        <v>0.05</v>
      </c>
      <c r="P42" s="236">
        <f t="shared" si="2"/>
        <v>0.99999999999999989</v>
      </c>
      <c r="Q42" s="725" t="s">
        <v>554</v>
      </c>
      <c r="R42" s="725"/>
      <c r="S42" s="725"/>
      <c r="T42" s="725"/>
      <c r="U42" s="725"/>
      <c r="V42" s="725"/>
      <c r="W42" s="725"/>
      <c r="X42" s="725"/>
      <c r="Y42" s="725"/>
      <c r="Z42" s="725"/>
      <c r="AA42" s="725"/>
      <c r="AB42" s="725"/>
      <c r="AC42" s="725"/>
      <c r="AD42" s="726"/>
      <c r="AE42" s="97"/>
    </row>
    <row r="43" spans="1:41" ht="72.599999999999994" customHeight="1" thickBot="1" x14ac:dyDescent="0.3">
      <c r="A43" s="724"/>
      <c r="B43" s="679"/>
      <c r="C43" s="245" t="s">
        <v>62</v>
      </c>
      <c r="D43" s="105">
        <v>0</v>
      </c>
      <c r="E43" s="105">
        <v>0.05</v>
      </c>
      <c r="F43" s="105">
        <v>0.1</v>
      </c>
      <c r="G43" s="105">
        <v>0.1</v>
      </c>
      <c r="H43" s="105">
        <v>0.1</v>
      </c>
      <c r="I43" s="105"/>
      <c r="J43" s="105"/>
      <c r="K43" s="105"/>
      <c r="L43" s="106"/>
      <c r="M43" s="106"/>
      <c r="N43" s="106"/>
      <c r="O43" s="106"/>
      <c r="P43" s="238">
        <f t="shared" si="2"/>
        <v>0.35</v>
      </c>
      <c r="Q43" s="727"/>
      <c r="R43" s="727"/>
      <c r="S43" s="727"/>
      <c r="T43" s="727"/>
      <c r="U43" s="727"/>
      <c r="V43" s="727"/>
      <c r="W43" s="727"/>
      <c r="X43" s="727"/>
      <c r="Y43" s="727"/>
      <c r="Z43" s="727"/>
      <c r="AA43" s="727"/>
      <c r="AB43" s="727"/>
      <c r="AC43" s="727"/>
      <c r="AD43" s="728"/>
      <c r="AE43" s="97"/>
    </row>
    <row r="44" spans="1:41" x14ac:dyDescent="0.25">
      <c r="A44" s="259"/>
      <c r="Q44" s="259"/>
      <c r="R44" s="259"/>
      <c r="S44" s="259"/>
      <c r="T44" s="259"/>
      <c r="U44" s="259"/>
      <c r="V44" s="259"/>
      <c r="W44" s="259"/>
      <c r="X44" s="259"/>
      <c r="Y44" s="259"/>
      <c r="Z44" s="259"/>
      <c r="AA44" s="259"/>
      <c r="AB44" s="259"/>
      <c r="AC44" s="259"/>
      <c r="AD44" s="259"/>
    </row>
    <row r="45" spans="1:41" x14ac:dyDescent="0.25">
      <c r="A45" s="259"/>
      <c r="Q45" s="259"/>
      <c r="R45" s="259"/>
      <c r="S45" s="259"/>
      <c r="T45" s="259"/>
      <c r="U45" s="259"/>
      <c r="V45" s="259"/>
      <c r="W45" s="259"/>
      <c r="X45" s="259"/>
      <c r="Y45" s="259"/>
      <c r="Z45" s="259"/>
      <c r="AA45" s="259"/>
      <c r="AB45" s="259"/>
      <c r="AC45" s="259"/>
      <c r="AD45" s="259"/>
    </row>
    <row r="46" spans="1:41" x14ac:dyDescent="0.25">
      <c r="A46" s="259"/>
      <c r="Q46" s="259"/>
      <c r="R46" s="259"/>
      <c r="S46" s="259"/>
      <c r="T46" s="259"/>
      <c r="U46" s="259"/>
      <c r="V46" s="259"/>
      <c r="W46" s="259"/>
      <c r="X46" s="259"/>
      <c r="Y46" s="259"/>
      <c r="Z46" s="259"/>
      <c r="AA46" s="259"/>
      <c r="AB46" s="259"/>
      <c r="AC46" s="259"/>
      <c r="AD46" s="259"/>
    </row>
    <row r="47" spans="1:41" x14ac:dyDescent="0.25">
      <c r="A47" s="259"/>
      <c r="Q47" s="259"/>
      <c r="R47" s="259"/>
      <c r="S47" s="259"/>
      <c r="T47" s="259"/>
      <c r="U47" s="259"/>
      <c r="V47" s="259"/>
      <c r="W47" s="259"/>
      <c r="X47" s="259"/>
      <c r="Y47" s="259"/>
      <c r="Z47" s="259"/>
      <c r="AA47" s="259"/>
      <c r="AB47" s="259"/>
      <c r="AC47" s="259"/>
      <c r="AD47" s="259"/>
    </row>
    <row r="48" spans="1:41" x14ac:dyDescent="0.25">
      <c r="A48" s="259"/>
      <c r="Q48" s="259"/>
      <c r="R48" s="259"/>
      <c r="S48" s="259"/>
      <c r="T48" s="259"/>
      <c r="U48" s="259"/>
      <c r="V48" s="259"/>
      <c r="W48" s="259"/>
      <c r="X48" s="259"/>
      <c r="Y48" s="259"/>
      <c r="Z48" s="259"/>
      <c r="AA48" s="259"/>
      <c r="AB48" s="259"/>
      <c r="AC48" s="259"/>
      <c r="AD48" s="259"/>
    </row>
    <row r="49" spans="1:30" x14ac:dyDescent="0.25">
      <c r="A49" s="259"/>
      <c r="Q49" s="259"/>
      <c r="R49" s="259"/>
      <c r="S49" s="259"/>
      <c r="T49" s="259"/>
      <c r="U49" s="259"/>
      <c r="V49" s="259"/>
      <c r="W49" s="259"/>
      <c r="X49" s="259"/>
      <c r="Y49" s="259"/>
      <c r="Z49" s="259"/>
      <c r="AA49" s="259"/>
      <c r="AB49" s="259"/>
      <c r="AC49" s="259"/>
      <c r="AD49" s="259"/>
    </row>
    <row r="50" spans="1:30" x14ac:dyDescent="0.25">
      <c r="A50" s="259"/>
      <c r="Q50" s="259"/>
      <c r="R50" s="259"/>
      <c r="S50" s="259"/>
      <c r="T50" s="259"/>
      <c r="U50" s="259"/>
      <c r="V50" s="259"/>
      <c r="W50" s="259"/>
      <c r="X50" s="259"/>
      <c r="Y50" s="259"/>
      <c r="Z50" s="259"/>
      <c r="AA50" s="259"/>
      <c r="AB50" s="259"/>
      <c r="AC50" s="259"/>
      <c r="AD50" s="259"/>
    </row>
    <row r="51" spans="1:30" x14ac:dyDescent="0.25">
      <c r="A51" s="259"/>
      <c r="Q51" s="259"/>
      <c r="R51" s="259"/>
      <c r="S51" s="259"/>
      <c r="T51" s="259"/>
      <c r="U51" s="259"/>
      <c r="V51" s="259"/>
      <c r="W51" s="259"/>
      <c r="X51" s="259"/>
      <c r="Y51" s="259"/>
      <c r="Z51" s="259"/>
      <c r="AA51" s="259"/>
      <c r="AB51" s="259"/>
      <c r="AC51" s="259"/>
      <c r="AD51" s="259"/>
    </row>
    <row r="52" spans="1:30" x14ac:dyDescent="0.25">
      <c r="A52" s="259"/>
      <c r="Q52" s="259"/>
      <c r="R52" s="259"/>
      <c r="S52" s="259"/>
      <c r="T52" s="259"/>
      <c r="U52" s="259"/>
      <c r="V52" s="259"/>
      <c r="W52" s="259"/>
      <c r="X52" s="259"/>
      <c r="Y52" s="259"/>
      <c r="Z52" s="259"/>
      <c r="AA52" s="259"/>
      <c r="AB52" s="259"/>
      <c r="AC52" s="259"/>
      <c r="AD52" s="259"/>
    </row>
    <row r="53" spans="1:30" x14ac:dyDescent="0.25">
      <c r="A53" s="259"/>
      <c r="Q53" s="259"/>
      <c r="R53" s="259"/>
      <c r="S53" s="259"/>
      <c r="T53" s="259"/>
      <c r="U53" s="259"/>
      <c r="V53" s="259"/>
      <c r="W53" s="259"/>
      <c r="X53" s="259"/>
      <c r="Y53" s="259"/>
      <c r="Z53" s="259"/>
      <c r="AA53" s="259"/>
      <c r="AB53" s="259"/>
      <c r="AC53" s="259"/>
      <c r="AD53" s="259"/>
    </row>
    <row r="54" spans="1:30" x14ac:dyDescent="0.25">
      <c r="A54" s="259"/>
      <c r="Q54" s="259"/>
      <c r="R54" s="259"/>
      <c r="S54" s="259"/>
      <c r="T54" s="259"/>
      <c r="U54" s="259"/>
      <c r="V54" s="259"/>
      <c r="W54" s="259"/>
      <c r="X54" s="259"/>
      <c r="Y54" s="259"/>
      <c r="Z54" s="259"/>
      <c r="AA54" s="259"/>
      <c r="AB54" s="259"/>
      <c r="AC54" s="259"/>
      <c r="AD54" s="259"/>
    </row>
    <row r="55" spans="1:30" x14ac:dyDescent="0.25">
      <c r="A55" s="338" t="s">
        <v>89</v>
      </c>
      <c r="B55" s="340" t="s">
        <v>64</v>
      </c>
      <c r="C55" s="342" t="s">
        <v>65</v>
      </c>
      <c r="D55" s="647"/>
      <c r="E55" s="647"/>
      <c r="F55" s="647"/>
      <c r="G55" s="647"/>
      <c r="H55" s="647"/>
      <c r="I55" s="647"/>
      <c r="J55" s="647"/>
      <c r="K55" s="647"/>
      <c r="L55" s="647"/>
      <c r="M55" s="647"/>
      <c r="N55" s="647"/>
      <c r="O55" s="647"/>
      <c r="P55" s="648"/>
      <c r="Q55" s="260"/>
      <c r="R55" s="260"/>
      <c r="S55" s="259"/>
      <c r="T55" s="259"/>
      <c r="U55" s="259"/>
      <c r="V55" s="259"/>
      <c r="W55" s="259"/>
      <c r="X55" s="259"/>
      <c r="Y55" s="259"/>
      <c r="Z55" s="259"/>
      <c r="AA55" s="259"/>
      <c r="AB55" s="259"/>
      <c r="AC55" s="259"/>
      <c r="AD55" s="259"/>
    </row>
    <row r="56" spans="1:30" ht="21" x14ac:dyDescent="0.25">
      <c r="A56" s="645"/>
      <c r="B56" s="646"/>
      <c r="C56" s="216" t="s">
        <v>67</v>
      </c>
      <c r="D56" s="216" t="s">
        <v>68</v>
      </c>
      <c r="E56" s="216" t="s">
        <v>69</v>
      </c>
      <c r="F56" s="216" t="s">
        <v>70</v>
      </c>
      <c r="G56" s="216" t="s">
        <v>71</v>
      </c>
      <c r="H56" s="216" t="s">
        <v>72</v>
      </c>
      <c r="I56" s="216" t="s">
        <v>73</v>
      </c>
      <c r="J56" s="216" t="s">
        <v>74</v>
      </c>
      <c r="K56" s="216" t="s">
        <v>75</v>
      </c>
      <c r="L56" s="216" t="s">
        <v>76</v>
      </c>
      <c r="M56" s="216" t="s">
        <v>77</v>
      </c>
      <c r="N56" s="216" t="s">
        <v>78</v>
      </c>
      <c r="O56" s="216" t="s">
        <v>79</v>
      </c>
      <c r="P56" s="216" t="s">
        <v>80</v>
      </c>
      <c r="Q56" s="260"/>
      <c r="R56" s="260"/>
      <c r="S56" s="259"/>
      <c r="T56" s="259"/>
      <c r="U56" s="259"/>
      <c r="V56" s="259"/>
      <c r="W56" s="259"/>
      <c r="X56" s="259"/>
      <c r="Y56" s="259"/>
      <c r="Z56" s="259"/>
      <c r="AA56" s="259"/>
      <c r="AB56" s="259"/>
      <c r="AC56" s="259"/>
      <c r="AD56" s="259"/>
    </row>
    <row r="57" spans="1:30" x14ac:dyDescent="0.25">
      <c r="A57" s="326" t="str">
        <f>A38</f>
        <v>21.  Promover los apoyos de acceso a educación superior a través del acompañamiento, preparación (PRE ICFES) y financiación del Examen Saber 11°  (ICFES).</v>
      </c>
      <c r="B57" s="345">
        <f>B38</f>
        <v>0.03</v>
      </c>
      <c r="C57" s="215" t="s">
        <v>61</v>
      </c>
      <c r="D57" s="214">
        <f>D38*$B$38/$P$38</f>
        <v>0</v>
      </c>
      <c r="E57" s="214">
        <f t="shared" ref="D57:O58" si="3">E38*$B$38/$P$38</f>
        <v>5.9999999999999984E-4</v>
      </c>
      <c r="F57" s="214">
        <f t="shared" si="3"/>
        <v>8.9999999999999976E-4</v>
      </c>
      <c r="G57" s="214">
        <f t="shared" si="3"/>
        <v>2.9999999999999992E-3</v>
      </c>
      <c r="H57" s="214">
        <f t="shared" si="3"/>
        <v>2.9999999999999992E-3</v>
      </c>
      <c r="I57" s="214">
        <f t="shared" si="3"/>
        <v>4.4999999999999988E-3</v>
      </c>
      <c r="J57" s="214">
        <f t="shared" si="3"/>
        <v>4.4999999999999988E-3</v>
      </c>
      <c r="K57" s="214">
        <f t="shared" si="3"/>
        <v>4.4999999999999988E-3</v>
      </c>
      <c r="L57" s="214">
        <f t="shared" si="3"/>
        <v>4.4999999999999988E-3</v>
      </c>
      <c r="M57" s="214">
        <f t="shared" si="3"/>
        <v>1.4999999999999996E-3</v>
      </c>
      <c r="N57" s="214">
        <f t="shared" si="3"/>
        <v>1.4999999999999996E-3</v>
      </c>
      <c r="O57" s="214">
        <f t="shared" si="3"/>
        <v>1.4999999999999996E-3</v>
      </c>
      <c r="P57" s="213">
        <f t="shared" ref="P57:P62" si="4">SUM(D57:O57)</f>
        <v>2.9999999999999992E-2</v>
      </c>
      <c r="Q57" s="262">
        <v>0.05</v>
      </c>
      <c r="R57" s="263">
        <f t="shared" ref="R57:R65" si="5">+P57-Q57</f>
        <v>-2.0000000000000011E-2</v>
      </c>
      <c r="S57" s="259"/>
      <c r="T57" s="259"/>
      <c r="U57" s="259"/>
      <c r="V57" s="259"/>
      <c r="W57" s="259"/>
      <c r="X57" s="259"/>
      <c r="Y57" s="259"/>
      <c r="Z57" s="259"/>
      <c r="AA57" s="259"/>
      <c r="AB57" s="259"/>
      <c r="AC57" s="259"/>
      <c r="AD57" s="259"/>
    </row>
    <row r="58" spans="1:30" x14ac:dyDescent="0.25">
      <c r="A58" s="327"/>
      <c r="B58" s="694"/>
      <c r="C58" s="212" t="s">
        <v>62</v>
      </c>
      <c r="D58" s="211">
        <f t="shared" si="3"/>
        <v>0</v>
      </c>
      <c r="E58" s="211">
        <f t="shared" si="3"/>
        <v>5.9999999999999984E-4</v>
      </c>
      <c r="F58" s="211">
        <f t="shared" si="3"/>
        <v>8.9999999999999976E-4</v>
      </c>
      <c r="G58" s="211">
        <f t="shared" si="3"/>
        <v>2.9999999999999992E-3</v>
      </c>
      <c r="H58" s="211">
        <f t="shared" si="3"/>
        <v>2.9999999999999992E-3</v>
      </c>
      <c r="I58" s="211">
        <f t="shared" si="3"/>
        <v>0</v>
      </c>
      <c r="J58" s="211">
        <f t="shared" si="3"/>
        <v>0</v>
      </c>
      <c r="K58" s="211">
        <f t="shared" si="3"/>
        <v>0</v>
      </c>
      <c r="L58" s="211">
        <f t="shared" si="3"/>
        <v>0</v>
      </c>
      <c r="M58" s="211">
        <f t="shared" si="3"/>
        <v>0</v>
      </c>
      <c r="N58" s="211">
        <f t="shared" si="3"/>
        <v>0</v>
      </c>
      <c r="O58" s="211">
        <f t="shared" si="3"/>
        <v>0</v>
      </c>
      <c r="P58" s="210">
        <f t="shared" si="4"/>
        <v>7.499999999999998E-3</v>
      </c>
      <c r="Q58" s="264">
        <f>+P58</f>
        <v>7.499999999999998E-3</v>
      </c>
      <c r="R58" s="263">
        <f t="shared" si="5"/>
        <v>0</v>
      </c>
      <c r="S58" s="259"/>
      <c r="T58" s="259"/>
      <c r="U58" s="259"/>
      <c r="V58" s="259"/>
      <c r="W58" s="259"/>
      <c r="X58" s="259"/>
      <c r="Y58" s="259"/>
      <c r="Z58" s="259"/>
      <c r="AA58" s="259"/>
      <c r="AB58" s="259"/>
      <c r="AC58" s="259"/>
      <c r="AD58" s="259"/>
    </row>
    <row r="59" spans="1:30" x14ac:dyDescent="0.25">
      <c r="A59" s="326" t="str">
        <f>A40</f>
        <v>22. Promover la vinculación de las mujeres en toda su diversidad a la educación superior a través de ferias universitarias, y la divulgación/socialización de herramientas formativas (manuales, documentos, caja de herramientas) con diversas Universidades e Instituciones educativas que permitan facilitar el acceso, permanencia y culminación de los estudios superiores.</v>
      </c>
      <c r="B59" s="328">
        <f>B40</f>
        <v>0.03</v>
      </c>
      <c r="C59" s="215" t="s">
        <v>61</v>
      </c>
      <c r="D59" s="214">
        <f t="shared" ref="D59:O60" si="6">D40*$B$40/$P$40</f>
        <v>0</v>
      </c>
      <c r="E59" s="214">
        <f t="shared" si="6"/>
        <v>5.9999999999999984E-4</v>
      </c>
      <c r="F59" s="214">
        <f t="shared" si="6"/>
        <v>8.9999999999999976E-4</v>
      </c>
      <c r="G59" s="214">
        <f t="shared" si="6"/>
        <v>1.4999999999999996E-3</v>
      </c>
      <c r="H59" s="214">
        <f t="shared" si="6"/>
        <v>2.9999999999999992E-3</v>
      </c>
      <c r="I59" s="214">
        <f t="shared" si="6"/>
        <v>2.9999999999999992E-3</v>
      </c>
      <c r="J59" s="214">
        <f t="shared" si="6"/>
        <v>4.4999999999999988E-3</v>
      </c>
      <c r="K59" s="214">
        <f t="shared" si="6"/>
        <v>4.4999999999999988E-3</v>
      </c>
      <c r="L59" s="214">
        <f t="shared" si="6"/>
        <v>4.4999999999999988E-3</v>
      </c>
      <c r="M59" s="214">
        <f t="shared" si="6"/>
        <v>4.4999999999999988E-3</v>
      </c>
      <c r="N59" s="214">
        <f t="shared" si="6"/>
        <v>1.4999999999999996E-3</v>
      </c>
      <c r="O59" s="214">
        <f t="shared" si="6"/>
        <v>1.4999999999999996E-3</v>
      </c>
      <c r="P59" s="213">
        <f t="shared" si="4"/>
        <v>2.9999999999999992E-2</v>
      </c>
      <c r="Q59" s="262">
        <v>2.5000000000000001E-2</v>
      </c>
      <c r="R59" s="263">
        <f t="shared" si="5"/>
        <v>4.9999999999999906E-3</v>
      </c>
      <c r="S59" s="259"/>
      <c r="T59" s="259"/>
      <c r="U59" s="259"/>
      <c r="V59" s="259"/>
      <c r="W59" s="259"/>
      <c r="X59" s="259"/>
      <c r="Y59" s="259"/>
      <c r="Z59" s="259"/>
      <c r="AA59" s="259"/>
      <c r="AB59" s="259"/>
      <c r="AC59" s="259"/>
      <c r="AD59" s="259"/>
    </row>
    <row r="60" spans="1:30" x14ac:dyDescent="0.25">
      <c r="A60" s="718"/>
      <c r="B60" s="684"/>
      <c r="C60" s="212" t="s">
        <v>62</v>
      </c>
      <c r="D60" s="211">
        <f t="shared" si="6"/>
        <v>0</v>
      </c>
      <c r="E60" s="211">
        <f t="shared" si="6"/>
        <v>5.9999999999999984E-4</v>
      </c>
      <c r="F60" s="211">
        <f t="shared" si="6"/>
        <v>8.9999999999999976E-4</v>
      </c>
      <c r="G60" s="211">
        <f t="shared" si="6"/>
        <v>1.4999999999999996E-3</v>
      </c>
      <c r="H60" s="211">
        <f t="shared" si="6"/>
        <v>2.9999999999999992E-3</v>
      </c>
      <c r="I60" s="211">
        <f t="shared" si="6"/>
        <v>0</v>
      </c>
      <c r="J60" s="211">
        <f t="shared" si="6"/>
        <v>0</v>
      </c>
      <c r="K60" s="211">
        <f t="shared" si="6"/>
        <v>0</v>
      </c>
      <c r="L60" s="211">
        <f t="shared" si="6"/>
        <v>0</v>
      </c>
      <c r="M60" s="211">
        <f t="shared" si="6"/>
        <v>0</v>
      </c>
      <c r="N60" s="211">
        <f t="shared" si="6"/>
        <v>0</v>
      </c>
      <c r="O60" s="211">
        <f t="shared" si="6"/>
        <v>0</v>
      </c>
      <c r="P60" s="210">
        <f t="shared" si="4"/>
        <v>5.9999999999999984E-3</v>
      </c>
      <c r="Q60" s="264">
        <f>+P60</f>
        <v>5.9999999999999984E-3</v>
      </c>
      <c r="R60" s="263">
        <f t="shared" si="5"/>
        <v>0</v>
      </c>
      <c r="S60" s="259"/>
      <c r="T60" s="259"/>
      <c r="U60" s="259"/>
      <c r="V60" s="259"/>
      <c r="W60" s="259"/>
      <c r="X60" s="259"/>
      <c r="Y60" s="259"/>
      <c r="Z60" s="259"/>
      <c r="AA60" s="259"/>
      <c r="AB60" s="259"/>
      <c r="AC60" s="259"/>
      <c r="AD60" s="259"/>
    </row>
    <row r="61" spans="1:30" x14ac:dyDescent="0.25">
      <c r="A61" s="326" t="str">
        <f>A42</f>
        <v xml:space="preserve">23. Promover y acompañar a las mujeres en toda su diversidad en las estrategias de educación flexible y en los procesos de vinculación a la formación complementaria (cursos cortos) a través de alianzas interinstitucionales públicas y privadas. </v>
      </c>
      <c r="B61" s="328">
        <f>B42</f>
        <v>0.03</v>
      </c>
      <c r="C61" s="215" t="s">
        <v>61</v>
      </c>
      <c r="D61" s="214">
        <f t="shared" ref="D61:O62" si="7">D42*$B$42/$P$42</f>
        <v>0</v>
      </c>
      <c r="E61" s="214">
        <f t="shared" si="7"/>
        <v>1.5000000000000002E-3</v>
      </c>
      <c r="F61" s="214">
        <f t="shared" si="7"/>
        <v>3.0000000000000005E-3</v>
      </c>
      <c r="G61" s="214">
        <f t="shared" si="7"/>
        <v>3.0000000000000005E-3</v>
      </c>
      <c r="H61" s="214">
        <f t="shared" si="7"/>
        <v>3.0000000000000005E-3</v>
      </c>
      <c r="I61" s="214">
        <f t="shared" si="7"/>
        <v>3.0000000000000005E-3</v>
      </c>
      <c r="J61" s="214">
        <f t="shared" si="7"/>
        <v>3.0000000000000005E-3</v>
      </c>
      <c r="K61" s="214">
        <f t="shared" si="7"/>
        <v>3.0000000000000005E-3</v>
      </c>
      <c r="L61" s="214">
        <f t="shared" si="7"/>
        <v>3.0000000000000005E-3</v>
      </c>
      <c r="M61" s="214">
        <f t="shared" si="7"/>
        <v>3.0000000000000005E-3</v>
      </c>
      <c r="N61" s="214">
        <f t="shared" si="7"/>
        <v>3.0000000000000005E-3</v>
      </c>
      <c r="O61" s="214">
        <f t="shared" si="7"/>
        <v>1.5000000000000002E-3</v>
      </c>
      <c r="P61" s="213">
        <f t="shared" si="4"/>
        <v>3.0000000000000002E-2</v>
      </c>
      <c r="Q61" s="262">
        <v>2.5000000000000001E-2</v>
      </c>
      <c r="R61" s="263">
        <f t="shared" si="5"/>
        <v>5.000000000000001E-3</v>
      </c>
      <c r="S61" s="259"/>
      <c r="T61" s="259"/>
      <c r="U61" s="259"/>
      <c r="V61" s="259"/>
      <c r="W61" s="259"/>
      <c r="X61" s="259"/>
      <c r="Y61" s="259"/>
      <c r="Z61" s="259"/>
      <c r="AA61" s="259"/>
      <c r="AB61" s="259"/>
      <c r="AC61" s="259"/>
      <c r="AD61" s="259"/>
    </row>
    <row r="62" spans="1:30" x14ac:dyDescent="0.25">
      <c r="A62" s="718"/>
      <c r="B62" s="684"/>
      <c r="C62" s="212" t="s">
        <v>62</v>
      </c>
      <c r="D62" s="211">
        <f t="shared" si="7"/>
        <v>0</v>
      </c>
      <c r="E62" s="211">
        <f t="shared" si="7"/>
        <v>1.5000000000000002E-3</v>
      </c>
      <c r="F62" s="211">
        <f t="shared" si="7"/>
        <v>3.0000000000000005E-3</v>
      </c>
      <c r="G62" s="211">
        <f t="shared" si="7"/>
        <v>3.0000000000000005E-3</v>
      </c>
      <c r="H62" s="211">
        <f t="shared" si="7"/>
        <v>3.0000000000000005E-3</v>
      </c>
      <c r="I62" s="211">
        <f t="shared" si="7"/>
        <v>0</v>
      </c>
      <c r="J62" s="211">
        <f t="shared" si="7"/>
        <v>0</v>
      </c>
      <c r="K62" s="211">
        <f t="shared" si="7"/>
        <v>0</v>
      </c>
      <c r="L62" s="211">
        <f t="shared" si="7"/>
        <v>0</v>
      </c>
      <c r="M62" s="211">
        <f t="shared" si="7"/>
        <v>0</v>
      </c>
      <c r="N62" s="211">
        <f t="shared" si="7"/>
        <v>0</v>
      </c>
      <c r="O62" s="211">
        <f t="shared" si="7"/>
        <v>0</v>
      </c>
      <c r="P62" s="210">
        <f t="shared" si="4"/>
        <v>1.0500000000000002E-2</v>
      </c>
      <c r="Q62" s="264">
        <f>+P62</f>
        <v>1.0500000000000002E-2</v>
      </c>
      <c r="R62" s="263">
        <f t="shared" si="5"/>
        <v>0</v>
      </c>
      <c r="S62" s="259"/>
      <c r="T62" s="259"/>
      <c r="U62" s="259"/>
      <c r="V62" s="259"/>
      <c r="W62" s="259"/>
      <c r="X62" s="259"/>
      <c r="Y62" s="259"/>
      <c r="Z62" s="259"/>
      <c r="AA62" s="259"/>
      <c r="AB62" s="259"/>
      <c r="AC62" s="259"/>
      <c r="AD62" s="259"/>
    </row>
    <row r="63" spans="1:30" x14ac:dyDescent="0.25">
      <c r="A63" s="226"/>
      <c r="B63" s="227"/>
      <c r="C63" s="228"/>
      <c r="D63" s="214"/>
      <c r="E63" s="214"/>
      <c r="F63" s="214"/>
      <c r="G63" s="214"/>
      <c r="H63" s="214"/>
      <c r="I63" s="214"/>
      <c r="J63" s="214"/>
      <c r="K63" s="214"/>
      <c r="L63" s="214"/>
      <c r="M63" s="214"/>
      <c r="N63" s="214"/>
      <c r="O63" s="214"/>
      <c r="P63" s="229"/>
      <c r="Q63" s="262"/>
      <c r="R63" s="263"/>
      <c r="S63" s="259"/>
      <c r="T63" s="259"/>
      <c r="U63" s="259"/>
      <c r="V63" s="259"/>
      <c r="W63" s="259"/>
      <c r="X63" s="259"/>
      <c r="Y63" s="259"/>
      <c r="Z63" s="259"/>
      <c r="AA63" s="259"/>
      <c r="AB63" s="259"/>
      <c r="AC63" s="259"/>
      <c r="AD63" s="259"/>
    </row>
    <row r="64" spans="1:30" x14ac:dyDescent="0.25">
      <c r="A64" s="232"/>
      <c r="B64" s="233"/>
      <c r="C64" s="228"/>
      <c r="D64" s="207"/>
      <c r="E64" s="207"/>
      <c r="F64" s="207"/>
      <c r="G64" s="207"/>
      <c r="H64" s="207"/>
      <c r="I64" s="207"/>
      <c r="J64" s="207"/>
      <c r="K64" s="207"/>
      <c r="L64" s="207"/>
      <c r="M64" s="207"/>
      <c r="N64" s="207"/>
      <c r="O64" s="207"/>
      <c r="P64" s="229"/>
      <c r="Q64" s="264"/>
      <c r="R64" s="263"/>
      <c r="S64" s="259"/>
      <c r="T64" s="259"/>
      <c r="U64" s="259"/>
      <c r="V64" s="259"/>
      <c r="W64" s="259"/>
      <c r="X64" s="259"/>
      <c r="Y64" s="259"/>
      <c r="Z64" s="259"/>
      <c r="AA64" s="259"/>
      <c r="AB64" s="259"/>
      <c r="AC64" s="259"/>
      <c r="AD64" s="259"/>
    </row>
    <row r="65" spans="1:30" x14ac:dyDescent="0.25">
      <c r="A65" s="260"/>
      <c r="B65" s="208"/>
      <c r="C65" s="209"/>
      <c r="D65" s="204">
        <f>D58+D60+D62</f>
        <v>0</v>
      </c>
      <c r="E65" s="204">
        <f t="shared" ref="E65:O65" si="8">E58+E60+E62</f>
        <v>2.7000000000000001E-3</v>
      </c>
      <c r="F65" s="204">
        <f t="shared" si="8"/>
        <v>4.8000000000000004E-3</v>
      </c>
      <c r="G65" s="204">
        <f t="shared" si="8"/>
        <v>7.4999999999999997E-3</v>
      </c>
      <c r="H65" s="204">
        <f t="shared" si="8"/>
        <v>8.9999999999999993E-3</v>
      </c>
      <c r="I65" s="204">
        <f t="shared" si="8"/>
        <v>0</v>
      </c>
      <c r="J65" s="204">
        <f t="shared" si="8"/>
        <v>0</v>
      </c>
      <c r="K65" s="204">
        <f t="shared" si="8"/>
        <v>0</v>
      </c>
      <c r="L65" s="204">
        <f t="shared" si="8"/>
        <v>0</v>
      </c>
      <c r="M65" s="204">
        <f t="shared" si="8"/>
        <v>0</v>
      </c>
      <c r="N65" s="204">
        <f t="shared" si="8"/>
        <v>0</v>
      </c>
      <c r="O65" s="204">
        <f t="shared" si="8"/>
        <v>0</v>
      </c>
      <c r="P65" s="204">
        <f>P58+P60+P62</f>
        <v>2.4E-2</v>
      </c>
      <c r="Q65" s="260"/>
      <c r="R65" s="263">
        <f t="shared" si="5"/>
        <v>2.4E-2</v>
      </c>
      <c r="S65" s="259"/>
      <c r="T65" s="259"/>
      <c r="U65" s="259"/>
      <c r="V65" s="259"/>
      <c r="W65" s="259"/>
      <c r="X65" s="259"/>
      <c r="Y65" s="259"/>
      <c r="Z65" s="259"/>
      <c r="AA65" s="259"/>
      <c r="AB65" s="259"/>
      <c r="AC65" s="259"/>
      <c r="AD65" s="259"/>
    </row>
    <row r="66" spans="1:30" x14ac:dyDescent="0.25">
      <c r="A66" s="260"/>
      <c r="B66" s="206"/>
      <c r="C66" s="203" t="s">
        <v>62</v>
      </c>
      <c r="D66" s="202">
        <f>D65*$W$17/$B$34</f>
        <v>0</v>
      </c>
      <c r="E66" s="202">
        <f t="shared" ref="E66:O66" si="9">E65*$W$17/$B$34</f>
        <v>9.0000000000000011E-3</v>
      </c>
      <c r="F66" s="202">
        <f t="shared" si="9"/>
        <v>1.6E-2</v>
      </c>
      <c r="G66" s="202">
        <f t="shared" si="9"/>
        <v>2.4999999999999998E-2</v>
      </c>
      <c r="H66" s="202">
        <f t="shared" si="9"/>
        <v>0.03</v>
      </c>
      <c r="I66" s="202">
        <f t="shared" si="9"/>
        <v>0</v>
      </c>
      <c r="J66" s="202">
        <f t="shared" si="9"/>
        <v>0</v>
      </c>
      <c r="K66" s="202">
        <f t="shared" si="9"/>
        <v>0</v>
      </c>
      <c r="L66" s="202">
        <f t="shared" si="9"/>
        <v>0</v>
      </c>
      <c r="M66" s="202">
        <f t="shared" si="9"/>
        <v>0</v>
      </c>
      <c r="N66" s="202">
        <f t="shared" si="9"/>
        <v>0</v>
      </c>
      <c r="O66" s="202">
        <f t="shared" si="9"/>
        <v>0</v>
      </c>
      <c r="P66" s="201">
        <f>SUM(D66:O66)</f>
        <v>0.08</v>
      </c>
      <c r="Q66" s="261"/>
      <c r="R66" s="260"/>
      <c r="S66" s="259"/>
      <c r="T66" s="259"/>
      <c r="U66" s="259"/>
      <c r="V66" s="259"/>
      <c r="W66" s="259"/>
      <c r="X66" s="259"/>
      <c r="Y66" s="259"/>
      <c r="Z66" s="259"/>
      <c r="AA66" s="259"/>
      <c r="AB66" s="259"/>
      <c r="AC66" s="259"/>
      <c r="AD66" s="259"/>
    </row>
    <row r="67" spans="1:30" x14ac:dyDescent="0.25">
      <c r="A67" s="261"/>
      <c r="B67" s="205"/>
      <c r="C67" s="205"/>
      <c r="D67" s="205"/>
      <c r="E67" s="205"/>
      <c r="F67" s="205"/>
      <c r="G67" s="205"/>
      <c r="H67" s="205"/>
      <c r="I67" s="205"/>
      <c r="J67" s="205"/>
      <c r="K67" s="205"/>
      <c r="L67" s="205"/>
      <c r="M67" s="205"/>
      <c r="N67" s="205"/>
      <c r="O67" s="205"/>
      <c r="P67" s="205"/>
      <c r="Q67" s="261"/>
      <c r="R67" s="261"/>
      <c r="S67" s="259"/>
      <c r="T67" s="259"/>
      <c r="U67" s="259"/>
      <c r="V67" s="259"/>
      <c r="W67" s="259"/>
      <c r="X67" s="259"/>
      <c r="Y67" s="259"/>
      <c r="Z67" s="259"/>
      <c r="AA67" s="259"/>
      <c r="AB67" s="259"/>
      <c r="AC67" s="259"/>
      <c r="AD67" s="259"/>
    </row>
    <row r="68" spans="1:30" x14ac:dyDescent="0.25">
      <c r="A68" s="262"/>
      <c r="B68" s="108"/>
      <c r="C68" s="108"/>
      <c r="D68" s="204">
        <f t="shared" ref="D68:P68" si="10">+D57+D59+D61</f>
        <v>0</v>
      </c>
      <c r="E68" s="204">
        <f t="shared" si="10"/>
        <v>2.7000000000000001E-3</v>
      </c>
      <c r="F68" s="204">
        <f t="shared" si="10"/>
        <v>4.8000000000000004E-3</v>
      </c>
      <c r="G68" s="204">
        <f t="shared" si="10"/>
        <v>7.4999999999999997E-3</v>
      </c>
      <c r="H68" s="204">
        <f t="shared" si="10"/>
        <v>8.9999999999999993E-3</v>
      </c>
      <c r="I68" s="204">
        <f t="shared" si="10"/>
        <v>1.0499999999999999E-2</v>
      </c>
      <c r="J68" s="204">
        <f t="shared" si="10"/>
        <v>1.1999999999999999E-2</v>
      </c>
      <c r="K68" s="204">
        <f t="shared" si="10"/>
        <v>1.1999999999999999E-2</v>
      </c>
      <c r="L68" s="204">
        <f t="shared" si="10"/>
        <v>1.1999999999999999E-2</v>
      </c>
      <c r="M68" s="204">
        <f t="shared" si="10"/>
        <v>8.9999999999999993E-3</v>
      </c>
      <c r="N68" s="204">
        <f t="shared" si="10"/>
        <v>6.0000000000000001E-3</v>
      </c>
      <c r="O68" s="204">
        <f t="shared" si="10"/>
        <v>4.4999999999999997E-3</v>
      </c>
      <c r="P68" s="204">
        <f t="shared" si="10"/>
        <v>8.9999999999999983E-2</v>
      </c>
      <c r="Q68" s="262"/>
      <c r="R68" s="262"/>
      <c r="S68" s="259"/>
      <c r="T68" s="259"/>
      <c r="U68" s="259"/>
      <c r="V68" s="259"/>
      <c r="W68" s="259"/>
      <c r="X68" s="259"/>
      <c r="Y68" s="259"/>
      <c r="Z68" s="259"/>
      <c r="AA68" s="259"/>
      <c r="AB68" s="259"/>
      <c r="AC68" s="259"/>
      <c r="AD68" s="259"/>
    </row>
    <row r="69" spans="1:30" x14ac:dyDescent="0.25">
      <c r="A69" s="262"/>
      <c r="B69" s="108"/>
      <c r="C69" s="203" t="s">
        <v>61</v>
      </c>
      <c r="D69" s="202">
        <f t="shared" ref="D69:O69" si="11">D68*$W$17/$B$34</f>
        <v>0</v>
      </c>
      <c r="E69" s="202">
        <f t="shared" si="11"/>
        <v>9.0000000000000011E-3</v>
      </c>
      <c r="F69" s="202">
        <f t="shared" si="11"/>
        <v>1.6E-2</v>
      </c>
      <c r="G69" s="202">
        <f t="shared" si="11"/>
        <v>2.4999999999999998E-2</v>
      </c>
      <c r="H69" s="202">
        <f t="shared" si="11"/>
        <v>0.03</v>
      </c>
      <c r="I69" s="202">
        <f t="shared" si="11"/>
        <v>3.4999999999999996E-2</v>
      </c>
      <c r="J69" s="202">
        <f t="shared" si="11"/>
        <v>3.9999999999999994E-2</v>
      </c>
      <c r="K69" s="202">
        <f t="shared" si="11"/>
        <v>3.9999999999999994E-2</v>
      </c>
      <c r="L69" s="202">
        <f t="shared" si="11"/>
        <v>3.9999999999999994E-2</v>
      </c>
      <c r="M69" s="202">
        <f t="shared" si="11"/>
        <v>0.03</v>
      </c>
      <c r="N69" s="202">
        <f t="shared" si="11"/>
        <v>0.02</v>
      </c>
      <c r="O69" s="202">
        <f t="shared" si="11"/>
        <v>1.4999999999999999E-2</v>
      </c>
      <c r="P69" s="201">
        <f>SUM(D69:O69)</f>
        <v>0.29999999999999993</v>
      </c>
      <c r="Q69" s="262"/>
      <c r="R69" s="262"/>
      <c r="S69" s="259"/>
      <c r="T69" s="259"/>
      <c r="U69" s="259"/>
      <c r="V69" s="259"/>
      <c r="W69" s="259"/>
      <c r="X69" s="259"/>
      <c r="Y69" s="259"/>
      <c r="Z69" s="259"/>
      <c r="AA69" s="259"/>
      <c r="AB69" s="259"/>
      <c r="AC69" s="259"/>
      <c r="AD69" s="259"/>
    </row>
    <row r="70" spans="1:30" x14ac:dyDescent="0.25">
      <c r="A70" s="259"/>
      <c r="Q70" s="259"/>
      <c r="R70" s="259"/>
      <c r="S70" s="259"/>
      <c r="T70" s="259"/>
      <c r="U70" s="259"/>
      <c r="V70" s="259"/>
      <c r="W70" s="259"/>
      <c r="X70" s="259"/>
      <c r="Y70" s="259"/>
      <c r="Z70" s="259"/>
      <c r="AA70" s="259"/>
      <c r="AB70" s="259"/>
      <c r="AC70" s="259"/>
      <c r="AD70" s="259"/>
    </row>
    <row r="71" spans="1:30" x14ac:dyDescent="0.25">
      <c r="A71" s="259"/>
      <c r="Q71" s="259"/>
      <c r="R71" s="259"/>
      <c r="S71" s="259"/>
      <c r="T71" s="259"/>
      <c r="U71" s="259"/>
      <c r="V71" s="259"/>
      <c r="W71" s="259"/>
      <c r="X71" s="259"/>
      <c r="Y71" s="259"/>
      <c r="Z71" s="259"/>
      <c r="AA71" s="259"/>
      <c r="AB71" s="259"/>
      <c r="AC71" s="259"/>
      <c r="AD71" s="259"/>
    </row>
    <row r="72" spans="1:30" x14ac:dyDescent="0.25">
      <c r="A72" s="259"/>
      <c r="Q72" s="259"/>
      <c r="R72" s="259"/>
      <c r="S72" s="259"/>
      <c r="T72" s="259"/>
      <c r="U72" s="259"/>
      <c r="V72" s="259"/>
      <c r="W72" s="259"/>
      <c r="X72" s="259"/>
      <c r="Y72" s="259"/>
      <c r="Z72" s="259"/>
      <c r="AA72" s="259"/>
      <c r="AB72" s="259"/>
      <c r="AC72" s="259"/>
      <c r="AD72" s="259"/>
    </row>
    <row r="73" spans="1:30" x14ac:dyDescent="0.25">
      <c r="A73" s="259"/>
      <c r="Q73" s="259"/>
      <c r="R73" s="259"/>
      <c r="S73" s="259"/>
      <c r="T73" s="259"/>
      <c r="U73" s="259"/>
      <c r="V73" s="259"/>
      <c r="W73" s="259"/>
      <c r="X73" s="259"/>
      <c r="Y73" s="259"/>
      <c r="Z73" s="259"/>
      <c r="AA73" s="259"/>
      <c r="AB73" s="259"/>
      <c r="AC73" s="259"/>
      <c r="AD73" s="259"/>
    </row>
    <row r="74" spans="1:30" x14ac:dyDescent="0.25">
      <c r="A74" s="259"/>
      <c r="Q74" s="259"/>
      <c r="R74" s="259"/>
      <c r="S74" s="259"/>
      <c r="T74" s="259"/>
      <c r="U74" s="259"/>
      <c r="V74" s="259"/>
      <c r="W74" s="259"/>
      <c r="X74" s="259"/>
      <c r="Y74" s="259"/>
      <c r="Z74" s="259"/>
      <c r="AA74" s="259"/>
      <c r="AB74" s="259"/>
      <c r="AC74" s="259"/>
      <c r="AD74" s="259"/>
    </row>
    <row r="75" spans="1:30" x14ac:dyDescent="0.25">
      <c r="A75" s="259"/>
      <c r="Q75" s="259"/>
      <c r="R75" s="259"/>
      <c r="S75" s="259"/>
      <c r="T75" s="259"/>
      <c r="U75" s="259"/>
      <c r="V75" s="259"/>
      <c r="W75" s="259"/>
      <c r="X75" s="259"/>
      <c r="Y75" s="259"/>
      <c r="Z75" s="259"/>
      <c r="AA75" s="259"/>
      <c r="AB75" s="259"/>
      <c r="AC75" s="259"/>
      <c r="AD75" s="259"/>
    </row>
    <row r="76" spans="1:30" x14ac:dyDescent="0.25">
      <c r="A76" s="259"/>
      <c r="Q76" s="259"/>
      <c r="R76" s="259"/>
      <c r="S76" s="259"/>
      <c r="T76" s="259"/>
      <c r="U76" s="259"/>
      <c r="V76" s="259"/>
      <c r="W76" s="259"/>
      <c r="X76" s="259"/>
      <c r="Y76" s="259"/>
      <c r="Z76" s="259"/>
      <c r="AA76" s="259"/>
      <c r="AB76" s="259"/>
      <c r="AC76" s="259"/>
      <c r="AD76" s="259"/>
    </row>
    <row r="77" spans="1:30" x14ac:dyDescent="0.25">
      <c r="A77" s="259"/>
      <c r="Q77" s="259"/>
      <c r="R77" s="259"/>
      <c r="S77" s="259"/>
      <c r="T77" s="259"/>
      <c r="U77" s="259"/>
      <c r="V77" s="259"/>
      <c r="W77" s="259"/>
      <c r="X77" s="259"/>
      <c r="Y77" s="259"/>
      <c r="Z77" s="259"/>
      <c r="AA77" s="259"/>
      <c r="AB77" s="259"/>
      <c r="AC77" s="259"/>
      <c r="AD77" s="259"/>
    </row>
    <row r="78" spans="1:30" x14ac:dyDescent="0.25">
      <c r="A78" s="259"/>
      <c r="Q78" s="259"/>
      <c r="R78" s="259"/>
      <c r="S78" s="259"/>
      <c r="T78" s="259"/>
      <c r="U78" s="259"/>
      <c r="V78" s="259"/>
      <c r="W78" s="259"/>
      <c r="X78" s="259"/>
      <c r="Y78" s="259"/>
      <c r="Z78" s="259"/>
      <c r="AA78" s="259"/>
      <c r="AB78" s="259"/>
      <c r="AC78" s="259"/>
      <c r="AD78" s="259"/>
    </row>
    <row r="79" spans="1:30" x14ac:dyDescent="0.25">
      <c r="A79" s="259"/>
      <c r="Q79" s="259"/>
      <c r="R79" s="259"/>
      <c r="S79" s="259"/>
      <c r="T79" s="259"/>
      <c r="U79" s="259"/>
      <c r="V79" s="259"/>
      <c r="W79" s="259"/>
      <c r="X79" s="259"/>
      <c r="Y79" s="259"/>
      <c r="Z79" s="259"/>
      <c r="AA79" s="259"/>
      <c r="AB79" s="259"/>
      <c r="AC79" s="259"/>
      <c r="AD79" s="259"/>
    </row>
    <row r="80" spans="1:30" x14ac:dyDescent="0.25">
      <c r="A80" s="259"/>
      <c r="Q80" s="259"/>
      <c r="R80" s="259"/>
      <c r="S80" s="259"/>
      <c r="T80" s="259"/>
      <c r="U80" s="259"/>
      <c r="V80" s="259"/>
      <c r="W80" s="259"/>
      <c r="X80" s="259"/>
      <c r="Y80" s="259"/>
      <c r="Z80" s="259"/>
      <c r="AA80" s="259"/>
      <c r="AB80" s="259"/>
      <c r="AC80" s="259"/>
      <c r="AD80" s="259"/>
    </row>
    <row r="81" spans="1:30" x14ac:dyDescent="0.25">
      <c r="A81" s="259"/>
      <c r="Q81" s="259"/>
      <c r="R81" s="259"/>
      <c r="S81" s="259"/>
      <c r="T81" s="259"/>
      <c r="U81" s="259"/>
      <c r="V81" s="259"/>
      <c r="W81" s="259"/>
      <c r="X81" s="259"/>
      <c r="Y81" s="259"/>
      <c r="Z81" s="259"/>
      <c r="AA81" s="259"/>
      <c r="AB81" s="259"/>
      <c r="AC81" s="259"/>
      <c r="AD81" s="259"/>
    </row>
    <row r="82" spans="1:30" x14ac:dyDescent="0.25">
      <c r="A82" s="259"/>
      <c r="Q82" s="259"/>
      <c r="R82" s="259"/>
      <c r="S82" s="259"/>
      <c r="T82" s="259"/>
      <c r="U82" s="259"/>
      <c r="V82" s="259"/>
      <c r="W82" s="259"/>
      <c r="X82" s="259"/>
      <c r="Y82" s="259"/>
      <c r="Z82" s="259"/>
      <c r="AA82" s="259"/>
      <c r="AB82" s="259"/>
      <c r="AC82" s="259"/>
      <c r="AD82" s="259"/>
    </row>
    <row r="83" spans="1:30" x14ac:dyDescent="0.25">
      <c r="A83" s="259"/>
      <c r="Q83" s="259"/>
      <c r="R83" s="259"/>
      <c r="S83" s="259"/>
      <c r="T83" s="259"/>
      <c r="U83" s="259"/>
      <c r="V83" s="259"/>
      <c r="W83" s="259"/>
      <c r="X83" s="259"/>
      <c r="Y83" s="259"/>
      <c r="Z83" s="259"/>
      <c r="AA83" s="259"/>
      <c r="AB83" s="259"/>
      <c r="AC83" s="259"/>
      <c r="AD83" s="259"/>
    </row>
    <row r="84" spans="1:30" x14ac:dyDescent="0.25">
      <c r="A84" s="259"/>
      <c r="Q84" s="259"/>
      <c r="R84" s="259"/>
      <c r="S84" s="259"/>
      <c r="T84" s="259"/>
      <c r="U84" s="259"/>
      <c r="V84" s="259"/>
      <c r="W84" s="259"/>
      <c r="X84" s="259"/>
      <c r="Y84" s="259"/>
      <c r="Z84" s="259"/>
      <c r="AA84" s="259"/>
      <c r="AB84" s="259"/>
      <c r="AC84" s="259"/>
      <c r="AD84" s="259"/>
    </row>
    <row r="85" spans="1:30" x14ac:dyDescent="0.25">
      <c r="A85" s="259"/>
      <c r="Q85" s="259"/>
      <c r="R85" s="259"/>
      <c r="S85" s="259"/>
      <c r="T85" s="259"/>
      <c r="U85" s="259"/>
      <c r="V85" s="259"/>
      <c r="W85" s="259"/>
      <c r="X85" s="259"/>
      <c r="Y85" s="259"/>
      <c r="Z85" s="259"/>
      <c r="AA85" s="259"/>
      <c r="AB85" s="259"/>
      <c r="AC85" s="259"/>
      <c r="AD85" s="259"/>
    </row>
    <row r="86" spans="1:30" x14ac:dyDescent="0.25">
      <c r="A86" s="259"/>
      <c r="Q86" s="259"/>
      <c r="R86" s="259"/>
      <c r="S86" s="259"/>
      <c r="T86" s="259"/>
      <c r="U86" s="259"/>
      <c r="V86" s="259"/>
      <c r="W86" s="259"/>
      <c r="X86" s="259"/>
      <c r="Y86" s="259"/>
      <c r="Z86" s="259"/>
      <c r="AA86" s="259"/>
      <c r="AB86" s="259"/>
      <c r="AC86" s="259"/>
      <c r="AD86" s="259"/>
    </row>
    <row r="87" spans="1:30" x14ac:dyDescent="0.25">
      <c r="A87" s="259"/>
      <c r="Q87" s="259"/>
      <c r="R87" s="259"/>
      <c r="S87" s="259"/>
      <c r="T87" s="259"/>
      <c r="U87" s="259"/>
      <c r="V87" s="259"/>
      <c r="W87" s="259"/>
      <c r="X87" s="259"/>
      <c r="Y87" s="259"/>
      <c r="Z87" s="259"/>
      <c r="AA87" s="259"/>
      <c r="AB87" s="259"/>
      <c r="AC87" s="259"/>
      <c r="AD87" s="259"/>
    </row>
    <row r="88" spans="1:30" x14ac:dyDescent="0.25">
      <c r="A88" s="259"/>
      <c r="Q88" s="259"/>
      <c r="R88" s="259"/>
      <c r="S88" s="259"/>
      <c r="T88" s="259"/>
      <c r="U88" s="259"/>
      <c r="V88" s="259"/>
      <c r="W88" s="259"/>
      <c r="X88" s="259"/>
      <c r="Y88" s="259"/>
      <c r="Z88" s="259"/>
      <c r="AA88" s="259"/>
      <c r="AB88" s="259"/>
      <c r="AC88" s="259"/>
      <c r="AD88" s="259"/>
    </row>
    <row r="89" spans="1:30" x14ac:dyDescent="0.25">
      <c r="A89" s="259"/>
      <c r="Q89" s="259"/>
      <c r="R89" s="259"/>
      <c r="S89" s="259"/>
      <c r="T89" s="259"/>
      <c r="U89" s="259"/>
      <c r="V89" s="259"/>
      <c r="W89" s="259"/>
      <c r="X89" s="259"/>
      <c r="Y89" s="259"/>
      <c r="Z89" s="259"/>
      <c r="AA89" s="259"/>
      <c r="AB89" s="259"/>
      <c r="AC89" s="259"/>
      <c r="AD89" s="259"/>
    </row>
    <row r="90" spans="1:30" x14ac:dyDescent="0.25">
      <c r="A90" s="259"/>
      <c r="Q90" s="259"/>
      <c r="R90" s="259"/>
      <c r="S90" s="259"/>
      <c r="T90" s="259"/>
      <c r="U90" s="259"/>
      <c r="V90" s="259"/>
      <c r="W90" s="259"/>
      <c r="X90" s="259"/>
      <c r="Y90" s="259"/>
      <c r="Z90" s="259"/>
      <c r="AA90" s="259"/>
      <c r="AB90" s="259"/>
      <c r="AC90" s="259"/>
      <c r="AD90" s="259"/>
    </row>
    <row r="91" spans="1:30" x14ac:dyDescent="0.25">
      <c r="A91" s="259"/>
      <c r="Q91" s="259"/>
      <c r="R91" s="259"/>
      <c r="S91" s="259"/>
      <c r="T91" s="259"/>
      <c r="U91" s="259"/>
      <c r="V91" s="259"/>
      <c r="W91" s="259"/>
      <c r="X91" s="259"/>
      <c r="Y91" s="259"/>
      <c r="Z91" s="259"/>
      <c r="AA91" s="259"/>
      <c r="AB91" s="259"/>
      <c r="AC91" s="259"/>
      <c r="AD91" s="259"/>
    </row>
    <row r="92" spans="1:30" x14ac:dyDescent="0.25">
      <c r="A92" s="259"/>
      <c r="Q92" s="259"/>
      <c r="R92" s="259"/>
      <c r="S92" s="259"/>
      <c r="T92" s="259"/>
      <c r="U92" s="259"/>
      <c r="V92" s="259"/>
      <c r="W92" s="259"/>
      <c r="X92" s="259"/>
      <c r="Y92" s="259"/>
      <c r="Z92" s="259"/>
      <c r="AA92" s="259"/>
      <c r="AB92" s="259"/>
      <c r="AC92" s="259"/>
      <c r="AD92" s="259"/>
    </row>
    <row r="93" spans="1:30" x14ac:dyDescent="0.25">
      <c r="A93" s="259"/>
      <c r="Q93" s="259"/>
      <c r="R93" s="259"/>
      <c r="S93" s="259"/>
      <c r="T93" s="259"/>
      <c r="U93" s="259"/>
      <c r="V93" s="259"/>
      <c r="W93" s="259"/>
      <c r="X93" s="259"/>
      <c r="Y93" s="259"/>
      <c r="Z93" s="259"/>
      <c r="AA93" s="259"/>
      <c r="AB93" s="259"/>
      <c r="AC93" s="259"/>
      <c r="AD93" s="259"/>
    </row>
    <row r="94" spans="1:30" x14ac:dyDescent="0.25">
      <c r="A94" s="259"/>
      <c r="Q94" s="259"/>
      <c r="R94" s="259"/>
      <c r="S94" s="259"/>
      <c r="T94" s="259"/>
      <c r="U94" s="259"/>
      <c r="V94" s="259"/>
      <c r="W94" s="259"/>
      <c r="X94" s="259"/>
      <c r="Y94" s="259"/>
      <c r="Z94" s="259"/>
      <c r="AA94" s="259"/>
      <c r="AB94" s="259"/>
      <c r="AC94" s="259"/>
      <c r="AD94" s="259"/>
    </row>
    <row r="95" spans="1:30" x14ac:dyDescent="0.25">
      <c r="A95" s="259"/>
      <c r="Q95" s="259"/>
      <c r="R95" s="259"/>
      <c r="S95" s="259"/>
      <c r="T95" s="259"/>
      <c r="U95" s="259"/>
      <c r="V95" s="259"/>
      <c r="W95" s="259"/>
      <c r="X95" s="259"/>
      <c r="Y95" s="259"/>
      <c r="Z95" s="259"/>
      <c r="AA95" s="259"/>
      <c r="AB95" s="259"/>
      <c r="AC95" s="259"/>
      <c r="AD95" s="259"/>
    </row>
    <row r="96" spans="1:30" x14ac:dyDescent="0.25">
      <c r="A96" s="259"/>
      <c r="Q96" s="259"/>
      <c r="R96" s="259"/>
      <c r="S96" s="259"/>
      <c r="T96" s="259"/>
      <c r="U96" s="259"/>
      <c r="V96" s="259"/>
      <c r="W96" s="259"/>
      <c r="X96" s="259"/>
      <c r="Y96" s="259"/>
      <c r="Z96" s="259"/>
      <c r="AA96" s="259"/>
      <c r="AB96" s="259"/>
      <c r="AC96" s="259"/>
      <c r="AD96" s="259"/>
    </row>
    <row r="97" spans="1:30" x14ac:dyDescent="0.25">
      <c r="A97" s="259"/>
      <c r="Q97" s="259"/>
      <c r="R97" s="259"/>
      <c r="S97" s="259"/>
      <c r="T97" s="259"/>
      <c r="U97" s="259"/>
      <c r="V97" s="259"/>
      <c r="W97" s="259"/>
      <c r="X97" s="259"/>
      <c r="Y97" s="259"/>
      <c r="Z97" s="259"/>
      <c r="AA97" s="259"/>
      <c r="AB97" s="259"/>
      <c r="AC97" s="259"/>
      <c r="AD97" s="259"/>
    </row>
    <row r="98" spans="1:30" x14ac:dyDescent="0.25">
      <c r="A98" s="259"/>
      <c r="Q98" s="259"/>
      <c r="R98" s="259"/>
      <c r="S98" s="259"/>
      <c r="T98" s="259"/>
      <c r="U98" s="259"/>
      <c r="V98" s="259"/>
      <c r="W98" s="259"/>
      <c r="X98" s="259"/>
      <c r="Y98" s="259"/>
      <c r="Z98" s="259"/>
      <c r="AA98" s="259"/>
      <c r="AB98" s="259"/>
      <c r="AC98" s="259"/>
      <c r="AD98" s="259"/>
    </row>
    <row r="99" spans="1:30" x14ac:dyDescent="0.25">
      <c r="A99" s="259"/>
      <c r="Q99" s="259"/>
      <c r="R99" s="259"/>
      <c r="S99" s="259"/>
      <c r="T99" s="259"/>
      <c r="U99" s="259"/>
      <c r="V99" s="259"/>
      <c r="W99" s="259"/>
      <c r="X99" s="259"/>
      <c r="Y99" s="259"/>
      <c r="Z99" s="259"/>
      <c r="AA99" s="259"/>
      <c r="AB99" s="259"/>
      <c r="AC99" s="259"/>
      <c r="AD99" s="259"/>
    </row>
    <row r="100" spans="1:30" x14ac:dyDescent="0.25">
      <c r="A100" s="259"/>
      <c r="Q100" s="259"/>
      <c r="R100" s="259"/>
      <c r="S100" s="259"/>
      <c r="T100" s="259"/>
      <c r="U100" s="259"/>
      <c r="V100" s="259"/>
      <c r="W100" s="259"/>
      <c r="X100" s="259"/>
      <c r="Y100" s="259"/>
      <c r="Z100" s="259"/>
      <c r="AA100" s="259"/>
      <c r="AB100" s="259"/>
      <c r="AC100" s="259"/>
      <c r="AD100" s="259"/>
    </row>
    <row r="101" spans="1:30" x14ac:dyDescent="0.25">
      <c r="A101" s="259"/>
      <c r="Q101" s="259"/>
      <c r="R101" s="259"/>
      <c r="S101" s="259"/>
      <c r="T101" s="259"/>
      <c r="U101" s="259"/>
      <c r="V101" s="259"/>
      <c r="W101" s="259"/>
      <c r="X101" s="259"/>
      <c r="Y101" s="259"/>
      <c r="Z101" s="259"/>
      <c r="AA101" s="259"/>
      <c r="AB101" s="259"/>
      <c r="AC101" s="259"/>
      <c r="AD101" s="259"/>
    </row>
    <row r="102" spans="1:30" x14ac:dyDescent="0.25">
      <c r="Q102" s="259"/>
      <c r="R102" s="259"/>
      <c r="S102" s="259"/>
      <c r="T102" s="259"/>
      <c r="U102" s="259"/>
      <c r="V102" s="259"/>
      <c r="W102" s="259"/>
      <c r="X102" s="259"/>
      <c r="Y102" s="259"/>
      <c r="Z102" s="259"/>
      <c r="AA102" s="259"/>
      <c r="AB102" s="259"/>
      <c r="AC102" s="259"/>
      <c r="AD102" s="259"/>
    </row>
    <row r="103" spans="1:30" x14ac:dyDescent="0.25">
      <c r="Q103" s="259"/>
      <c r="R103" s="259"/>
      <c r="S103" s="259"/>
      <c r="T103" s="259"/>
      <c r="U103" s="259"/>
      <c r="V103" s="259"/>
      <c r="W103" s="259"/>
      <c r="X103" s="259"/>
      <c r="Y103" s="259"/>
      <c r="Z103" s="259"/>
      <c r="AA103" s="259"/>
      <c r="AB103" s="259"/>
      <c r="AC103" s="259"/>
      <c r="AD103" s="259"/>
    </row>
    <row r="104" spans="1:30" x14ac:dyDescent="0.25">
      <c r="Q104" s="259"/>
      <c r="R104" s="259"/>
      <c r="S104" s="259"/>
      <c r="T104" s="259"/>
      <c r="U104" s="259"/>
      <c r="V104" s="259"/>
      <c r="W104" s="259"/>
      <c r="X104" s="259"/>
      <c r="Y104" s="259"/>
      <c r="Z104" s="259"/>
      <c r="AA104" s="259"/>
      <c r="AB104" s="259"/>
      <c r="AC104" s="259"/>
      <c r="AD104" s="259"/>
    </row>
    <row r="105" spans="1:30" x14ac:dyDescent="0.25">
      <c r="Q105" s="259"/>
      <c r="R105" s="259"/>
      <c r="S105" s="259"/>
      <c r="T105" s="259"/>
      <c r="U105" s="259"/>
      <c r="V105" s="259"/>
      <c r="W105" s="259"/>
      <c r="X105" s="259"/>
      <c r="Y105" s="259"/>
      <c r="Z105" s="259"/>
      <c r="AA105" s="259"/>
      <c r="AB105" s="259"/>
      <c r="AC105" s="259"/>
      <c r="AD105" s="259"/>
    </row>
    <row r="106" spans="1:30" x14ac:dyDescent="0.25">
      <c r="Q106" s="259"/>
      <c r="R106" s="259"/>
      <c r="S106" s="259"/>
      <c r="T106" s="259"/>
      <c r="U106" s="259"/>
      <c r="V106" s="259"/>
      <c r="W106" s="259"/>
      <c r="X106" s="259"/>
      <c r="Y106" s="259"/>
      <c r="Z106" s="259"/>
      <c r="AA106" s="259"/>
      <c r="AB106" s="259"/>
      <c r="AC106" s="259"/>
      <c r="AD106" s="259"/>
    </row>
    <row r="107" spans="1:30" x14ac:dyDescent="0.25">
      <c r="Q107" s="259"/>
      <c r="R107" s="259"/>
      <c r="S107" s="259"/>
      <c r="T107" s="259"/>
      <c r="U107" s="259"/>
      <c r="V107" s="259"/>
      <c r="W107" s="259"/>
      <c r="X107" s="259"/>
      <c r="Y107" s="259"/>
      <c r="Z107" s="259"/>
      <c r="AA107" s="259"/>
      <c r="AB107" s="259"/>
      <c r="AC107" s="259"/>
      <c r="AD107" s="259"/>
    </row>
    <row r="108" spans="1:30" x14ac:dyDescent="0.25">
      <c r="Q108" s="259"/>
      <c r="R108" s="259"/>
      <c r="S108" s="259"/>
      <c r="T108" s="259"/>
      <c r="U108" s="259"/>
      <c r="V108" s="259"/>
      <c r="W108" s="259"/>
      <c r="X108" s="259"/>
      <c r="Y108" s="259"/>
      <c r="Z108" s="259"/>
      <c r="AA108" s="259"/>
      <c r="AB108" s="259"/>
      <c r="AC108" s="259"/>
      <c r="AD108" s="259"/>
    </row>
    <row r="109" spans="1:30" x14ac:dyDescent="0.25">
      <c r="Q109" s="259"/>
      <c r="R109" s="259"/>
      <c r="S109" s="259"/>
      <c r="T109" s="259"/>
      <c r="U109" s="259"/>
      <c r="V109" s="259"/>
      <c r="W109" s="259"/>
      <c r="X109" s="259"/>
      <c r="Y109" s="259"/>
      <c r="Z109" s="259"/>
      <c r="AA109" s="259"/>
      <c r="AB109" s="259"/>
      <c r="AC109" s="259"/>
      <c r="AD109" s="259"/>
    </row>
    <row r="110" spans="1:30" x14ac:dyDescent="0.25">
      <c r="Q110" s="259"/>
      <c r="R110" s="259"/>
      <c r="S110" s="259"/>
      <c r="T110" s="259"/>
      <c r="U110" s="259"/>
      <c r="V110" s="259"/>
      <c r="W110" s="259"/>
      <c r="X110" s="259"/>
      <c r="Y110" s="259"/>
      <c r="Z110" s="259"/>
      <c r="AA110" s="259"/>
      <c r="AB110" s="259"/>
      <c r="AC110" s="259"/>
      <c r="AD110" s="259"/>
    </row>
    <row r="111" spans="1:30" x14ac:dyDescent="0.25">
      <c r="Q111" s="259"/>
      <c r="R111" s="259"/>
      <c r="S111" s="259"/>
      <c r="T111" s="259"/>
      <c r="U111" s="259"/>
      <c r="V111" s="259"/>
      <c r="W111" s="259"/>
      <c r="X111" s="259"/>
      <c r="Y111" s="259"/>
      <c r="Z111" s="259"/>
      <c r="AA111" s="259"/>
      <c r="AB111" s="259"/>
      <c r="AC111" s="259"/>
      <c r="AD111" s="259"/>
    </row>
    <row r="112" spans="1:30" x14ac:dyDescent="0.25">
      <c r="Q112" s="259"/>
      <c r="R112" s="259"/>
      <c r="S112" s="259"/>
      <c r="T112" s="259"/>
      <c r="U112" s="259"/>
      <c r="V112" s="259"/>
      <c r="W112" s="259"/>
      <c r="X112" s="259"/>
      <c r="Y112" s="259"/>
      <c r="Z112" s="259"/>
      <c r="AA112" s="259"/>
      <c r="AB112" s="259"/>
      <c r="AC112" s="259"/>
      <c r="AD112" s="259"/>
    </row>
    <row r="113" spans="17:30" x14ac:dyDescent="0.25">
      <c r="Q113" s="259"/>
      <c r="R113" s="259"/>
      <c r="S113" s="259"/>
      <c r="T113" s="259"/>
      <c r="U113" s="259"/>
      <c r="V113" s="259"/>
      <c r="W113" s="259"/>
      <c r="X113" s="259"/>
      <c r="Y113" s="259"/>
      <c r="Z113" s="259"/>
      <c r="AA113" s="259"/>
      <c r="AB113" s="259"/>
      <c r="AC113" s="259"/>
      <c r="AD113" s="259"/>
    </row>
    <row r="114" spans="17:30" x14ac:dyDescent="0.25">
      <c r="Q114" s="259"/>
      <c r="R114" s="259"/>
      <c r="S114" s="259"/>
      <c r="T114" s="259"/>
      <c r="U114" s="259"/>
      <c r="V114" s="259"/>
      <c r="W114" s="259"/>
      <c r="X114" s="259"/>
      <c r="Y114" s="259"/>
      <c r="Z114" s="259"/>
      <c r="AA114" s="259"/>
      <c r="AB114" s="259"/>
      <c r="AC114" s="259"/>
      <c r="AD114" s="259"/>
    </row>
    <row r="115" spans="17:30" x14ac:dyDescent="0.25">
      <c r="Q115" s="259"/>
      <c r="R115" s="259"/>
      <c r="S115" s="259"/>
      <c r="T115" s="259"/>
      <c r="U115" s="259"/>
      <c r="V115" s="259"/>
      <c r="W115" s="259"/>
      <c r="X115" s="259"/>
      <c r="Y115" s="259"/>
      <c r="Z115" s="259"/>
      <c r="AA115" s="259"/>
      <c r="AB115" s="259"/>
      <c r="AC115" s="259"/>
      <c r="AD115" s="259"/>
    </row>
    <row r="116" spans="17:30" x14ac:dyDescent="0.25">
      <c r="Q116" s="259"/>
      <c r="R116" s="259"/>
      <c r="S116" s="259"/>
      <c r="T116" s="259"/>
      <c r="U116" s="259"/>
      <c r="V116" s="259"/>
      <c r="W116" s="259"/>
      <c r="X116" s="259"/>
      <c r="Y116" s="259"/>
      <c r="Z116" s="259"/>
      <c r="AA116" s="259"/>
      <c r="AB116" s="259"/>
      <c r="AC116" s="259"/>
      <c r="AD116" s="259"/>
    </row>
    <row r="117" spans="17:30" x14ac:dyDescent="0.25">
      <c r="Q117" s="259"/>
      <c r="R117" s="259"/>
      <c r="S117" s="259"/>
      <c r="T117" s="259"/>
      <c r="U117" s="259"/>
      <c r="V117" s="259"/>
      <c r="W117" s="259"/>
      <c r="X117" s="259"/>
      <c r="Y117" s="259"/>
      <c r="Z117" s="259"/>
      <c r="AA117" s="259"/>
      <c r="AB117" s="259"/>
      <c r="AC117" s="259"/>
      <c r="AD117" s="259"/>
    </row>
    <row r="118" spans="17:30" x14ac:dyDescent="0.25">
      <c r="Q118" s="259"/>
      <c r="R118" s="259"/>
      <c r="S118" s="259"/>
      <c r="T118" s="259"/>
      <c r="U118" s="259"/>
      <c r="V118" s="259"/>
      <c r="W118" s="259"/>
      <c r="X118" s="259"/>
      <c r="Y118" s="259"/>
      <c r="Z118" s="259"/>
      <c r="AA118" s="259"/>
      <c r="AB118" s="259"/>
      <c r="AC118" s="259"/>
      <c r="AD118" s="259"/>
    </row>
    <row r="119" spans="17:30" x14ac:dyDescent="0.25">
      <c r="Q119" s="259"/>
      <c r="R119" s="259"/>
      <c r="S119" s="259"/>
      <c r="T119" s="259"/>
      <c r="U119" s="259"/>
      <c r="V119" s="259"/>
      <c r="W119" s="259"/>
      <c r="X119" s="259"/>
      <c r="Y119" s="259"/>
      <c r="Z119" s="259"/>
      <c r="AA119" s="259"/>
      <c r="AB119" s="259"/>
      <c r="AC119" s="259"/>
      <c r="AD119" s="259"/>
    </row>
    <row r="120" spans="17:30" x14ac:dyDescent="0.25">
      <c r="Q120" s="259"/>
      <c r="R120" s="259"/>
      <c r="S120" s="259"/>
      <c r="T120" s="259"/>
      <c r="U120" s="259"/>
      <c r="V120" s="259"/>
      <c r="W120" s="259"/>
      <c r="X120" s="259"/>
      <c r="Y120" s="259"/>
      <c r="Z120" s="259"/>
      <c r="AA120" s="259"/>
      <c r="AB120" s="259"/>
      <c r="AC120" s="259"/>
      <c r="AD120" s="259"/>
    </row>
    <row r="121" spans="17:30" x14ac:dyDescent="0.25">
      <c r="Q121" s="259"/>
      <c r="R121" s="259"/>
      <c r="S121" s="259"/>
      <c r="T121" s="259"/>
      <c r="U121" s="259"/>
      <c r="V121" s="259"/>
      <c r="W121" s="259"/>
      <c r="X121" s="259"/>
      <c r="Y121" s="259"/>
      <c r="Z121" s="259"/>
      <c r="AA121" s="259"/>
      <c r="AB121" s="259"/>
      <c r="AC121" s="259"/>
      <c r="AD121" s="259"/>
    </row>
    <row r="122" spans="17:30" x14ac:dyDescent="0.25">
      <c r="Q122" s="259"/>
      <c r="R122" s="259"/>
      <c r="S122" s="259"/>
      <c r="T122" s="259"/>
      <c r="U122" s="259"/>
      <c r="V122" s="259"/>
      <c r="W122" s="259"/>
      <c r="X122" s="259"/>
      <c r="Y122" s="259"/>
      <c r="Z122" s="259"/>
      <c r="AA122" s="259"/>
      <c r="AB122" s="259"/>
      <c r="AC122" s="259"/>
      <c r="AD122" s="259"/>
    </row>
    <row r="123" spans="17:30" x14ac:dyDescent="0.25">
      <c r="Q123" s="259"/>
      <c r="R123" s="259"/>
      <c r="S123" s="259"/>
      <c r="T123" s="259"/>
      <c r="U123" s="259"/>
      <c r="V123" s="259"/>
      <c r="W123" s="259"/>
      <c r="X123" s="259"/>
      <c r="Y123" s="259"/>
      <c r="Z123" s="259"/>
      <c r="AA123" s="259"/>
      <c r="AB123" s="259"/>
      <c r="AC123" s="259"/>
      <c r="AD123" s="259"/>
    </row>
    <row r="124" spans="17:30" x14ac:dyDescent="0.25">
      <c r="Q124" s="259"/>
      <c r="R124" s="259"/>
      <c r="S124" s="259"/>
      <c r="T124" s="259"/>
      <c r="U124" s="259"/>
      <c r="V124" s="259"/>
      <c r="W124" s="259"/>
      <c r="X124" s="259"/>
      <c r="Y124" s="259"/>
      <c r="Z124" s="259"/>
      <c r="AA124" s="259"/>
      <c r="AB124" s="259"/>
      <c r="AC124" s="259"/>
      <c r="AD124" s="259"/>
    </row>
    <row r="125" spans="17:30" x14ac:dyDescent="0.25">
      <c r="Q125" s="259"/>
      <c r="R125" s="259"/>
      <c r="S125" s="259"/>
      <c r="T125" s="259"/>
      <c r="U125" s="259"/>
      <c r="V125" s="259"/>
      <c r="W125" s="259"/>
      <c r="X125" s="259"/>
      <c r="Y125" s="259"/>
      <c r="Z125" s="259"/>
      <c r="AA125" s="259"/>
      <c r="AB125" s="259"/>
      <c r="AC125" s="259"/>
      <c r="AD125" s="259"/>
    </row>
    <row r="126" spans="17:30" x14ac:dyDescent="0.25">
      <c r="Q126" s="259"/>
      <c r="R126" s="259"/>
      <c r="S126" s="259"/>
      <c r="T126" s="259"/>
      <c r="U126" s="259"/>
      <c r="V126" s="259"/>
      <c r="W126" s="259"/>
      <c r="X126" s="259"/>
      <c r="Y126" s="259"/>
      <c r="Z126" s="259"/>
      <c r="AA126" s="259"/>
      <c r="AB126" s="259"/>
      <c r="AC126" s="259"/>
      <c r="AD126" s="259"/>
    </row>
    <row r="127" spans="17:30" x14ac:dyDescent="0.25">
      <c r="Q127" s="259"/>
      <c r="R127" s="259"/>
      <c r="S127" s="259"/>
      <c r="T127" s="259"/>
      <c r="U127" s="259"/>
      <c r="V127" s="259"/>
      <c r="W127" s="259"/>
      <c r="X127" s="259"/>
      <c r="Y127" s="259"/>
      <c r="Z127" s="259"/>
      <c r="AA127" s="259"/>
      <c r="AB127" s="259"/>
      <c r="AC127" s="259"/>
      <c r="AD127" s="259"/>
    </row>
    <row r="128" spans="17:30" x14ac:dyDescent="0.25">
      <c r="Q128" s="259"/>
      <c r="R128" s="259"/>
      <c r="S128" s="259"/>
      <c r="T128" s="259"/>
      <c r="U128" s="259"/>
      <c r="V128" s="259"/>
      <c r="W128" s="259"/>
      <c r="X128" s="259"/>
      <c r="Y128" s="259"/>
      <c r="Z128" s="259"/>
      <c r="AA128" s="259"/>
      <c r="AB128" s="259"/>
      <c r="AC128" s="259"/>
      <c r="AD128" s="259"/>
    </row>
    <row r="129" spans="17:30" x14ac:dyDescent="0.25">
      <c r="Q129" s="259"/>
      <c r="R129" s="259"/>
      <c r="S129" s="259"/>
      <c r="T129" s="259"/>
      <c r="U129" s="259"/>
      <c r="V129" s="259"/>
      <c r="W129" s="259"/>
      <c r="X129" s="259"/>
      <c r="Y129" s="259"/>
      <c r="Z129" s="259"/>
      <c r="AA129" s="259"/>
      <c r="AB129" s="259"/>
      <c r="AC129" s="259"/>
      <c r="AD129" s="259"/>
    </row>
    <row r="130" spans="17:30" x14ac:dyDescent="0.25">
      <c r="Q130" s="259"/>
      <c r="R130" s="259"/>
      <c r="S130" s="259"/>
      <c r="T130" s="259"/>
      <c r="U130" s="259"/>
      <c r="V130" s="259"/>
      <c r="W130" s="259"/>
      <c r="X130" s="259"/>
      <c r="Y130" s="259"/>
      <c r="Z130" s="259"/>
      <c r="AA130" s="259"/>
      <c r="AB130" s="259"/>
      <c r="AC130" s="259"/>
      <c r="AD130" s="259"/>
    </row>
    <row r="131" spans="17:30" x14ac:dyDescent="0.25">
      <c r="Q131" s="259"/>
      <c r="R131" s="259"/>
      <c r="S131" s="259"/>
      <c r="T131" s="259"/>
      <c r="U131" s="259"/>
      <c r="V131" s="259"/>
      <c r="W131" s="259"/>
      <c r="X131" s="259"/>
      <c r="Y131" s="259"/>
      <c r="Z131" s="259"/>
      <c r="AA131" s="259"/>
      <c r="AB131" s="259"/>
      <c r="AC131" s="259"/>
      <c r="AD131" s="259"/>
    </row>
    <row r="132" spans="17:30" x14ac:dyDescent="0.25">
      <c r="Q132" s="259"/>
      <c r="R132" s="259"/>
      <c r="S132" s="259"/>
      <c r="T132" s="259"/>
      <c r="U132" s="259"/>
      <c r="V132" s="259"/>
      <c r="W132" s="259"/>
      <c r="X132" s="259"/>
      <c r="Y132" s="259"/>
      <c r="Z132" s="259"/>
      <c r="AA132" s="259"/>
      <c r="AB132" s="259"/>
      <c r="AC132" s="259"/>
      <c r="AD132" s="259"/>
    </row>
    <row r="133" spans="17:30" x14ac:dyDescent="0.25">
      <c r="Q133" s="259"/>
      <c r="R133" s="259"/>
      <c r="S133" s="259"/>
      <c r="T133" s="259"/>
      <c r="U133" s="259"/>
      <c r="V133" s="259"/>
      <c r="W133" s="259"/>
      <c r="X133" s="259"/>
      <c r="Y133" s="259"/>
      <c r="Z133" s="259"/>
      <c r="AA133" s="259"/>
      <c r="AB133" s="259"/>
      <c r="AC133" s="259"/>
      <c r="AD133" s="259"/>
    </row>
    <row r="134" spans="17:30" x14ac:dyDescent="0.25">
      <c r="Q134" s="259"/>
      <c r="R134" s="259"/>
      <c r="S134" s="259"/>
      <c r="T134" s="259"/>
      <c r="U134" s="259"/>
      <c r="V134" s="259"/>
      <c r="W134" s="259"/>
      <c r="X134" s="259"/>
      <c r="Y134" s="259"/>
      <c r="Z134" s="259"/>
      <c r="AA134" s="259"/>
      <c r="AB134" s="259"/>
      <c r="AC134" s="259"/>
      <c r="AD134" s="259"/>
    </row>
    <row r="135" spans="17:30" x14ac:dyDescent="0.25">
      <c r="Q135" s="259"/>
      <c r="R135" s="259"/>
      <c r="S135" s="259"/>
      <c r="T135" s="259"/>
      <c r="U135" s="259"/>
      <c r="V135" s="259"/>
      <c r="W135" s="259"/>
      <c r="X135" s="259"/>
      <c r="Y135" s="259"/>
      <c r="Z135" s="259"/>
      <c r="AA135" s="259"/>
      <c r="AB135" s="259"/>
      <c r="AC135" s="259"/>
      <c r="AD135" s="259"/>
    </row>
    <row r="136" spans="17:30" x14ac:dyDescent="0.25">
      <c r="Q136" s="259"/>
      <c r="R136" s="259"/>
      <c r="S136" s="259"/>
      <c r="T136" s="259"/>
      <c r="U136" s="259"/>
      <c r="V136" s="259"/>
      <c r="W136" s="259"/>
      <c r="X136" s="259"/>
      <c r="Y136" s="259"/>
      <c r="Z136" s="259"/>
      <c r="AA136" s="259"/>
      <c r="AB136" s="259"/>
      <c r="AC136" s="259"/>
      <c r="AD136" s="259"/>
    </row>
    <row r="137" spans="17:30" x14ac:dyDescent="0.25">
      <c r="Q137" s="259"/>
      <c r="R137" s="259"/>
      <c r="S137" s="259"/>
      <c r="T137" s="259"/>
      <c r="U137" s="259"/>
      <c r="V137" s="259"/>
      <c r="W137" s="259"/>
      <c r="X137" s="259"/>
      <c r="Y137" s="259"/>
      <c r="Z137" s="259"/>
      <c r="AA137" s="259"/>
      <c r="AB137" s="259"/>
      <c r="AC137" s="259"/>
      <c r="AD137" s="259"/>
    </row>
    <row r="138" spans="17:30" x14ac:dyDescent="0.25">
      <c r="Q138" s="259"/>
      <c r="R138" s="259"/>
      <c r="S138" s="259"/>
      <c r="T138" s="259"/>
      <c r="U138" s="259"/>
      <c r="V138" s="259"/>
      <c r="W138" s="259"/>
      <c r="X138" s="259"/>
      <c r="Y138" s="259"/>
      <c r="Z138" s="259"/>
      <c r="AA138" s="259"/>
      <c r="AB138" s="259"/>
      <c r="AC138" s="259"/>
      <c r="AD138" s="259"/>
    </row>
    <row r="139" spans="17:30" x14ac:dyDescent="0.25">
      <c r="Q139" s="259"/>
      <c r="R139" s="259"/>
      <c r="S139" s="259"/>
      <c r="T139" s="259"/>
      <c r="U139" s="259"/>
      <c r="V139" s="259"/>
      <c r="W139" s="259"/>
      <c r="X139" s="259"/>
      <c r="Y139" s="259"/>
      <c r="Z139" s="259"/>
      <c r="AA139" s="259"/>
      <c r="AB139" s="259"/>
      <c r="AC139" s="259"/>
      <c r="AD139" s="259"/>
    </row>
    <row r="140" spans="17:30" x14ac:dyDescent="0.25">
      <c r="Q140" s="259"/>
      <c r="R140" s="259"/>
      <c r="S140" s="259"/>
      <c r="T140" s="259"/>
      <c r="U140" s="259"/>
      <c r="V140" s="259"/>
      <c r="W140" s="259"/>
      <c r="X140" s="259"/>
      <c r="Y140" s="259"/>
      <c r="Z140" s="259"/>
      <c r="AA140" s="259"/>
      <c r="AB140" s="259"/>
      <c r="AC140" s="259"/>
      <c r="AD140" s="259"/>
    </row>
    <row r="141" spans="17:30" x14ac:dyDescent="0.25">
      <c r="Q141" s="259"/>
      <c r="R141" s="259"/>
      <c r="S141" s="259"/>
      <c r="T141" s="259"/>
      <c r="U141" s="259"/>
      <c r="V141" s="259"/>
      <c r="W141" s="259"/>
      <c r="X141" s="259"/>
      <c r="Y141" s="259"/>
      <c r="Z141" s="259"/>
      <c r="AA141" s="259"/>
      <c r="AB141" s="259"/>
      <c r="AC141" s="259"/>
      <c r="AD141" s="259"/>
    </row>
    <row r="142" spans="17:30" x14ac:dyDescent="0.25">
      <c r="Q142" s="259"/>
      <c r="R142" s="259"/>
      <c r="S142" s="259"/>
      <c r="T142" s="259"/>
      <c r="U142" s="259"/>
      <c r="V142" s="259"/>
      <c r="W142" s="259"/>
      <c r="X142" s="259"/>
      <c r="Y142" s="259"/>
      <c r="Z142" s="259"/>
      <c r="AA142" s="259"/>
      <c r="AB142" s="259"/>
      <c r="AC142" s="259"/>
      <c r="AD142" s="259"/>
    </row>
    <row r="143" spans="17:30" x14ac:dyDescent="0.25">
      <c r="Q143" s="259"/>
      <c r="R143" s="259"/>
      <c r="S143" s="259"/>
      <c r="T143" s="259"/>
      <c r="U143" s="259"/>
      <c r="V143" s="259"/>
      <c r="W143" s="259"/>
      <c r="X143" s="259"/>
      <c r="Y143" s="259"/>
      <c r="Z143" s="259"/>
      <c r="AA143" s="259"/>
      <c r="AB143" s="259"/>
      <c r="AC143" s="259"/>
      <c r="AD143" s="259"/>
    </row>
    <row r="144" spans="17:30" x14ac:dyDescent="0.25">
      <c r="Q144" s="259"/>
      <c r="R144" s="259"/>
      <c r="S144" s="259"/>
      <c r="T144" s="259"/>
      <c r="U144" s="259"/>
      <c r="V144" s="259"/>
      <c r="W144" s="259"/>
      <c r="X144" s="259"/>
      <c r="Y144" s="259"/>
      <c r="Z144" s="259"/>
      <c r="AA144" s="259"/>
      <c r="AB144" s="259"/>
      <c r="AC144" s="259"/>
      <c r="AD144" s="259"/>
    </row>
    <row r="145" spans="17:30" x14ac:dyDescent="0.25">
      <c r="Q145" s="259"/>
      <c r="R145" s="259"/>
      <c r="S145" s="259"/>
      <c r="T145" s="259"/>
      <c r="U145" s="259"/>
      <c r="V145" s="259"/>
      <c r="W145" s="259"/>
      <c r="X145" s="259"/>
      <c r="Y145" s="259"/>
      <c r="Z145" s="259"/>
      <c r="AA145" s="259"/>
      <c r="AB145" s="259"/>
      <c r="AC145" s="259"/>
      <c r="AD145" s="259"/>
    </row>
    <row r="146" spans="17:30" x14ac:dyDescent="0.25">
      <c r="Q146" s="259"/>
      <c r="R146" s="259"/>
      <c r="S146" s="259"/>
      <c r="T146" s="259"/>
      <c r="U146" s="259"/>
      <c r="V146" s="259"/>
      <c r="W146" s="259"/>
      <c r="X146" s="259"/>
      <c r="Y146" s="259"/>
      <c r="Z146" s="259"/>
      <c r="AA146" s="259"/>
      <c r="AB146" s="259"/>
      <c r="AC146" s="259"/>
      <c r="AD146" s="259"/>
    </row>
    <row r="147" spans="17:30" x14ac:dyDescent="0.25">
      <c r="Q147" s="259"/>
      <c r="R147" s="259"/>
      <c r="S147" s="259"/>
      <c r="T147" s="259"/>
      <c r="U147" s="259"/>
      <c r="V147" s="259"/>
      <c r="W147" s="259"/>
      <c r="X147" s="259"/>
      <c r="Y147" s="259"/>
      <c r="Z147" s="259"/>
      <c r="AA147" s="259"/>
      <c r="AB147" s="259"/>
      <c r="AC147" s="259"/>
      <c r="AD147" s="259"/>
    </row>
    <row r="148" spans="17:30" x14ac:dyDescent="0.25">
      <c r="Q148" s="259"/>
      <c r="R148" s="259"/>
      <c r="S148" s="259"/>
      <c r="T148" s="259"/>
      <c r="U148" s="259"/>
      <c r="V148" s="259"/>
      <c r="W148" s="259"/>
      <c r="X148" s="259"/>
      <c r="Y148" s="259"/>
      <c r="Z148" s="259"/>
      <c r="AA148" s="259"/>
      <c r="AB148" s="259"/>
      <c r="AC148" s="259"/>
      <c r="AD148" s="259"/>
    </row>
    <row r="149" spans="17:30" x14ac:dyDescent="0.25">
      <c r="Q149" s="259"/>
      <c r="R149" s="259"/>
      <c r="S149" s="259"/>
      <c r="T149" s="259"/>
      <c r="U149" s="259"/>
      <c r="V149" s="259"/>
      <c r="W149" s="259"/>
      <c r="X149" s="259"/>
      <c r="Y149" s="259"/>
      <c r="Z149" s="259"/>
      <c r="AA149" s="259"/>
      <c r="AB149" s="259"/>
      <c r="AC149" s="259"/>
      <c r="AD149" s="259"/>
    </row>
    <row r="150" spans="17:30" x14ac:dyDescent="0.25">
      <c r="Q150" s="259"/>
      <c r="R150" s="259"/>
      <c r="S150" s="259"/>
      <c r="T150" s="259"/>
      <c r="U150" s="259"/>
      <c r="V150" s="259"/>
      <c r="W150" s="259"/>
      <c r="X150" s="259"/>
      <c r="Y150" s="259"/>
      <c r="Z150" s="259"/>
      <c r="AA150" s="259"/>
      <c r="AB150" s="259"/>
      <c r="AC150" s="259"/>
      <c r="AD150" s="259"/>
    </row>
    <row r="151" spans="17:30" x14ac:dyDescent="0.25">
      <c r="Q151" s="259"/>
      <c r="R151" s="259"/>
      <c r="S151" s="259"/>
      <c r="T151" s="259"/>
      <c r="U151" s="259"/>
      <c r="V151" s="259"/>
      <c r="W151" s="259"/>
      <c r="X151" s="259"/>
      <c r="Y151" s="259"/>
      <c r="Z151" s="259"/>
      <c r="AA151" s="259"/>
      <c r="AB151" s="259"/>
      <c r="AC151" s="259"/>
      <c r="AD151" s="259"/>
    </row>
    <row r="152" spans="17:30" x14ac:dyDescent="0.25">
      <c r="Q152" s="259"/>
      <c r="R152" s="259"/>
      <c r="S152" s="259"/>
      <c r="T152" s="259"/>
      <c r="U152" s="259"/>
      <c r="V152" s="259"/>
      <c r="W152" s="259"/>
      <c r="X152" s="259"/>
      <c r="Y152" s="259"/>
      <c r="Z152" s="259"/>
      <c r="AA152" s="259"/>
      <c r="AB152" s="259"/>
      <c r="AC152" s="259"/>
      <c r="AD152" s="259"/>
    </row>
    <row r="153" spans="17:30" x14ac:dyDescent="0.25">
      <c r="Q153" s="259"/>
      <c r="R153" s="259"/>
      <c r="S153" s="259"/>
      <c r="T153" s="259"/>
      <c r="U153" s="259"/>
      <c r="V153" s="259"/>
      <c r="W153" s="259"/>
      <c r="X153" s="259"/>
      <c r="Y153" s="259"/>
      <c r="Z153" s="259"/>
      <c r="AA153" s="259"/>
      <c r="AB153" s="259"/>
      <c r="AC153" s="259"/>
      <c r="AD153" s="259"/>
    </row>
    <row r="154" spans="17:30" x14ac:dyDescent="0.25">
      <c r="Q154" s="259"/>
      <c r="R154" s="259"/>
      <c r="S154" s="259"/>
      <c r="T154" s="259"/>
      <c r="U154" s="259"/>
      <c r="V154" s="259"/>
      <c r="W154" s="259"/>
      <c r="X154" s="259"/>
      <c r="Y154" s="259"/>
      <c r="Z154" s="259"/>
      <c r="AA154" s="259"/>
      <c r="AB154" s="259"/>
      <c r="AC154" s="259"/>
      <c r="AD154" s="259"/>
    </row>
    <row r="155" spans="17:30" x14ac:dyDescent="0.25">
      <c r="Q155" s="259"/>
      <c r="R155" s="259"/>
      <c r="S155" s="259"/>
      <c r="T155" s="259"/>
      <c r="U155" s="259"/>
      <c r="V155" s="259"/>
      <c r="W155" s="259"/>
      <c r="X155" s="259"/>
      <c r="Y155" s="259"/>
      <c r="Z155" s="259"/>
      <c r="AA155" s="259"/>
      <c r="AB155" s="259"/>
      <c r="AC155" s="259"/>
      <c r="AD155" s="259"/>
    </row>
    <row r="156" spans="17:30" x14ac:dyDescent="0.25">
      <c r="Q156" s="259"/>
      <c r="R156" s="259"/>
      <c r="S156" s="259"/>
      <c r="T156" s="259"/>
      <c r="U156" s="259"/>
      <c r="V156" s="259"/>
      <c r="W156" s="259"/>
      <c r="X156" s="259"/>
      <c r="Y156" s="259"/>
      <c r="Z156" s="259"/>
      <c r="AA156" s="259"/>
      <c r="AB156" s="259"/>
      <c r="AC156" s="259"/>
      <c r="AD156" s="259"/>
    </row>
    <row r="157" spans="17:30" x14ac:dyDescent="0.25">
      <c r="Q157" s="259"/>
      <c r="R157" s="259"/>
      <c r="S157" s="259"/>
      <c r="T157" s="259"/>
      <c r="U157" s="259"/>
      <c r="V157" s="259"/>
      <c r="W157" s="259"/>
      <c r="X157" s="259"/>
      <c r="Y157" s="259"/>
      <c r="Z157" s="259"/>
      <c r="AA157" s="259"/>
      <c r="AB157" s="259"/>
      <c r="AC157" s="259"/>
      <c r="AD157" s="259"/>
    </row>
    <row r="158" spans="17:30" x14ac:dyDescent="0.25">
      <c r="Q158" s="259"/>
      <c r="R158" s="259"/>
      <c r="S158" s="259"/>
      <c r="T158" s="259"/>
      <c r="U158" s="259"/>
      <c r="V158" s="259"/>
      <c r="W158" s="259"/>
      <c r="X158" s="259"/>
      <c r="Y158" s="259"/>
      <c r="Z158" s="259"/>
      <c r="AA158" s="259"/>
      <c r="AB158" s="259"/>
      <c r="AC158" s="259"/>
      <c r="AD158" s="259"/>
    </row>
    <row r="159" spans="17:30" x14ac:dyDescent="0.25">
      <c r="Q159" s="259"/>
      <c r="R159" s="259"/>
      <c r="S159" s="259"/>
      <c r="T159" s="259"/>
      <c r="U159" s="259"/>
      <c r="V159" s="259"/>
      <c r="W159" s="259"/>
      <c r="X159" s="259"/>
      <c r="Y159" s="259"/>
      <c r="Z159" s="259"/>
      <c r="AA159" s="259"/>
      <c r="AB159" s="259"/>
      <c r="AC159" s="259"/>
      <c r="AD159" s="259"/>
    </row>
    <row r="160" spans="17:30" x14ac:dyDescent="0.25">
      <c r="Q160" s="259"/>
      <c r="R160" s="259"/>
      <c r="S160" s="259"/>
      <c r="T160" s="259"/>
      <c r="U160" s="259"/>
      <c r="V160" s="259"/>
      <c r="W160" s="259"/>
      <c r="X160" s="259"/>
      <c r="Y160" s="259"/>
      <c r="Z160" s="259"/>
      <c r="AA160" s="259"/>
      <c r="AB160" s="259"/>
      <c r="AC160" s="259"/>
      <c r="AD160" s="259"/>
    </row>
    <row r="161" spans="17:30" x14ac:dyDescent="0.25">
      <c r="Q161" s="259"/>
      <c r="R161" s="259"/>
      <c r="S161" s="259"/>
      <c r="T161" s="259"/>
      <c r="U161" s="259"/>
      <c r="V161" s="259"/>
      <c r="W161" s="259"/>
      <c r="X161" s="259"/>
      <c r="Y161" s="259"/>
      <c r="Z161" s="259"/>
      <c r="AA161" s="259"/>
      <c r="AB161" s="259"/>
      <c r="AC161" s="259"/>
      <c r="AD161" s="259"/>
    </row>
    <row r="162" spans="17:30" x14ac:dyDescent="0.25">
      <c r="Q162" s="259"/>
      <c r="R162" s="259"/>
      <c r="S162" s="259"/>
      <c r="T162" s="259"/>
      <c r="U162" s="259"/>
      <c r="V162" s="259"/>
      <c r="W162" s="259"/>
      <c r="X162" s="259"/>
      <c r="Y162" s="259"/>
      <c r="Z162" s="259"/>
      <c r="AA162" s="259"/>
      <c r="AB162" s="259"/>
      <c r="AC162" s="259"/>
      <c r="AD162" s="259"/>
    </row>
    <row r="163" spans="17:30" x14ac:dyDescent="0.25">
      <c r="Q163" s="259"/>
      <c r="R163" s="259"/>
      <c r="S163" s="259"/>
      <c r="T163" s="259"/>
      <c r="U163" s="259"/>
      <c r="V163" s="259"/>
      <c r="W163" s="259"/>
      <c r="X163" s="259"/>
      <c r="Y163" s="259"/>
      <c r="Z163" s="259"/>
      <c r="AA163" s="259"/>
      <c r="AB163" s="259"/>
      <c r="AC163" s="259"/>
      <c r="AD163" s="259"/>
    </row>
    <row r="164" spans="17:30" x14ac:dyDescent="0.25">
      <c r="Q164" s="259"/>
      <c r="R164" s="259"/>
      <c r="S164" s="259"/>
      <c r="T164" s="259"/>
      <c r="U164" s="259"/>
      <c r="V164" s="259"/>
      <c r="W164" s="259"/>
      <c r="X164" s="259"/>
      <c r="Y164" s="259"/>
      <c r="Z164" s="259"/>
      <c r="AA164" s="259"/>
      <c r="AB164" s="259"/>
      <c r="AC164" s="259"/>
      <c r="AD164" s="259"/>
    </row>
    <row r="165" spans="17:30" x14ac:dyDescent="0.25">
      <c r="Q165" s="259"/>
      <c r="R165" s="259"/>
      <c r="S165" s="259"/>
      <c r="T165" s="259"/>
      <c r="U165" s="259"/>
      <c r="V165" s="259"/>
      <c r="W165" s="259"/>
      <c r="X165" s="259"/>
      <c r="Y165" s="259"/>
      <c r="Z165" s="259"/>
      <c r="AA165" s="259"/>
      <c r="AB165" s="259"/>
      <c r="AC165" s="259"/>
      <c r="AD165" s="259"/>
    </row>
    <row r="166" spans="17:30" x14ac:dyDescent="0.25">
      <c r="Q166" s="259"/>
      <c r="R166" s="259"/>
      <c r="S166" s="259"/>
      <c r="T166" s="259"/>
      <c r="U166" s="259"/>
      <c r="V166" s="259"/>
      <c r="W166" s="259"/>
      <c r="X166" s="259"/>
      <c r="Y166" s="259"/>
      <c r="Z166" s="259"/>
      <c r="AA166" s="259"/>
      <c r="AB166" s="259"/>
      <c r="AC166" s="259"/>
      <c r="AD166" s="259"/>
    </row>
    <row r="167" spans="17:30" x14ac:dyDescent="0.25">
      <c r="Q167" s="259"/>
      <c r="R167" s="259"/>
      <c r="S167" s="259"/>
      <c r="T167" s="259"/>
      <c r="U167" s="259"/>
      <c r="V167" s="259"/>
      <c r="W167" s="259"/>
      <c r="X167" s="259"/>
      <c r="Y167" s="259"/>
      <c r="Z167" s="259"/>
      <c r="AA167" s="259"/>
      <c r="AB167" s="259"/>
      <c r="AC167" s="259"/>
      <c r="AD167" s="259"/>
    </row>
    <row r="168" spans="17:30" x14ac:dyDescent="0.25">
      <c r="Q168" s="259"/>
      <c r="R168" s="259"/>
      <c r="S168" s="259"/>
      <c r="T168" s="259"/>
      <c r="U168" s="259"/>
      <c r="V168" s="259"/>
      <c r="W168" s="259"/>
      <c r="X168" s="259"/>
      <c r="Y168" s="259"/>
      <c r="Z168" s="259"/>
      <c r="AA168" s="259"/>
      <c r="AB168" s="259"/>
      <c r="AC168" s="259"/>
      <c r="AD168" s="259"/>
    </row>
    <row r="169" spans="17:30" x14ac:dyDescent="0.25">
      <c r="Q169" s="259"/>
      <c r="R169" s="259"/>
      <c r="S169" s="259"/>
      <c r="T169" s="259"/>
      <c r="U169" s="259"/>
      <c r="V169" s="259"/>
      <c r="W169" s="259"/>
      <c r="X169" s="259"/>
      <c r="Y169" s="259"/>
      <c r="Z169" s="259"/>
      <c r="AA169" s="259"/>
      <c r="AB169" s="259"/>
      <c r="AC169" s="259"/>
      <c r="AD169" s="259"/>
    </row>
    <row r="170" spans="17:30" x14ac:dyDescent="0.25">
      <c r="Q170" s="259"/>
      <c r="R170" s="259"/>
      <c r="S170" s="259"/>
      <c r="T170" s="259"/>
      <c r="U170" s="259"/>
      <c r="V170" s="259"/>
      <c r="W170" s="259"/>
      <c r="X170" s="259"/>
      <c r="Y170" s="259"/>
      <c r="Z170" s="259"/>
      <c r="AA170" s="259"/>
      <c r="AB170" s="259"/>
      <c r="AC170" s="259"/>
      <c r="AD170" s="259"/>
    </row>
    <row r="171" spans="17:30" x14ac:dyDescent="0.25">
      <c r="Q171" s="259"/>
      <c r="R171" s="259"/>
      <c r="S171" s="259"/>
      <c r="T171" s="259"/>
      <c r="U171" s="259"/>
      <c r="V171" s="259"/>
      <c r="W171" s="259"/>
      <c r="X171" s="259"/>
      <c r="Y171" s="259"/>
      <c r="Z171" s="259"/>
      <c r="AA171" s="259"/>
      <c r="AB171" s="259"/>
      <c r="AC171" s="259"/>
      <c r="AD171" s="259"/>
    </row>
    <row r="172" spans="17:30" x14ac:dyDescent="0.25">
      <c r="Q172" s="259"/>
      <c r="R172" s="259"/>
      <c r="S172" s="259"/>
      <c r="T172" s="259"/>
      <c r="U172" s="259"/>
      <c r="V172" s="259"/>
      <c r="W172" s="259"/>
      <c r="X172" s="259"/>
      <c r="Y172" s="259"/>
      <c r="Z172" s="259"/>
      <c r="AA172" s="259"/>
      <c r="AB172" s="259"/>
      <c r="AC172" s="259"/>
      <c r="AD172" s="259"/>
    </row>
    <row r="173" spans="17:30" x14ac:dyDescent="0.25">
      <c r="Q173" s="259"/>
      <c r="R173" s="259"/>
      <c r="S173" s="259"/>
      <c r="T173" s="259"/>
      <c r="U173" s="259"/>
      <c r="V173" s="259"/>
      <c r="W173" s="259"/>
      <c r="X173" s="259"/>
      <c r="Y173" s="259"/>
      <c r="Z173" s="259"/>
      <c r="AA173" s="259"/>
      <c r="AB173" s="259"/>
      <c r="AC173" s="259"/>
      <c r="AD173" s="259"/>
    </row>
    <row r="174" spans="17:30" x14ac:dyDescent="0.25">
      <c r="Q174" s="259"/>
      <c r="R174" s="259"/>
      <c r="S174" s="259"/>
      <c r="T174" s="259"/>
      <c r="U174" s="259"/>
      <c r="V174" s="259"/>
      <c r="W174" s="259"/>
      <c r="X174" s="259"/>
      <c r="Y174" s="259"/>
      <c r="Z174" s="259"/>
      <c r="AA174" s="259"/>
      <c r="AB174" s="259"/>
      <c r="AC174" s="259"/>
      <c r="AD174" s="259"/>
    </row>
    <row r="175" spans="17:30" x14ac:dyDescent="0.25">
      <c r="Q175" s="259"/>
      <c r="R175" s="259"/>
      <c r="S175" s="259"/>
      <c r="T175" s="259"/>
      <c r="U175" s="259"/>
      <c r="V175" s="259"/>
      <c r="W175" s="259"/>
      <c r="X175" s="259"/>
      <c r="Y175" s="259"/>
      <c r="Z175" s="259"/>
      <c r="AA175" s="259"/>
      <c r="AB175" s="259"/>
      <c r="AC175" s="259"/>
      <c r="AD175" s="259"/>
    </row>
    <row r="176" spans="17:30" x14ac:dyDescent="0.25">
      <c r="Q176" s="259"/>
      <c r="R176" s="259"/>
      <c r="S176" s="259"/>
      <c r="T176" s="259"/>
      <c r="U176" s="259"/>
      <c r="V176" s="259"/>
      <c r="W176" s="259"/>
      <c r="X176" s="259"/>
      <c r="Y176" s="259"/>
      <c r="Z176" s="259"/>
      <c r="AA176" s="259"/>
      <c r="AB176" s="259"/>
      <c r="AC176" s="259"/>
      <c r="AD176" s="259"/>
    </row>
    <row r="177" spans="17:30" x14ac:dyDescent="0.25">
      <c r="Q177" s="259"/>
      <c r="R177" s="259"/>
      <c r="S177" s="259"/>
      <c r="T177" s="259"/>
      <c r="U177" s="259"/>
      <c r="V177" s="259"/>
      <c r="W177" s="259"/>
      <c r="X177" s="259"/>
      <c r="Y177" s="259"/>
      <c r="Z177" s="259"/>
      <c r="AA177" s="259"/>
      <c r="AB177" s="259"/>
      <c r="AC177" s="259"/>
      <c r="AD177" s="259"/>
    </row>
    <row r="178" spans="17:30" x14ac:dyDescent="0.25">
      <c r="Q178" s="259"/>
      <c r="R178" s="259"/>
      <c r="S178" s="259"/>
      <c r="T178" s="259"/>
      <c r="U178" s="259"/>
      <c r="V178" s="259"/>
      <c r="W178" s="259"/>
      <c r="X178" s="259"/>
      <c r="Y178" s="259"/>
      <c r="Z178" s="259"/>
      <c r="AA178" s="259"/>
      <c r="AB178" s="259"/>
      <c r="AC178" s="259"/>
      <c r="AD178" s="259"/>
    </row>
    <row r="179" spans="17:30" x14ac:dyDescent="0.25">
      <c r="Q179" s="259"/>
      <c r="R179" s="259"/>
      <c r="S179" s="259"/>
      <c r="T179" s="259"/>
      <c r="U179" s="259"/>
      <c r="V179" s="259"/>
      <c r="W179" s="259"/>
      <c r="X179" s="259"/>
      <c r="Y179" s="259"/>
      <c r="Z179" s="259"/>
      <c r="AA179" s="259"/>
      <c r="AB179" s="259"/>
      <c r="AC179" s="259"/>
      <c r="AD179" s="259"/>
    </row>
    <row r="180" spans="17:30" x14ac:dyDescent="0.25">
      <c r="Q180" s="259"/>
      <c r="R180" s="259"/>
      <c r="S180" s="259"/>
      <c r="T180" s="259"/>
      <c r="U180" s="259"/>
      <c r="V180" s="259"/>
      <c r="W180" s="259"/>
      <c r="X180" s="259"/>
      <c r="Y180" s="259"/>
      <c r="Z180" s="259"/>
      <c r="AA180" s="259"/>
      <c r="AB180" s="259"/>
      <c r="AC180" s="259"/>
      <c r="AD180" s="259"/>
    </row>
    <row r="181" spans="17:30" x14ac:dyDescent="0.25">
      <c r="Q181" s="259"/>
      <c r="R181" s="259"/>
      <c r="S181" s="259"/>
      <c r="T181" s="259"/>
      <c r="U181" s="259"/>
      <c r="V181" s="259"/>
      <c r="W181" s="259"/>
      <c r="X181" s="259"/>
      <c r="Y181" s="259"/>
      <c r="Z181" s="259"/>
      <c r="AA181" s="259"/>
      <c r="AB181" s="259"/>
      <c r="AC181" s="259"/>
      <c r="AD181" s="259"/>
    </row>
    <row r="182" spans="17:30" x14ac:dyDescent="0.25">
      <c r="Q182" s="259"/>
      <c r="R182" s="259"/>
      <c r="S182" s="259"/>
      <c r="T182" s="259"/>
      <c r="U182" s="259"/>
      <c r="V182" s="259"/>
      <c r="W182" s="259"/>
      <c r="X182" s="259"/>
      <c r="Y182" s="259"/>
      <c r="Z182" s="259"/>
      <c r="AA182" s="259"/>
      <c r="AB182" s="259"/>
      <c r="AC182" s="259"/>
      <c r="AD182" s="259"/>
    </row>
    <row r="183" spans="17:30" x14ac:dyDescent="0.25">
      <c r="Q183" s="259"/>
      <c r="R183" s="259"/>
      <c r="S183" s="259"/>
      <c r="T183" s="259"/>
      <c r="U183" s="259"/>
      <c r="V183" s="259"/>
      <c r="W183" s="259"/>
      <c r="X183" s="259"/>
      <c r="Y183" s="259"/>
      <c r="Z183" s="259"/>
      <c r="AA183" s="259"/>
      <c r="AB183" s="259"/>
      <c r="AC183" s="259"/>
      <c r="AD183" s="259"/>
    </row>
    <row r="184" spans="17:30" x14ac:dyDescent="0.25">
      <c r="Q184" s="259"/>
      <c r="R184" s="259"/>
      <c r="S184" s="259"/>
      <c r="T184" s="259"/>
      <c r="U184" s="259"/>
      <c r="V184" s="259"/>
      <c r="W184" s="259"/>
      <c r="X184" s="259"/>
      <c r="Y184" s="259"/>
      <c r="Z184" s="259"/>
      <c r="AA184" s="259"/>
      <c r="AB184" s="259"/>
      <c r="AC184" s="259"/>
      <c r="AD184" s="259"/>
    </row>
    <row r="185" spans="17:30" x14ac:dyDescent="0.25">
      <c r="Q185" s="259"/>
      <c r="R185" s="259"/>
      <c r="S185" s="259"/>
      <c r="T185" s="259"/>
      <c r="U185" s="259"/>
      <c r="V185" s="259"/>
      <c r="W185" s="259"/>
      <c r="X185" s="259"/>
      <c r="Y185" s="259"/>
      <c r="Z185" s="259"/>
      <c r="AA185" s="259"/>
      <c r="AB185" s="259"/>
      <c r="AC185" s="259"/>
      <c r="AD185" s="259"/>
    </row>
    <row r="186" spans="17:30" x14ac:dyDescent="0.25">
      <c r="Q186" s="259"/>
      <c r="R186" s="259"/>
      <c r="S186" s="259"/>
      <c r="T186" s="259"/>
      <c r="U186" s="259"/>
      <c r="V186" s="259"/>
      <c r="W186" s="259"/>
      <c r="X186" s="259"/>
      <c r="Y186" s="259"/>
      <c r="Z186" s="259"/>
      <c r="AA186" s="259"/>
      <c r="AB186" s="259"/>
      <c r="AC186" s="259"/>
      <c r="AD186" s="259"/>
    </row>
    <row r="187" spans="17:30" x14ac:dyDescent="0.25">
      <c r="Q187" s="259"/>
      <c r="R187" s="259"/>
      <c r="S187" s="259"/>
      <c r="T187" s="259"/>
      <c r="U187" s="259"/>
      <c r="V187" s="259"/>
      <c r="W187" s="259"/>
      <c r="X187" s="259"/>
      <c r="Y187" s="259"/>
      <c r="Z187" s="259"/>
      <c r="AA187" s="259"/>
      <c r="AB187" s="259"/>
      <c r="AC187" s="259"/>
      <c r="AD187" s="259"/>
    </row>
    <row r="188" spans="17:30" x14ac:dyDescent="0.25">
      <c r="Q188" s="259"/>
      <c r="R188" s="259"/>
      <c r="S188" s="259"/>
      <c r="T188" s="259"/>
      <c r="U188" s="259"/>
      <c r="V188" s="259"/>
      <c r="W188" s="259"/>
      <c r="X188" s="259"/>
      <c r="Y188" s="259"/>
      <c r="Z188" s="259"/>
      <c r="AA188" s="259"/>
      <c r="AB188" s="259"/>
      <c r="AC188" s="259"/>
      <c r="AD188" s="259"/>
    </row>
    <row r="189" spans="17:30" x14ac:dyDescent="0.25">
      <c r="Q189" s="259"/>
      <c r="R189" s="259"/>
      <c r="S189" s="259"/>
      <c r="T189" s="259"/>
      <c r="U189" s="259"/>
      <c r="V189" s="259"/>
      <c r="W189" s="259"/>
      <c r="X189" s="259"/>
      <c r="Y189" s="259"/>
      <c r="Z189" s="259"/>
      <c r="AA189" s="259"/>
      <c r="AB189" s="259"/>
      <c r="AC189" s="259"/>
      <c r="AD189" s="259"/>
    </row>
    <row r="190" spans="17:30" x14ac:dyDescent="0.25">
      <c r="Q190" s="259"/>
      <c r="R190" s="259"/>
      <c r="S190" s="259"/>
      <c r="T190" s="259"/>
      <c r="U190" s="259"/>
      <c r="V190" s="259"/>
      <c r="W190" s="259"/>
      <c r="X190" s="259"/>
      <c r="Y190" s="259"/>
      <c r="Z190" s="259"/>
      <c r="AA190" s="259"/>
      <c r="AB190" s="259"/>
      <c r="AC190" s="259"/>
      <c r="AD190" s="259"/>
    </row>
    <row r="191" spans="17:30" x14ac:dyDescent="0.25">
      <c r="Q191" s="259"/>
      <c r="R191" s="259"/>
      <c r="S191" s="259"/>
      <c r="T191" s="259"/>
      <c r="U191" s="259"/>
      <c r="V191" s="259"/>
      <c r="W191" s="259"/>
      <c r="X191" s="259"/>
      <c r="Y191" s="259"/>
      <c r="Z191" s="259"/>
      <c r="AA191" s="259"/>
      <c r="AB191" s="259"/>
      <c r="AC191" s="259"/>
      <c r="AD191" s="259"/>
    </row>
    <row r="192" spans="17:30" x14ac:dyDescent="0.25">
      <c r="Q192" s="259"/>
      <c r="R192" s="259"/>
      <c r="S192" s="259"/>
      <c r="T192" s="259"/>
      <c r="U192" s="259"/>
      <c r="V192" s="259"/>
      <c r="W192" s="259"/>
      <c r="X192" s="259"/>
      <c r="Y192" s="259"/>
      <c r="Z192" s="259"/>
      <c r="AA192" s="259"/>
      <c r="AB192" s="259"/>
      <c r="AC192" s="259"/>
      <c r="AD192" s="259"/>
    </row>
    <row r="193" spans="17:30" x14ac:dyDescent="0.25">
      <c r="Q193" s="259"/>
      <c r="R193" s="259"/>
      <c r="S193" s="259"/>
      <c r="T193" s="259"/>
      <c r="U193" s="259"/>
      <c r="V193" s="259"/>
      <c r="W193" s="259"/>
      <c r="X193" s="259"/>
      <c r="Y193" s="259"/>
      <c r="Z193" s="259"/>
      <c r="AA193" s="259"/>
      <c r="AB193" s="259"/>
      <c r="AC193" s="259"/>
      <c r="AD193" s="259"/>
    </row>
    <row r="194" spans="17:30" x14ac:dyDescent="0.25">
      <c r="Q194" s="259"/>
      <c r="R194" s="259"/>
      <c r="S194" s="259"/>
      <c r="T194" s="259"/>
      <c r="U194" s="259"/>
      <c r="V194" s="259"/>
      <c r="W194" s="259"/>
      <c r="X194" s="259"/>
      <c r="Y194" s="259"/>
      <c r="Z194" s="259"/>
      <c r="AA194" s="259"/>
      <c r="AB194" s="259"/>
      <c r="AC194" s="259"/>
      <c r="AD194" s="259"/>
    </row>
    <row r="195" spans="17:30" x14ac:dyDescent="0.25">
      <c r="Q195" s="259"/>
      <c r="R195" s="259"/>
      <c r="S195" s="259"/>
      <c r="T195" s="259"/>
      <c r="U195" s="259"/>
      <c r="V195" s="259"/>
      <c r="W195" s="259"/>
      <c r="X195" s="259"/>
      <c r="Y195" s="259"/>
      <c r="Z195" s="259"/>
      <c r="AA195" s="259"/>
      <c r="AB195" s="259"/>
      <c r="AC195" s="259"/>
      <c r="AD195" s="259"/>
    </row>
    <row r="196" spans="17:30" x14ac:dyDescent="0.25">
      <c r="Q196" s="259"/>
      <c r="R196" s="259"/>
      <c r="S196" s="259"/>
      <c r="T196" s="259"/>
      <c r="U196" s="259"/>
      <c r="V196" s="259"/>
      <c r="W196" s="259"/>
      <c r="X196" s="259"/>
      <c r="Y196" s="259"/>
      <c r="Z196" s="259"/>
      <c r="AA196" s="259"/>
      <c r="AB196" s="259"/>
      <c r="AC196" s="259"/>
      <c r="AD196" s="259"/>
    </row>
    <row r="197" spans="17:30" x14ac:dyDescent="0.25">
      <c r="Q197" s="259"/>
      <c r="R197" s="259"/>
      <c r="S197" s="259"/>
      <c r="T197" s="259"/>
      <c r="U197" s="259"/>
      <c r="V197" s="259"/>
      <c r="W197" s="259"/>
      <c r="X197" s="259"/>
      <c r="Y197" s="259"/>
      <c r="Z197" s="259"/>
      <c r="AA197" s="259"/>
      <c r="AB197" s="259"/>
      <c r="AC197" s="259"/>
      <c r="AD197" s="259"/>
    </row>
    <row r="198" spans="17:30" x14ac:dyDescent="0.25">
      <c r="Q198" s="259"/>
      <c r="R198" s="259"/>
      <c r="S198" s="259"/>
      <c r="T198" s="259"/>
      <c r="U198" s="259"/>
      <c r="V198" s="259"/>
      <c r="W198" s="259"/>
      <c r="X198" s="259"/>
      <c r="Y198" s="259"/>
      <c r="Z198" s="259"/>
      <c r="AA198" s="259"/>
      <c r="AB198" s="259"/>
      <c r="AC198" s="259"/>
      <c r="AD198" s="259"/>
    </row>
    <row r="199" spans="17:30" x14ac:dyDescent="0.25">
      <c r="Q199" s="259"/>
      <c r="R199" s="259"/>
      <c r="S199" s="259"/>
      <c r="T199" s="259"/>
      <c r="U199" s="259"/>
      <c r="V199" s="259"/>
      <c r="W199" s="259"/>
      <c r="X199" s="259"/>
      <c r="Y199" s="259"/>
      <c r="Z199" s="259"/>
      <c r="AA199" s="259"/>
      <c r="AB199" s="259"/>
      <c r="AC199" s="259"/>
      <c r="AD199" s="259"/>
    </row>
    <row r="200" spans="17:30" x14ac:dyDescent="0.25">
      <c r="Q200" s="259"/>
      <c r="R200" s="259"/>
      <c r="S200" s="259"/>
      <c r="T200" s="259"/>
      <c r="U200" s="259"/>
      <c r="V200" s="259"/>
      <c r="W200" s="259"/>
      <c r="X200" s="259"/>
      <c r="Y200" s="259"/>
      <c r="Z200" s="259"/>
      <c r="AA200" s="259"/>
      <c r="AB200" s="259"/>
      <c r="AC200" s="259"/>
      <c r="AD200" s="259"/>
    </row>
    <row r="201" spans="17:30" x14ac:dyDescent="0.25">
      <c r="Q201" s="259"/>
      <c r="R201" s="259"/>
      <c r="S201" s="259"/>
      <c r="T201" s="259"/>
      <c r="U201" s="259"/>
      <c r="V201" s="259"/>
      <c r="W201" s="259"/>
      <c r="X201" s="259"/>
      <c r="Y201" s="259"/>
      <c r="Z201" s="259"/>
      <c r="AA201" s="259"/>
      <c r="AB201" s="259"/>
      <c r="AC201" s="259"/>
      <c r="AD201" s="259"/>
    </row>
    <row r="202" spans="17:30" x14ac:dyDescent="0.25">
      <c r="Q202" s="259"/>
      <c r="R202" s="259"/>
      <c r="S202" s="259"/>
      <c r="T202" s="259"/>
      <c r="U202" s="259"/>
      <c r="V202" s="259"/>
      <c r="W202" s="259"/>
      <c r="X202" s="259"/>
      <c r="Y202" s="259"/>
      <c r="Z202" s="259"/>
      <c r="AA202" s="259"/>
      <c r="AB202" s="259"/>
      <c r="AC202" s="259"/>
      <c r="AD202" s="259"/>
    </row>
    <row r="203" spans="17:30" x14ac:dyDescent="0.25">
      <c r="Q203" s="259"/>
      <c r="R203" s="259"/>
      <c r="S203" s="259"/>
      <c r="T203" s="259"/>
      <c r="U203" s="259"/>
      <c r="V203" s="259"/>
      <c r="W203" s="259"/>
      <c r="X203" s="259"/>
      <c r="Y203" s="259"/>
      <c r="Z203" s="259"/>
      <c r="AA203" s="259"/>
      <c r="AB203" s="259"/>
      <c r="AC203" s="259"/>
      <c r="AD203" s="259"/>
    </row>
    <row r="204" spans="17:30" x14ac:dyDescent="0.25">
      <c r="Q204" s="259"/>
      <c r="R204" s="259"/>
      <c r="S204" s="259"/>
      <c r="T204" s="259"/>
      <c r="U204" s="259"/>
      <c r="V204" s="259"/>
      <c r="W204" s="259"/>
      <c r="X204" s="259"/>
      <c r="Y204" s="259"/>
      <c r="Z204" s="259"/>
      <c r="AA204" s="259"/>
      <c r="AB204" s="259"/>
      <c r="AC204" s="259"/>
      <c r="AD204" s="259"/>
    </row>
    <row r="205" spans="17:30" x14ac:dyDescent="0.25">
      <c r="Q205" s="259"/>
      <c r="R205" s="259"/>
      <c r="S205" s="259"/>
      <c r="T205" s="259"/>
      <c r="U205" s="259"/>
      <c r="V205" s="259"/>
      <c r="W205" s="259"/>
      <c r="X205" s="259"/>
      <c r="Y205" s="259"/>
      <c r="Z205" s="259"/>
      <c r="AA205" s="259"/>
      <c r="AB205" s="259"/>
      <c r="AC205" s="259"/>
      <c r="AD205" s="259"/>
    </row>
    <row r="206" spans="17:30" x14ac:dyDescent="0.25">
      <c r="Q206" s="259"/>
      <c r="R206" s="259"/>
      <c r="S206" s="259"/>
      <c r="T206" s="259"/>
      <c r="U206" s="259"/>
      <c r="V206" s="259"/>
      <c r="W206" s="259"/>
      <c r="X206" s="259"/>
      <c r="Y206" s="259"/>
      <c r="Z206" s="259"/>
      <c r="AA206" s="259"/>
      <c r="AB206" s="259"/>
      <c r="AC206" s="259"/>
      <c r="AD206" s="259"/>
    </row>
    <row r="207" spans="17:30" x14ac:dyDescent="0.25">
      <c r="Q207" s="259"/>
      <c r="R207" s="259"/>
      <c r="S207" s="259"/>
      <c r="T207" s="259"/>
      <c r="U207" s="259"/>
      <c r="V207" s="259"/>
      <c r="W207" s="259"/>
      <c r="X207" s="259"/>
      <c r="Y207" s="259"/>
      <c r="Z207" s="259"/>
      <c r="AA207" s="259"/>
      <c r="AB207" s="259"/>
      <c r="AC207" s="259"/>
      <c r="AD207" s="259"/>
    </row>
    <row r="208" spans="17:30" x14ac:dyDescent="0.25">
      <c r="Q208" s="259"/>
      <c r="R208" s="259"/>
      <c r="S208" s="259"/>
      <c r="T208" s="259"/>
      <c r="U208" s="259"/>
      <c r="V208" s="259"/>
      <c r="W208" s="259"/>
      <c r="X208" s="259"/>
      <c r="Y208" s="259"/>
      <c r="Z208" s="259"/>
      <c r="AA208" s="259"/>
      <c r="AB208" s="259"/>
      <c r="AC208" s="259"/>
      <c r="AD208" s="259"/>
    </row>
    <row r="209" spans="17:30" x14ac:dyDescent="0.25">
      <c r="Q209" s="259"/>
      <c r="R209" s="259"/>
      <c r="S209" s="259"/>
      <c r="T209" s="259"/>
      <c r="U209" s="259"/>
      <c r="V209" s="259"/>
      <c r="W209" s="259"/>
      <c r="X209" s="259"/>
      <c r="Y209" s="259"/>
      <c r="Z209" s="259"/>
      <c r="AA209" s="259"/>
      <c r="AB209" s="259"/>
      <c r="AC209" s="259"/>
      <c r="AD209" s="259"/>
    </row>
    <row r="210" spans="17:30" x14ac:dyDescent="0.25">
      <c r="Q210" s="259"/>
      <c r="R210" s="259"/>
      <c r="S210" s="259"/>
      <c r="T210" s="259"/>
      <c r="U210" s="259"/>
      <c r="V210" s="259"/>
      <c r="W210" s="259"/>
      <c r="X210" s="259"/>
      <c r="Y210" s="259"/>
      <c r="Z210" s="259"/>
      <c r="AA210" s="259"/>
      <c r="AB210" s="259"/>
      <c r="AC210" s="259"/>
      <c r="AD210" s="259"/>
    </row>
    <row r="211" spans="17:30" x14ac:dyDescent="0.25">
      <c r="Q211" s="259"/>
      <c r="R211" s="259"/>
      <c r="S211" s="259"/>
      <c r="T211" s="259"/>
      <c r="U211" s="259"/>
      <c r="V211" s="259"/>
      <c r="W211" s="259"/>
      <c r="X211" s="259"/>
      <c r="Y211" s="259"/>
      <c r="Z211" s="259"/>
      <c r="AA211" s="259"/>
      <c r="AB211" s="259"/>
      <c r="AC211" s="259"/>
      <c r="AD211" s="259"/>
    </row>
    <row r="212" spans="17:30" x14ac:dyDescent="0.25">
      <c r="Q212" s="259"/>
      <c r="R212" s="259"/>
      <c r="S212" s="259"/>
      <c r="T212" s="259"/>
      <c r="U212" s="259"/>
      <c r="V212" s="259"/>
      <c r="W212" s="259"/>
      <c r="X212" s="259"/>
      <c r="Y212" s="259"/>
      <c r="Z212" s="259"/>
      <c r="AA212" s="259"/>
      <c r="AB212" s="259"/>
      <c r="AC212" s="259"/>
      <c r="AD212" s="259"/>
    </row>
    <row r="213" spans="17:30" x14ac:dyDescent="0.25">
      <c r="Q213" s="259"/>
      <c r="R213" s="259"/>
      <c r="S213" s="259"/>
      <c r="T213" s="259"/>
      <c r="U213" s="259"/>
      <c r="V213" s="259"/>
      <c r="W213" s="259"/>
      <c r="X213" s="259"/>
      <c r="Y213" s="259"/>
      <c r="Z213" s="259"/>
      <c r="AA213" s="259"/>
      <c r="AB213" s="259"/>
      <c r="AC213" s="259"/>
      <c r="AD213" s="259"/>
    </row>
    <row r="214" spans="17:30" x14ac:dyDescent="0.25">
      <c r="Q214" s="259"/>
      <c r="R214" s="259"/>
      <c r="S214" s="259"/>
      <c r="T214" s="259"/>
      <c r="U214" s="259"/>
      <c r="V214" s="259"/>
      <c r="W214" s="259"/>
      <c r="X214" s="259"/>
      <c r="Y214" s="259"/>
      <c r="Z214" s="259"/>
      <c r="AA214" s="259"/>
      <c r="AB214" s="259"/>
      <c r="AC214" s="259"/>
      <c r="AD214" s="259"/>
    </row>
    <row r="215" spans="17:30" x14ac:dyDescent="0.25">
      <c r="Q215" s="259"/>
      <c r="R215" s="259"/>
      <c r="S215" s="259"/>
      <c r="T215" s="259"/>
      <c r="U215" s="259"/>
      <c r="V215" s="259"/>
      <c r="W215" s="259"/>
      <c r="X215" s="259"/>
      <c r="Y215" s="259"/>
      <c r="Z215" s="259"/>
      <c r="AA215" s="259"/>
      <c r="AB215" s="259"/>
      <c r="AC215" s="259"/>
      <c r="AD215" s="259"/>
    </row>
    <row r="216" spans="17:30" x14ac:dyDescent="0.25">
      <c r="Q216" s="259"/>
      <c r="R216" s="259"/>
      <c r="S216" s="259"/>
      <c r="T216" s="259"/>
      <c r="U216" s="259"/>
      <c r="V216" s="259"/>
      <c r="W216" s="259"/>
      <c r="X216" s="259"/>
      <c r="Y216" s="259"/>
      <c r="Z216" s="259"/>
      <c r="AA216" s="259"/>
      <c r="AB216" s="259"/>
      <c r="AC216" s="259"/>
      <c r="AD216" s="259"/>
    </row>
    <row r="217" spans="17:30" x14ac:dyDescent="0.25">
      <c r="Q217" s="259"/>
      <c r="R217" s="259"/>
      <c r="S217" s="259"/>
      <c r="T217" s="259"/>
      <c r="U217" s="259"/>
      <c r="V217" s="259"/>
      <c r="W217" s="259"/>
      <c r="X217" s="259"/>
      <c r="Y217" s="259"/>
      <c r="Z217" s="259"/>
      <c r="AA217" s="259"/>
      <c r="AB217" s="259"/>
      <c r="AC217" s="259"/>
      <c r="AD217" s="259"/>
    </row>
    <row r="218" spans="17:30" x14ac:dyDescent="0.25">
      <c r="Q218" s="259"/>
      <c r="R218" s="259"/>
      <c r="S218" s="259"/>
      <c r="T218" s="259"/>
      <c r="U218" s="259"/>
      <c r="V218" s="259"/>
      <c r="W218" s="259"/>
      <c r="X218" s="259"/>
      <c r="Y218" s="259"/>
      <c r="Z218" s="259"/>
      <c r="AA218" s="259"/>
      <c r="AB218" s="259"/>
      <c r="AC218" s="259"/>
      <c r="AD218" s="259"/>
    </row>
    <row r="219" spans="17:30" x14ac:dyDescent="0.25">
      <c r="Q219" s="259"/>
      <c r="R219" s="259"/>
      <c r="S219" s="259"/>
      <c r="T219" s="259"/>
      <c r="U219" s="259"/>
      <c r="V219" s="259"/>
      <c r="W219" s="259"/>
      <c r="X219" s="259"/>
      <c r="Y219" s="259"/>
      <c r="Z219" s="259"/>
      <c r="AA219" s="259"/>
      <c r="AB219" s="259"/>
      <c r="AC219" s="259"/>
      <c r="AD219" s="259"/>
    </row>
    <row r="220" spans="17:30" x14ac:dyDescent="0.25">
      <c r="Q220" s="259"/>
      <c r="R220" s="259"/>
      <c r="S220" s="259"/>
      <c r="T220" s="259"/>
      <c r="U220" s="259"/>
      <c r="V220" s="259"/>
      <c r="W220" s="259"/>
      <c r="X220" s="259"/>
      <c r="Y220" s="259"/>
      <c r="Z220" s="259"/>
      <c r="AA220" s="259"/>
      <c r="AB220" s="259"/>
      <c r="AC220" s="259"/>
      <c r="AD220" s="259"/>
    </row>
    <row r="221" spans="17:30" x14ac:dyDescent="0.25">
      <c r="Q221" s="259"/>
      <c r="R221" s="259"/>
      <c r="S221" s="259"/>
      <c r="T221" s="259"/>
      <c r="U221" s="259"/>
      <c r="V221" s="259"/>
      <c r="W221" s="259"/>
      <c r="X221" s="259"/>
      <c r="Y221" s="259"/>
      <c r="Z221" s="259"/>
      <c r="AA221" s="259"/>
      <c r="AB221" s="259"/>
      <c r="AC221" s="259"/>
      <c r="AD221" s="259"/>
    </row>
    <row r="222" spans="17:30" x14ac:dyDescent="0.25">
      <c r="Q222" s="259"/>
      <c r="R222" s="259"/>
      <c r="S222" s="259"/>
      <c r="T222" s="259"/>
      <c r="U222" s="259"/>
      <c r="V222" s="259"/>
      <c r="W222" s="259"/>
      <c r="X222" s="259"/>
      <c r="Y222" s="259"/>
      <c r="Z222" s="259"/>
      <c r="AA222" s="259"/>
      <c r="AB222" s="259"/>
      <c r="AC222" s="259"/>
      <c r="AD222" s="259"/>
    </row>
    <row r="223" spans="17:30" x14ac:dyDescent="0.25">
      <c r="Q223" s="259"/>
      <c r="R223" s="259"/>
      <c r="S223" s="259"/>
      <c r="T223" s="259"/>
      <c r="U223" s="259"/>
      <c r="V223" s="259"/>
      <c r="W223" s="259"/>
      <c r="X223" s="259"/>
      <c r="Y223" s="259"/>
      <c r="Z223" s="259"/>
      <c r="AA223" s="259"/>
      <c r="AB223" s="259"/>
      <c r="AC223" s="259"/>
      <c r="AD223" s="259"/>
    </row>
    <row r="224" spans="17:30" x14ac:dyDescent="0.25">
      <c r="Q224" s="259"/>
      <c r="R224" s="259"/>
      <c r="S224" s="259"/>
      <c r="T224" s="259"/>
      <c r="U224" s="259"/>
      <c r="V224" s="259"/>
      <c r="W224" s="259"/>
      <c r="X224" s="259"/>
      <c r="Y224" s="259"/>
      <c r="Z224" s="259"/>
      <c r="AA224" s="259"/>
      <c r="AB224" s="259"/>
      <c r="AC224" s="259"/>
      <c r="AD224" s="259"/>
    </row>
    <row r="225" spans="17:30" x14ac:dyDescent="0.25">
      <c r="Q225" s="259"/>
      <c r="R225" s="259"/>
      <c r="S225" s="259"/>
      <c r="T225" s="259"/>
      <c r="U225" s="259"/>
      <c r="V225" s="259"/>
      <c r="W225" s="259"/>
      <c r="X225" s="259"/>
      <c r="Y225" s="259"/>
      <c r="Z225" s="259"/>
      <c r="AA225" s="259"/>
      <c r="AB225" s="259"/>
      <c r="AC225" s="259"/>
      <c r="AD225" s="259"/>
    </row>
    <row r="226" spans="17:30" x14ac:dyDescent="0.25">
      <c r="Q226" s="259"/>
      <c r="R226" s="259"/>
      <c r="S226" s="259"/>
      <c r="T226" s="259"/>
      <c r="U226" s="259"/>
      <c r="V226" s="259"/>
      <c r="W226" s="259"/>
      <c r="X226" s="259"/>
      <c r="Y226" s="259"/>
      <c r="Z226" s="259"/>
      <c r="AA226" s="259"/>
      <c r="AB226" s="259"/>
      <c r="AC226" s="259"/>
      <c r="AD226" s="259"/>
    </row>
    <row r="227" spans="17:30" x14ac:dyDescent="0.25">
      <c r="Q227" s="259"/>
      <c r="R227" s="259"/>
      <c r="S227" s="259"/>
      <c r="T227" s="259"/>
      <c r="U227" s="259"/>
      <c r="V227" s="259"/>
      <c r="W227" s="259"/>
      <c r="X227" s="259"/>
      <c r="Y227" s="259"/>
      <c r="Z227" s="259"/>
      <c r="AA227" s="259"/>
      <c r="AB227" s="259"/>
      <c r="AC227" s="259"/>
      <c r="AD227" s="259"/>
    </row>
    <row r="228" spans="17:30" x14ac:dyDescent="0.25">
      <c r="Q228" s="259"/>
      <c r="R228" s="259"/>
      <c r="S228" s="259"/>
      <c r="T228" s="259"/>
      <c r="U228" s="259"/>
      <c r="V228" s="259"/>
      <c r="W228" s="259"/>
      <c r="X228" s="259"/>
      <c r="Y228" s="259"/>
      <c r="Z228" s="259"/>
      <c r="AA228" s="259"/>
      <c r="AB228" s="259"/>
      <c r="AC228" s="259"/>
      <c r="AD228" s="259"/>
    </row>
    <row r="229" spans="17:30" x14ac:dyDescent="0.25">
      <c r="Q229" s="259"/>
      <c r="R229" s="259"/>
      <c r="S229" s="259"/>
      <c r="T229" s="259"/>
      <c r="U229" s="259"/>
      <c r="V229" s="259"/>
      <c r="W229" s="259"/>
      <c r="X229" s="259"/>
      <c r="Y229" s="259"/>
      <c r="Z229" s="259"/>
      <c r="AA229" s="259"/>
      <c r="AB229" s="259"/>
      <c r="AC229" s="259"/>
      <c r="AD229" s="259"/>
    </row>
    <row r="230" spans="17:30" x14ac:dyDescent="0.25">
      <c r="Q230" s="259"/>
      <c r="R230" s="259"/>
      <c r="S230" s="259"/>
      <c r="T230" s="259"/>
      <c r="U230" s="259"/>
      <c r="V230" s="259"/>
      <c r="W230" s="259"/>
      <c r="X230" s="259"/>
      <c r="Y230" s="259"/>
      <c r="Z230" s="259"/>
      <c r="AA230" s="259"/>
      <c r="AB230" s="259"/>
      <c r="AC230" s="259"/>
      <c r="AD230" s="259"/>
    </row>
    <row r="231" spans="17:30" x14ac:dyDescent="0.25">
      <c r="Q231" s="259"/>
      <c r="R231" s="259"/>
      <c r="S231" s="259"/>
      <c r="T231" s="259"/>
      <c r="U231" s="259"/>
      <c r="V231" s="259"/>
      <c r="W231" s="259"/>
      <c r="X231" s="259"/>
      <c r="Y231" s="259"/>
      <c r="Z231" s="259"/>
      <c r="AA231" s="259"/>
      <c r="AB231" s="259"/>
      <c r="AC231" s="259"/>
      <c r="AD231" s="259"/>
    </row>
    <row r="232" spans="17:30" x14ac:dyDescent="0.25">
      <c r="Q232" s="259"/>
      <c r="R232" s="259"/>
      <c r="S232" s="259"/>
      <c r="T232" s="259"/>
      <c r="U232" s="259"/>
      <c r="V232" s="259"/>
      <c r="W232" s="259"/>
      <c r="X232" s="259"/>
      <c r="Y232" s="259"/>
      <c r="Z232" s="259"/>
      <c r="AA232" s="259"/>
      <c r="AB232" s="259"/>
      <c r="AC232" s="259"/>
      <c r="AD232" s="259"/>
    </row>
    <row r="233" spans="17:30" x14ac:dyDescent="0.25">
      <c r="Q233" s="259"/>
      <c r="R233" s="259"/>
      <c r="S233" s="259"/>
      <c r="T233" s="259"/>
      <c r="U233" s="259"/>
      <c r="V233" s="259"/>
      <c r="W233" s="259"/>
      <c r="X233" s="259"/>
      <c r="Y233" s="259"/>
      <c r="Z233" s="259"/>
      <c r="AA233" s="259"/>
      <c r="AB233" s="259"/>
      <c r="AC233" s="259"/>
      <c r="AD233" s="259"/>
    </row>
    <row r="234" spans="17:30" x14ac:dyDescent="0.25">
      <c r="Q234" s="259"/>
      <c r="R234" s="259"/>
      <c r="S234" s="259"/>
      <c r="T234" s="259"/>
      <c r="U234" s="259"/>
      <c r="V234" s="259"/>
      <c r="W234" s="259"/>
      <c r="X234" s="259"/>
      <c r="Y234" s="259"/>
      <c r="Z234" s="259"/>
      <c r="AA234" s="259"/>
      <c r="AB234" s="259"/>
      <c r="AC234" s="259"/>
      <c r="AD234" s="259"/>
    </row>
    <row r="235" spans="17:30" x14ac:dyDescent="0.25">
      <c r="Q235" s="259"/>
      <c r="R235" s="259"/>
      <c r="S235" s="259"/>
      <c r="T235" s="259"/>
      <c r="U235" s="259"/>
      <c r="V235" s="259"/>
      <c r="W235" s="259"/>
      <c r="X235" s="259"/>
      <c r="Y235" s="259"/>
      <c r="Z235" s="259"/>
      <c r="AA235" s="259"/>
      <c r="AB235" s="259"/>
      <c r="AC235" s="259"/>
      <c r="AD235" s="259"/>
    </row>
    <row r="236" spans="17:30" x14ac:dyDescent="0.25">
      <c r="Q236" s="259"/>
      <c r="R236" s="259"/>
      <c r="S236" s="259"/>
      <c r="T236" s="259"/>
      <c r="U236" s="259"/>
      <c r="V236" s="259"/>
      <c r="W236" s="259"/>
      <c r="X236" s="259"/>
      <c r="Y236" s="259"/>
      <c r="Z236" s="259"/>
      <c r="AA236" s="259"/>
      <c r="AB236" s="259"/>
      <c r="AC236" s="259"/>
      <c r="AD236" s="259"/>
    </row>
    <row r="237" spans="17:30" x14ac:dyDescent="0.25">
      <c r="Q237" s="259"/>
      <c r="R237" s="259"/>
      <c r="S237" s="259"/>
      <c r="T237" s="259"/>
      <c r="U237" s="259"/>
      <c r="V237" s="259"/>
      <c r="W237" s="259"/>
      <c r="X237" s="259"/>
      <c r="Y237" s="259"/>
      <c r="Z237" s="259"/>
      <c r="AA237" s="259"/>
      <c r="AB237" s="259"/>
      <c r="AC237" s="259"/>
      <c r="AD237" s="259"/>
    </row>
    <row r="238" spans="17:30" x14ac:dyDescent="0.25">
      <c r="Q238" s="259"/>
      <c r="R238" s="259"/>
      <c r="S238" s="259"/>
      <c r="T238" s="259"/>
      <c r="U238" s="259"/>
      <c r="V238" s="259"/>
      <c r="W238" s="259"/>
      <c r="X238" s="259"/>
      <c r="Y238" s="259"/>
      <c r="Z238" s="259"/>
      <c r="AA238" s="259"/>
      <c r="AB238" s="259"/>
      <c r="AC238" s="259"/>
      <c r="AD238" s="259"/>
    </row>
    <row r="239" spans="17:30" x14ac:dyDescent="0.25">
      <c r="Q239" s="259"/>
      <c r="R239" s="259"/>
      <c r="S239" s="259"/>
      <c r="T239" s="259"/>
      <c r="U239" s="259"/>
      <c r="V239" s="259"/>
      <c r="W239" s="259"/>
      <c r="X239" s="259"/>
      <c r="Y239" s="259"/>
      <c r="Z239" s="259"/>
      <c r="AA239" s="259"/>
      <c r="AB239" s="259"/>
      <c r="AC239" s="259"/>
      <c r="AD239" s="259"/>
    </row>
    <row r="240" spans="17:30" x14ac:dyDescent="0.25">
      <c r="Q240" s="259"/>
      <c r="R240" s="259"/>
      <c r="S240" s="259"/>
      <c r="T240" s="259"/>
      <c r="U240" s="259"/>
      <c r="V240" s="259"/>
      <c r="W240" s="259"/>
      <c r="X240" s="259"/>
      <c r="Y240" s="259"/>
      <c r="Z240" s="259"/>
      <c r="AA240" s="259"/>
      <c r="AB240" s="259"/>
      <c r="AC240" s="259"/>
      <c r="AD240" s="259"/>
    </row>
    <row r="241" spans="17:30" x14ac:dyDescent="0.25">
      <c r="Q241" s="259"/>
      <c r="R241" s="259"/>
      <c r="S241" s="259"/>
      <c r="T241" s="259"/>
      <c r="U241" s="259"/>
      <c r="V241" s="259"/>
      <c r="W241" s="259"/>
      <c r="X241" s="259"/>
      <c r="Y241" s="259"/>
      <c r="Z241" s="259"/>
      <c r="AA241" s="259"/>
      <c r="AB241" s="259"/>
      <c r="AC241" s="259"/>
      <c r="AD241" s="259"/>
    </row>
    <row r="242" spans="17:30" x14ac:dyDescent="0.25">
      <c r="Q242" s="259"/>
      <c r="R242" s="259"/>
      <c r="S242" s="259"/>
      <c r="T242" s="259"/>
      <c r="U242" s="259"/>
      <c r="V242" s="259"/>
      <c r="W242" s="259"/>
      <c r="X242" s="259"/>
      <c r="Y242" s="259"/>
      <c r="Z242" s="259"/>
      <c r="AA242" s="259"/>
      <c r="AB242" s="259"/>
      <c r="AC242" s="259"/>
      <c r="AD242" s="259"/>
    </row>
    <row r="243" spans="17:30" x14ac:dyDescent="0.25">
      <c r="Q243" s="259"/>
      <c r="R243" s="259"/>
      <c r="S243" s="259"/>
      <c r="T243" s="259"/>
      <c r="U243" s="259"/>
      <c r="V243" s="259"/>
      <c r="W243" s="259"/>
      <c r="X243" s="259"/>
      <c r="Y243" s="259"/>
      <c r="Z243" s="259"/>
      <c r="AA243" s="259"/>
      <c r="AB243" s="259"/>
      <c r="AC243" s="259"/>
      <c r="AD243" s="259"/>
    </row>
    <row r="244" spans="17:30" x14ac:dyDescent="0.25">
      <c r="Q244" s="259"/>
      <c r="R244" s="259"/>
      <c r="S244" s="259"/>
      <c r="T244" s="259"/>
      <c r="U244" s="259"/>
      <c r="V244" s="259"/>
      <c r="W244" s="259"/>
      <c r="X244" s="259"/>
      <c r="Y244" s="259"/>
      <c r="Z244" s="259"/>
      <c r="AA244" s="259"/>
      <c r="AB244" s="259"/>
      <c r="AC244" s="259"/>
      <c r="AD244" s="259"/>
    </row>
    <row r="245" spans="17:30" x14ac:dyDescent="0.25">
      <c r="Q245" s="259"/>
      <c r="R245" s="259"/>
      <c r="S245" s="259"/>
      <c r="T245" s="259"/>
      <c r="U245" s="259"/>
      <c r="V245" s="259"/>
      <c r="W245" s="259"/>
      <c r="X245" s="259"/>
      <c r="Y245" s="259"/>
      <c r="Z245" s="259"/>
      <c r="AA245" s="259"/>
      <c r="AB245" s="259"/>
      <c r="AC245" s="259"/>
      <c r="AD245" s="259"/>
    </row>
    <row r="246" spans="17:30" x14ac:dyDescent="0.25">
      <c r="Q246" s="259"/>
      <c r="R246" s="259"/>
      <c r="S246" s="259"/>
      <c r="T246" s="259"/>
      <c r="U246" s="259"/>
      <c r="V246" s="259"/>
      <c r="W246" s="259"/>
      <c r="X246" s="259"/>
      <c r="Y246" s="259"/>
      <c r="Z246" s="259"/>
      <c r="AA246" s="259"/>
      <c r="AB246" s="259"/>
      <c r="AC246" s="259"/>
      <c r="AD246" s="259"/>
    </row>
    <row r="247" spans="17:30" x14ac:dyDescent="0.25">
      <c r="Q247" s="259"/>
      <c r="R247" s="259"/>
      <c r="S247" s="259"/>
      <c r="T247" s="259"/>
      <c r="U247" s="259"/>
      <c r="V247" s="259"/>
      <c r="W247" s="259"/>
      <c r="X247" s="259"/>
      <c r="Y247" s="259"/>
      <c r="Z247" s="259"/>
      <c r="AA247" s="259"/>
      <c r="AB247" s="259"/>
      <c r="AC247" s="259"/>
      <c r="AD247" s="259"/>
    </row>
    <row r="248" spans="17:30" x14ac:dyDescent="0.25">
      <c r="Q248" s="259"/>
      <c r="R248" s="259"/>
      <c r="S248" s="259"/>
      <c r="T248" s="259"/>
      <c r="U248" s="259"/>
      <c r="V248" s="259"/>
      <c r="W248" s="259"/>
      <c r="X248" s="259"/>
      <c r="Y248" s="259"/>
      <c r="Z248" s="259"/>
      <c r="AA248" s="259"/>
      <c r="AB248" s="259"/>
      <c r="AC248" s="259"/>
      <c r="AD248" s="259"/>
    </row>
    <row r="249" spans="17:30" x14ac:dyDescent="0.25">
      <c r="Q249" s="259"/>
      <c r="R249" s="259"/>
      <c r="S249" s="259"/>
      <c r="T249" s="259"/>
      <c r="U249" s="259"/>
      <c r="V249" s="259"/>
      <c r="W249" s="259"/>
      <c r="X249" s="259"/>
      <c r="Y249" s="259"/>
      <c r="Z249" s="259"/>
      <c r="AA249" s="259"/>
      <c r="AB249" s="259"/>
      <c r="AC249" s="259"/>
      <c r="AD249" s="259"/>
    </row>
    <row r="250" spans="17:30" x14ac:dyDescent="0.25">
      <c r="Q250" s="259"/>
      <c r="R250" s="259"/>
      <c r="S250" s="259"/>
      <c r="T250" s="259"/>
      <c r="U250" s="259"/>
      <c r="V250" s="259"/>
      <c r="W250" s="259"/>
      <c r="X250" s="259"/>
      <c r="Y250" s="259"/>
      <c r="Z250" s="259"/>
      <c r="AA250" s="259"/>
      <c r="AB250" s="259"/>
      <c r="AC250" s="259"/>
      <c r="AD250" s="259"/>
    </row>
    <row r="251" spans="17:30" x14ac:dyDescent="0.25">
      <c r="Q251" s="259"/>
      <c r="R251" s="259"/>
      <c r="S251" s="259"/>
      <c r="T251" s="259"/>
      <c r="U251" s="259"/>
      <c r="V251" s="259"/>
      <c r="W251" s="259"/>
      <c r="X251" s="259"/>
      <c r="Y251" s="259"/>
      <c r="Z251" s="259"/>
      <c r="AA251" s="259"/>
      <c r="AB251" s="259"/>
      <c r="AC251" s="259"/>
      <c r="AD251" s="259"/>
    </row>
    <row r="252" spans="17:30" x14ac:dyDescent="0.25">
      <c r="Q252" s="259"/>
      <c r="R252" s="259"/>
      <c r="S252" s="259"/>
      <c r="T252" s="259"/>
      <c r="U252" s="259"/>
      <c r="V252" s="259"/>
      <c r="W252" s="259"/>
      <c r="X252" s="259"/>
      <c r="Y252" s="259"/>
      <c r="Z252" s="259"/>
      <c r="AA252" s="259"/>
      <c r="AB252" s="259"/>
      <c r="AC252" s="259"/>
      <c r="AD252" s="259"/>
    </row>
    <row r="253" spans="17:30" x14ac:dyDescent="0.25">
      <c r="Q253" s="259"/>
      <c r="R253" s="259"/>
      <c r="S253" s="259"/>
      <c r="T253" s="259"/>
      <c r="U253" s="259"/>
      <c r="V253" s="259"/>
      <c r="W253" s="259"/>
      <c r="X253" s="259"/>
      <c r="Y253" s="259"/>
      <c r="Z253" s="259"/>
      <c r="AA253" s="259"/>
      <c r="AB253" s="259"/>
      <c r="AC253" s="259"/>
      <c r="AD253" s="259"/>
    </row>
    <row r="254" spans="17:30" x14ac:dyDescent="0.25">
      <c r="Q254" s="259"/>
      <c r="R254" s="259"/>
      <c r="S254" s="259"/>
      <c r="T254" s="259"/>
      <c r="U254" s="259"/>
      <c r="V254" s="259"/>
      <c r="W254" s="259"/>
      <c r="X254" s="259"/>
      <c r="Y254" s="259"/>
      <c r="Z254" s="259"/>
      <c r="AA254" s="259"/>
      <c r="AB254" s="259"/>
      <c r="AC254" s="259"/>
      <c r="AD254" s="259"/>
    </row>
    <row r="255" spans="17:30" x14ac:dyDescent="0.25">
      <c r="Q255" s="259"/>
      <c r="R255" s="259"/>
      <c r="S255" s="259"/>
      <c r="T255" s="259"/>
      <c r="U255" s="259"/>
      <c r="V255" s="259"/>
      <c r="W255" s="259"/>
      <c r="X255" s="259"/>
      <c r="Y255" s="259"/>
      <c r="Z255" s="259"/>
      <c r="AA255" s="259"/>
      <c r="AB255" s="259"/>
      <c r="AC255" s="259"/>
      <c r="AD255" s="259"/>
    </row>
    <row r="256" spans="17:30" x14ac:dyDescent="0.25">
      <c r="Q256" s="259"/>
      <c r="R256" s="259"/>
      <c r="S256" s="259"/>
      <c r="T256" s="259"/>
      <c r="U256" s="259"/>
      <c r="V256" s="259"/>
      <c r="W256" s="259"/>
      <c r="X256" s="259"/>
      <c r="Y256" s="259"/>
      <c r="Z256" s="259"/>
      <c r="AA256" s="259"/>
      <c r="AB256" s="259"/>
      <c r="AC256" s="259"/>
      <c r="AD256" s="259"/>
    </row>
    <row r="257" spans="17:30" x14ac:dyDescent="0.25">
      <c r="Q257" s="259"/>
      <c r="R257" s="259"/>
      <c r="S257" s="259"/>
      <c r="T257" s="259"/>
      <c r="U257" s="259"/>
      <c r="V257" s="259"/>
      <c r="W257" s="259"/>
      <c r="X257" s="259"/>
      <c r="Y257" s="259"/>
      <c r="Z257" s="259"/>
      <c r="AA257" s="259"/>
      <c r="AB257" s="259"/>
      <c r="AC257" s="259"/>
      <c r="AD257" s="259"/>
    </row>
    <row r="258" spans="17:30" x14ac:dyDescent="0.25">
      <c r="Q258" s="259"/>
      <c r="R258" s="259"/>
      <c r="S258" s="259"/>
      <c r="T258" s="259"/>
      <c r="U258" s="259"/>
      <c r="V258" s="259"/>
      <c r="W258" s="259"/>
      <c r="X258" s="259"/>
      <c r="Y258" s="259"/>
      <c r="Z258" s="259"/>
      <c r="AA258" s="259"/>
      <c r="AB258" s="259"/>
      <c r="AC258" s="259"/>
      <c r="AD258" s="259"/>
    </row>
    <row r="259" spans="17:30" x14ac:dyDescent="0.25">
      <c r="Q259" s="259"/>
      <c r="R259" s="259"/>
      <c r="S259" s="259"/>
      <c r="T259" s="259"/>
      <c r="U259" s="259"/>
      <c r="V259" s="259"/>
      <c r="W259" s="259"/>
      <c r="X259" s="259"/>
      <c r="Y259" s="259"/>
      <c r="Z259" s="259"/>
      <c r="AA259" s="259"/>
      <c r="AB259" s="259"/>
      <c r="AC259" s="259"/>
      <c r="AD259" s="259"/>
    </row>
    <row r="260" spans="17:30" x14ac:dyDescent="0.25">
      <c r="Q260" s="259"/>
      <c r="R260" s="259"/>
      <c r="S260" s="259"/>
      <c r="T260" s="259"/>
      <c r="U260" s="259"/>
      <c r="V260" s="259"/>
      <c r="W260" s="259"/>
      <c r="X260" s="259"/>
      <c r="Y260" s="259"/>
      <c r="Z260" s="259"/>
      <c r="AA260" s="259"/>
      <c r="AB260" s="259"/>
      <c r="AC260" s="259"/>
      <c r="AD260" s="259"/>
    </row>
    <row r="261" spans="17:30" x14ac:dyDescent="0.25">
      <c r="Q261" s="259"/>
      <c r="R261" s="259"/>
      <c r="S261" s="259"/>
      <c r="T261" s="259"/>
      <c r="U261" s="259"/>
      <c r="V261" s="259"/>
      <c r="W261" s="259"/>
      <c r="X261" s="259"/>
      <c r="Y261" s="259"/>
      <c r="Z261" s="259"/>
      <c r="AA261" s="259"/>
      <c r="AB261" s="259"/>
      <c r="AC261" s="259"/>
      <c r="AD261" s="259"/>
    </row>
    <row r="262" spans="17:30" x14ac:dyDescent="0.25">
      <c r="Q262" s="259"/>
      <c r="R262" s="259"/>
      <c r="S262" s="259"/>
      <c r="T262" s="259"/>
      <c r="U262" s="259"/>
      <c r="V262" s="259"/>
      <c r="W262" s="259"/>
      <c r="X262" s="259"/>
      <c r="Y262" s="259"/>
      <c r="Z262" s="259"/>
      <c r="AA262" s="259"/>
      <c r="AB262" s="259"/>
      <c r="AC262" s="259"/>
      <c r="AD262" s="259"/>
    </row>
    <row r="263" spans="17:30" x14ac:dyDescent="0.25">
      <c r="Q263" s="259"/>
      <c r="R263" s="259"/>
      <c r="S263" s="259"/>
      <c r="T263" s="259"/>
      <c r="U263" s="259"/>
      <c r="V263" s="259"/>
      <c r="W263" s="259"/>
      <c r="X263" s="259"/>
      <c r="Y263" s="259"/>
      <c r="Z263" s="259"/>
      <c r="AA263" s="259"/>
      <c r="AB263" s="259"/>
      <c r="AC263" s="259"/>
      <c r="AD263" s="259"/>
    </row>
    <row r="264" spans="17:30" x14ac:dyDescent="0.25">
      <c r="Q264" s="259"/>
      <c r="R264" s="259"/>
      <c r="S264" s="259"/>
      <c r="T264" s="259"/>
      <c r="U264" s="259"/>
      <c r="V264" s="259"/>
      <c r="W264" s="259"/>
      <c r="X264" s="259"/>
      <c r="Y264" s="259"/>
      <c r="Z264" s="259"/>
      <c r="AA264" s="259"/>
      <c r="AB264" s="259"/>
      <c r="AC264" s="259"/>
      <c r="AD264" s="259"/>
    </row>
    <row r="265" spans="17:30" x14ac:dyDescent="0.25">
      <c r="Q265" s="259"/>
      <c r="R265" s="259"/>
      <c r="S265" s="259"/>
      <c r="T265" s="259"/>
      <c r="U265" s="259"/>
      <c r="V265" s="259"/>
      <c r="W265" s="259"/>
      <c r="X265" s="259"/>
      <c r="Y265" s="259"/>
      <c r="Z265" s="259"/>
      <c r="AA265" s="259"/>
      <c r="AB265" s="259"/>
      <c r="AC265" s="259"/>
      <c r="AD265" s="259"/>
    </row>
    <row r="266" spans="17:30" x14ac:dyDescent="0.25">
      <c r="Q266" s="259"/>
      <c r="R266" s="259"/>
      <c r="S266" s="259"/>
      <c r="T266" s="259"/>
      <c r="U266" s="259"/>
      <c r="V266" s="259"/>
      <c r="W266" s="259"/>
      <c r="X266" s="259"/>
      <c r="Y266" s="259"/>
      <c r="Z266" s="259"/>
      <c r="AA266" s="259"/>
      <c r="AB266" s="259"/>
      <c r="AC266" s="259"/>
      <c r="AD266" s="259"/>
    </row>
    <row r="267" spans="17:30" x14ac:dyDescent="0.25">
      <c r="Q267" s="259"/>
      <c r="R267" s="259"/>
      <c r="S267" s="259"/>
      <c r="T267" s="259"/>
      <c r="U267" s="259"/>
      <c r="V267" s="259"/>
      <c r="W267" s="259"/>
      <c r="X267" s="259"/>
      <c r="Y267" s="259"/>
      <c r="Z267" s="259"/>
      <c r="AA267" s="259"/>
      <c r="AB267" s="259"/>
      <c r="AC267" s="259"/>
      <c r="AD267" s="259"/>
    </row>
    <row r="268" spans="17:30" x14ac:dyDescent="0.25">
      <c r="Q268" s="259"/>
      <c r="R268" s="259"/>
      <c r="S268" s="259"/>
      <c r="T268" s="259"/>
      <c r="U268" s="259"/>
      <c r="V268" s="259"/>
      <c r="W268" s="259"/>
      <c r="X268" s="259"/>
      <c r="Y268" s="259"/>
      <c r="Z268" s="259"/>
      <c r="AA268" s="259"/>
      <c r="AB268" s="259"/>
      <c r="AC268" s="259"/>
      <c r="AD268" s="259"/>
    </row>
    <row r="269" spans="17:30" x14ac:dyDescent="0.25">
      <c r="Q269" s="259"/>
      <c r="R269" s="259"/>
      <c r="S269" s="259"/>
      <c r="T269" s="259"/>
      <c r="U269" s="259"/>
      <c r="V269" s="259"/>
      <c r="W269" s="259"/>
      <c r="X269" s="259"/>
      <c r="Y269" s="259"/>
      <c r="Z269" s="259"/>
      <c r="AA269" s="259"/>
      <c r="AB269" s="259"/>
      <c r="AC269" s="259"/>
      <c r="AD269" s="259"/>
    </row>
    <row r="270" spans="17:30" x14ac:dyDescent="0.25">
      <c r="Q270" s="259"/>
      <c r="R270" s="259"/>
      <c r="S270" s="259"/>
      <c r="T270" s="259"/>
      <c r="U270" s="259"/>
      <c r="V270" s="259"/>
      <c r="W270" s="259"/>
      <c r="X270" s="259"/>
      <c r="Y270" s="259"/>
      <c r="Z270" s="259"/>
      <c r="AA270" s="259"/>
      <c r="AB270" s="259"/>
      <c r="AC270" s="259"/>
      <c r="AD270" s="259"/>
    </row>
    <row r="271" spans="17:30" x14ac:dyDescent="0.25">
      <c r="Q271" s="259"/>
      <c r="R271" s="259"/>
      <c r="S271" s="259"/>
      <c r="T271" s="259"/>
      <c r="U271" s="259"/>
      <c r="V271" s="259"/>
      <c r="W271" s="259"/>
      <c r="X271" s="259"/>
      <c r="Y271" s="259"/>
      <c r="Z271" s="259"/>
      <c r="AA271" s="259"/>
      <c r="AB271" s="259"/>
      <c r="AC271" s="259"/>
      <c r="AD271" s="259"/>
    </row>
    <row r="272" spans="17:30" x14ac:dyDescent="0.25">
      <c r="Q272" s="259"/>
      <c r="R272" s="259"/>
      <c r="S272" s="259"/>
      <c r="T272" s="259"/>
      <c r="U272" s="259"/>
      <c r="V272" s="259"/>
      <c r="W272" s="259"/>
      <c r="X272" s="259"/>
      <c r="Y272" s="259"/>
      <c r="Z272" s="259"/>
      <c r="AA272" s="259"/>
      <c r="AB272" s="259"/>
      <c r="AC272" s="259"/>
      <c r="AD272" s="259"/>
    </row>
    <row r="273" spans="17:30" x14ac:dyDescent="0.25">
      <c r="Q273" s="259"/>
      <c r="R273" s="259"/>
      <c r="S273" s="259"/>
      <c r="T273" s="259"/>
      <c r="U273" s="259"/>
      <c r="V273" s="259"/>
      <c r="W273" s="259"/>
      <c r="X273" s="259"/>
      <c r="Y273" s="259"/>
      <c r="Z273" s="259"/>
      <c r="AA273" s="259"/>
      <c r="AB273" s="259"/>
      <c r="AC273" s="259"/>
      <c r="AD273" s="259"/>
    </row>
    <row r="274" spans="17:30" x14ac:dyDescent="0.25">
      <c r="Q274" s="259"/>
      <c r="R274" s="259"/>
      <c r="S274" s="259"/>
      <c r="T274" s="259"/>
      <c r="U274" s="259"/>
      <c r="V274" s="259"/>
      <c r="W274" s="259"/>
      <c r="X274" s="259"/>
      <c r="Y274" s="259"/>
      <c r="Z274" s="259"/>
      <c r="AA274" s="259"/>
      <c r="AB274" s="259"/>
      <c r="AC274" s="259"/>
      <c r="AD274" s="259"/>
    </row>
    <row r="275" spans="17:30" x14ac:dyDescent="0.25">
      <c r="Q275" s="259"/>
      <c r="R275" s="259"/>
      <c r="S275" s="259"/>
      <c r="T275" s="259"/>
      <c r="U275" s="259"/>
      <c r="V275" s="259"/>
      <c r="W275" s="259"/>
      <c r="X275" s="259"/>
      <c r="Y275" s="259"/>
      <c r="Z275" s="259"/>
      <c r="AA275" s="259"/>
      <c r="AB275" s="259"/>
      <c r="AC275" s="259"/>
      <c r="AD275" s="259"/>
    </row>
    <row r="276" spans="17:30" x14ac:dyDescent="0.25">
      <c r="Q276" s="259"/>
      <c r="R276" s="259"/>
      <c r="S276" s="259"/>
      <c r="T276" s="259"/>
      <c r="U276" s="259"/>
      <c r="V276" s="259"/>
      <c r="W276" s="259"/>
      <c r="X276" s="259"/>
      <c r="Y276" s="259"/>
      <c r="Z276" s="259"/>
      <c r="AA276" s="259"/>
      <c r="AB276" s="259"/>
      <c r="AC276" s="259"/>
      <c r="AD276" s="259"/>
    </row>
    <row r="277" spans="17:30" x14ac:dyDescent="0.25">
      <c r="Q277" s="259"/>
      <c r="R277" s="259"/>
      <c r="S277" s="259"/>
      <c r="T277" s="259"/>
      <c r="U277" s="259"/>
      <c r="V277" s="259"/>
      <c r="W277" s="259"/>
      <c r="X277" s="259"/>
      <c r="Y277" s="259"/>
      <c r="Z277" s="259"/>
      <c r="AA277" s="259"/>
      <c r="AB277" s="259"/>
      <c r="AC277" s="259"/>
      <c r="AD277" s="259"/>
    </row>
    <row r="278" spans="17:30" x14ac:dyDescent="0.25">
      <c r="Q278" s="259"/>
      <c r="R278" s="259"/>
      <c r="S278" s="259"/>
      <c r="T278" s="259"/>
      <c r="U278" s="259"/>
      <c r="V278" s="259"/>
      <c r="W278" s="259"/>
      <c r="X278" s="259"/>
      <c r="Y278" s="259"/>
      <c r="Z278" s="259"/>
      <c r="AA278" s="259"/>
      <c r="AB278" s="259"/>
      <c r="AC278" s="259"/>
      <c r="AD278" s="259"/>
    </row>
    <row r="279" spans="17:30" x14ac:dyDescent="0.25">
      <c r="Q279" s="259"/>
      <c r="R279" s="259"/>
      <c r="S279" s="259"/>
      <c r="T279" s="259"/>
      <c r="U279" s="259"/>
      <c r="V279" s="259"/>
      <c r="W279" s="259"/>
      <c r="X279" s="259"/>
      <c r="Y279" s="259"/>
      <c r="Z279" s="259"/>
      <c r="AA279" s="259"/>
      <c r="AB279" s="259"/>
      <c r="AC279" s="259"/>
      <c r="AD279" s="259"/>
    </row>
    <row r="280" spans="17:30" x14ac:dyDescent="0.25">
      <c r="Q280" s="259"/>
      <c r="R280" s="259"/>
      <c r="S280" s="259"/>
      <c r="T280" s="259"/>
      <c r="U280" s="259"/>
      <c r="V280" s="259"/>
      <c r="W280" s="259"/>
      <c r="X280" s="259"/>
      <c r="Y280" s="259"/>
      <c r="Z280" s="259"/>
      <c r="AA280" s="259"/>
      <c r="AB280" s="259"/>
      <c r="AC280" s="259"/>
      <c r="AD280" s="259"/>
    </row>
    <row r="281" spans="17:30" x14ac:dyDescent="0.25">
      <c r="Q281" s="259"/>
      <c r="R281" s="259"/>
      <c r="S281" s="259"/>
      <c r="T281" s="259"/>
      <c r="U281" s="259"/>
      <c r="V281" s="259"/>
      <c r="W281" s="259"/>
      <c r="X281" s="259"/>
      <c r="Y281" s="259"/>
      <c r="Z281" s="259"/>
      <c r="AA281" s="259"/>
      <c r="AB281" s="259"/>
      <c r="AC281" s="259"/>
      <c r="AD281" s="259"/>
    </row>
    <row r="282" spans="17:30" x14ac:dyDescent="0.25">
      <c r="Q282" s="259"/>
      <c r="R282" s="259"/>
      <c r="S282" s="259"/>
      <c r="T282" s="259"/>
      <c r="U282" s="259"/>
      <c r="V282" s="259"/>
      <c r="W282" s="259"/>
      <c r="X282" s="259"/>
      <c r="Y282" s="259"/>
      <c r="Z282" s="259"/>
      <c r="AA282" s="259"/>
      <c r="AB282" s="259"/>
      <c r="AC282" s="259"/>
      <c r="AD282" s="259"/>
    </row>
    <row r="283" spans="17:30" x14ac:dyDescent="0.25">
      <c r="Q283" s="259"/>
      <c r="R283" s="259"/>
      <c r="S283" s="259"/>
      <c r="T283" s="259"/>
      <c r="U283" s="259"/>
      <c r="V283" s="259"/>
      <c r="W283" s="259"/>
      <c r="X283" s="259"/>
      <c r="Y283" s="259"/>
      <c r="Z283" s="259"/>
      <c r="AA283" s="259"/>
      <c r="AB283" s="259"/>
      <c r="AC283" s="259"/>
      <c r="AD283" s="259"/>
    </row>
    <row r="284" spans="17:30" x14ac:dyDescent="0.25">
      <c r="Q284" s="259"/>
      <c r="R284" s="259"/>
      <c r="S284" s="259"/>
      <c r="T284" s="259"/>
      <c r="U284" s="259"/>
      <c r="V284" s="259"/>
      <c r="W284" s="259"/>
      <c r="X284" s="259"/>
      <c r="Y284" s="259"/>
      <c r="Z284" s="259"/>
      <c r="AA284" s="259"/>
      <c r="AB284" s="259"/>
      <c r="AC284" s="259"/>
      <c r="AD284" s="259"/>
    </row>
    <row r="285" spans="17:30" x14ac:dyDescent="0.25">
      <c r="Q285" s="259"/>
      <c r="R285" s="259"/>
      <c r="S285" s="259"/>
      <c r="T285" s="259"/>
      <c r="U285" s="259"/>
      <c r="V285" s="259"/>
      <c r="W285" s="259"/>
      <c r="X285" s="259"/>
      <c r="Y285" s="259"/>
      <c r="Z285" s="259"/>
      <c r="AA285" s="259"/>
      <c r="AB285" s="259"/>
      <c r="AC285" s="259"/>
      <c r="AD285" s="259"/>
    </row>
    <row r="286" spans="17:30" x14ac:dyDescent="0.25">
      <c r="Q286" s="259"/>
      <c r="R286" s="259"/>
      <c r="S286" s="259"/>
      <c r="T286" s="259"/>
      <c r="U286" s="259"/>
      <c r="V286" s="259"/>
      <c r="W286" s="259"/>
      <c r="X286" s="259"/>
      <c r="Y286" s="259"/>
      <c r="Z286" s="259"/>
      <c r="AA286" s="259"/>
      <c r="AB286" s="259"/>
      <c r="AC286" s="259"/>
      <c r="AD286" s="259"/>
    </row>
    <row r="287" spans="17:30" x14ac:dyDescent="0.25">
      <c r="Q287" s="259"/>
      <c r="R287" s="259"/>
      <c r="S287" s="259"/>
      <c r="T287" s="259"/>
      <c r="U287" s="259"/>
      <c r="V287" s="259"/>
      <c r="W287" s="259"/>
      <c r="X287" s="259"/>
      <c r="Y287" s="259"/>
      <c r="Z287" s="259"/>
      <c r="AA287" s="259"/>
      <c r="AB287" s="259"/>
      <c r="AC287" s="259"/>
      <c r="AD287" s="259"/>
    </row>
    <row r="288" spans="17:30" x14ac:dyDescent="0.25">
      <c r="Q288" s="259"/>
      <c r="R288" s="259"/>
      <c r="S288" s="259"/>
      <c r="T288" s="259"/>
      <c r="U288" s="259"/>
      <c r="V288" s="259"/>
      <c r="W288" s="259"/>
      <c r="X288" s="259"/>
      <c r="Y288" s="259"/>
      <c r="Z288" s="259"/>
      <c r="AA288" s="259"/>
      <c r="AB288" s="259"/>
      <c r="AC288" s="259"/>
      <c r="AD288" s="259"/>
    </row>
    <row r="289" spans="17:30" x14ac:dyDescent="0.25">
      <c r="Q289" s="259"/>
      <c r="R289" s="259"/>
      <c r="S289" s="259"/>
      <c r="T289" s="259"/>
      <c r="U289" s="259"/>
      <c r="V289" s="259"/>
      <c r="W289" s="259"/>
      <c r="X289" s="259"/>
      <c r="Y289" s="259"/>
      <c r="Z289" s="259"/>
      <c r="AA289" s="259"/>
      <c r="AB289" s="259"/>
      <c r="AC289" s="259"/>
      <c r="AD289" s="259"/>
    </row>
    <row r="290" spans="17:30" x14ac:dyDescent="0.25">
      <c r="Q290" s="259"/>
      <c r="R290" s="259"/>
      <c r="S290" s="259"/>
      <c r="T290" s="259"/>
      <c r="U290" s="259"/>
      <c r="V290" s="259"/>
      <c r="W290" s="259"/>
      <c r="X290" s="259"/>
      <c r="Y290" s="259"/>
      <c r="Z290" s="259"/>
      <c r="AA290" s="259"/>
      <c r="AB290" s="259"/>
      <c r="AC290" s="259"/>
      <c r="AD290" s="259"/>
    </row>
    <row r="291" spans="17:30" x14ac:dyDescent="0.25">
      <c r="Q291" s="259"/>
      <c r="R291" s="259"/>
      <c r="S291" s="259"/>
      <c r="T291" s="259"/>
      <c r="U291" s="259"/>
      <c r="V291" s="259"/>
      <c r="W291" s="259"/>
      <c r="X291" s="259"/>
      <c r="Y291" s="259"/>
      <c r="Z291" s="259"/>
      <c r="AA291" s="259"/>
      <c r="AB291" s="259"/>
      <c r="AC291" s="259"/>
      <c r="AD291" s="259"/>
    </row>
    <row r="292" spans="17:30" x14ac:dyDescent="0.25">
      <c r="Q292" s="259"/>
      <c r="R292" s="259"/>
      <c r="S292" s="259"/>
      <c r="T292" s="259"/>
      <c r="U292" s="259"/>
      <c r="V292" s="259"/>
      <c r="W292" s="259"/>
      <c r="X292" s="259"/>
      <c r="Y292" s="259"/>
      <c r="Z292" s="259"/>
      <c r="AA292" s="259"/>
      <c r="AB292" s="259"/>
      <c r="AC292" s="259"/>
      <c r="AD292" s="259"/>
    </row>
    <row r="293" spans="17:30" x14ac:dyDescent="0.25">
      <c r="Q293" s="259"/>
      <c r="R293" s="259"/>
      <c r="S293" s="259"/>
      <c r="T293" s="259"/>
      <c r="U293" s="259"/>
      <c r="V293" s="259"/>
      <c r="W293" s="259"/>
      <c r="X293" s="259"/>
      <c r="Y293" s="259"/>
      <c r="Z293" s="259"/>
      <c r="AA293" s="259"/>
      <c r="AB293" s="259"/>
      <c r="AC293" s="259"/>
      <c r="AD293" s="259"/>
    </row>
    <row r="294" spans="17:30" x14ac:dyDescent="0.25">
      <c r="Q294" s="259"/>
      <c r="R294" s="259"/>
      <c r="S294" s="259"/>
      <c r="T294" s="259"/>
      <c r="U294" s="259"/>
      <c r="V294" s="259"/>
      <c r="W294" s="259"/>
      <c r="X294" s="259"/>
      <c r="Y294" s="259"/>
      <c r="Z294" s="259"/>
      <c r="AA294" s="259"/>
      <c r="AB294" s="259"/>
      <c r="AC294" s="259"/>
      <c r="AD294" s="259"/>
    </row>
    <row r="295" spans="17:30" x14ac:dyDescent="0.25">
      <c r="Q295" s="259"/>
      <c r="R295" s="259"/>
      <c r="S295" s="259"/>
      <c r="T295" s="259"/>
      <c r="U295" s="259"/>
      <c r="V295" s="259"/>
      <c r="W295" s="259"/>
      <c r="X295" s="259"/>
      <c r="Y295" s="259"/>
      <c r="Z295" s="259"/>
      <c r="AA295" s="259"/>
      <c r="AB295" s="259"/>
      <c r="AC295" s="259"/>
      <c r="AD295" s="259"/>
    </row>
    <row r="296" spans="17:30" x14ac:dyDescent="0.25">
      <c r="Q296" s="259"/>
      <c r="R296" s="259"/>
      <c r="S296" s="259"/>
      <c r="T296" s="259"/>
      <c r="U296" s="259"/>
      <c r="V296" s="259"/>
      <c r="W296" s="259"/>
      <c r="X296" s="259"/>
      <c r="Y296" s="259"/>
      <c r="Z296" s="259"/>
      <c r="AA296" s="259"/>
      <c r="AB296" s="259"/>
      <c r="AC296" s="259"/>
      <c r="AD296" s="259"/>
    </row>
    <row r="297" spans="17:30" x14ac:dyDescent="0.25">
      <c r="Q297" s="259"/>
      <c r="R297" s="259"/>
      <c r="S297" s="259"/>
      <c r="T297" s="259"/>
      <c r="U297" s="259"/>
      <c r="V297" s="259"/>
      <c r="W297" s="259"/>
      <c r="X297" s="259"/>
      <c r="Y297" s="259"/>
      <c r="Z297" s="259"/>
      <c r="AA297" s="259"/>
      <c r="AB297" s="259"/>
      <c r="AC297" s="259"/>
      <c r="AD297" s="259"/>
    </row>
    <row r="298" spans="17:30" x14ac:dyDescent="0.25">
      <c r="Q298" s="259"/>
      <c r="R298" s="259"/>
      <c r="S298" s="259"/>
      <c r="T298" s="259"/>
      <c r="U298" s="259"/>
      <c r="V298" s="259"/>
      <c r="W298" s="259"/>
      <c r="X298" s="259"/>
      <c r="Y298" s="259"/>
      <c r="Z298" s="259"/>
      <c r="AA298" s="259"/>
      <c r="AB298" s="259"/>
      <c r="AC298" s="259"/>
      <c r="AD298" s="259"/>
    </row>
    <row r="299" spans="17:30" x14ac:dyDescent="0.25">
      <c r="Q299" s="259"/>
      <c r="R299" s="259"/>
      <c r="S299" s="259"/>
      <c r="T299" s="259"/>
      <c r="U299" s="259"/>
      <c r="V299" s="259"/>
      <c r="W299" s="259"/>
      <c r="X299" s="259"/>
      <c r="Y299" s="259"/>
      <c r="Z299" s="259"/>
      <c r="AA299" s="259"/>
      <c r="AB299" s="259"/>
      <c r="AC299" s="259"/>
      <c r="AD299" s="259"/>
    </row>
    <row r="300" spans="17:30" x14ac:dyDescent="0.25">
      <c r="Q300" s="259"/>
      <c r="R300" s="259"/>
      <c r="S300" s="259"/>
      <c r="T300" s="259"/>
      <c r="U300" s="259"/>
      <c r="V300" s="259"/>
      <c r="W300" s="259"/>
      <c r="X300" s="259"/>
      <c r="Y300" s="259"/>
      <c r="Z300" s="259"/>
      <c r="AA300" s="259"/>
      <c r="AB300" s="259"/>
      <c r="AC300" s="259"/>
      <c r="AD300" s="259"/>
    </row>
    <row r="301" spans="17:30" x14ac:dyDescent="0.25">
      <c r="Q301" s="259"/>
      <c r="R301" s="259"/>
      <c r="S301" s="259"/>
      <c r="T301" s="259"/>
      <c r="U301" s="259"/>
      <c r="V301" s="259"/>
      <c r="W301" s="259"/>
      <c r="X301" s="259"/>
      <c r="Y301" s="259"/>
      <c r="Z301" s="259"/>
      <c r="AA301" s="259"/>
      <c r="AB301" s="259"/>
      <c r="AC301" s="259"/>
      <c r="AD301" s="259"/>
    </row>
    <row r="302" spans="17:30" x14ac:dyDescent="0.25">
      <c r="Q302" s="259"/>
      <c r="R302" s="259"/>
      <c r="S302" s="259"/>
      <c r="T302" s="259"/>
      <c r="U302" s="259"/>
      <c r="V302" s="259"/>
      <c r="W302" s="259"/>
      <c r="X302" s="259"/>
      <c r="Y302" s="259"/>
      <c r="Z302" s="259"/>
      <c r="AA302" s="259"/>
      <c r="AB302" s="259"/>
      <c r="AC302" s="259"/>
      <c r="AD302" s="259"/>
    </row>
    <row r="303" spans="17:30" x14ac:dyDescent="0.25">
      <c r="Q303" s="259"/>
      <c r="R303" s="259"/>
      <c r="S303" s="259"/>
      <c r="T303" s="259"/>
      <c r="U303" s="259"/>
      <c r="V303" s="259"/>
      <c r="W303" s="259"/>
      <c r="X303" s="259"/>
      <c r="Y303" s="259"/>
      <c r="Z303" s="259"/>
      <c r="AA303" s="259"/>
      <c r="AB303" s="259"/>
      <c r="AC303" s="259"/>
      <c r="AD303" s="259"/>
    </row>
  </sheetData>
  <mergeCells count="88">
    <mergeCell ref="A1:A4"/>
    <mergeCell ref="B1:AA1"/>
    <mergeCell ref="AB1:AD1"/>
    <mergeCell ref="B2:AA2"/>
    <mergeCell ref="AB2:AD2"/>
    <mergeCell ref="B3:AA4"/>
    <mergeCell ref="AB3:AD3"/>
    <mergeCell ref="AB4:AD4"/>
    <mergeCell ref="A19:AD19"/>
    <mergeCell ref="C20:P20"/>
    <mergeCell ref="I7:J9"/>
    <mergeCell ref="K7:L9"/>
    <mergeCell ref="M7:N7"/>
    <mergeCell ref="O7:P7"/>
    <mergeCell ref="A11:B13"/>
    <mergeCell ref="C11:AD13"/>
    <mergeCell ref="A7:B9"/>
    <mergeCell ref="C7:C9"/>
    <mergeCell ref="D7:H9"/>
    <mergeCell ref="M8:N8"/>
    <mergeCell ref="O8:P8"/>
    <mergeCell ref="M9:N9"/>
    <mergeCell ref="O9:P9"/>
    <mergeCell ref="AA15:AD15"/>
    <mergeCell ref="AC17:AD17"/>
    <mergeCell ref="A15:B15"/>
    <mergeCell ref="C15:K15"/>
    <mergeCell ref="L15:Q15"/>
    <mergeCell ref="R15:X15"/>
    <mergeCell ref="Y15:Z15"/>
    <mergeCell ref="C16:AB16"/>
    <mergeCell ref="A17:B17"/>
    <mergeCell ref="C17:Q17"/>
    <mergeCell ref="R17:V17"/>
    <mergeCell ref="W17:X17"/>
    <mergeCell ref="Y17:AB17"/>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A38:A39"/>
    <mergeCell ref="Q38:AD39"/>
    <mergeCell ref="B38:B39"/>
    <mergeCell ref="W33:Z33"/>
    <mergeCell ref="AA33:AD33"/>
    <mergeCell ref="A34:A35"/>
    <mergeCell ref="B34:B35"/>
    <mergeCell ref="AA34:AD35"/>
    <mergeCell ref="Q34:S35"/>
    <mergeCell ref="T34:V35"/>
    <mergeCell ref="W34:Z35"/>
    <mergeCell ref="A36:A37"/>
    <mergeCell ref="B36:B37"/>
    <mergeCell ref="C36:P36"/>
    <mergeCell ref="Q36:AD36"/>
    <mergeCell ref="Q37:AD37"/>
    <mergeCell ref="B42:B43"/>
    <mergeCell ref="A40:A41"/>
    <mergeCell ref="Q40:AD41"/>
    <mergeCell ref="A42:A43"/>
    <mergeCell ref="Q42:AD43"/>
    <mergeCell ref="B40:B41"/>
    <mergeCell ref="A61:A62"/>
    <mergeCell ref="B61:B62"/>
    <mergeCell ref="A55:A56"/>
    <mergeCell ref="B55:B56"/>
    <mergeCell ref="C55:P55"/>
    <mergeCell ref="A57:A58"/>
    <mergeCell ref="B57:B58"/>
    <mergeCell ref="A59:A60"/>
    <mergeCell ref="B59:B60"/>
  </mergeCells>
  <dataValidations count="3">
    <dataValidation type="list" allowBlank="1" showInputMessage="1" showErrorMessage="1" sqref="C7:C9" xr:uid="{00000000-0002-0000-04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textLength" operator="lessThanOrEqual" allowBlank="1" showInputMessage="1" showErrorMessage="1" errorTitle="Máximo 2.000 caracteres" error="Máximo 2.000 caracteres" sqref="T34 W34 AA34 Q34 Q38:AD43" xr:uid="{00000000-0002-0000-0400-000002000000}">
      <formula1>2000</formula1>
    </dataValidation>
  </dataValidations>
  <pageMargins left="0.25" right="0.25" top="1" bottom="1" header="0.3" footer="0.3"/>
  <pageSetup paperSize="9" scale="24"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O303"/>
  <sheetViews>
    <sheetView showGridLines="0" topLeftCell="M13" zoomScale="60" zoomScaleNormal="60" workbookViewId="0">
      <selection activeCell="Z23" sqref="Z23:AB23"/>
    </sheetView>
  </sheetViews>
  <sheetFormatPr baseColWidth="10" defaultColWidth="10.71093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71093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3" ht="32.25" customHeight="1" thickBot="1" x14ac:dyDescent="0.3">
      <c r="A1" s="550"/>
      <c r="B1" s="780" t="s">
        <v>0</v>
      </c>
      <c r="C1" s="781"/>
      <c r="D1" s="781"/>
      <c r="E1" s="781"/>
      <c r="F1" s="781"/>
      <c r="G1" s="781"/>
      <c r="H1" s="781"/>
      <c r="I1" s="781"/>
      <c r="J1" s="781"/>
      <c r="K1" s="781"/>
      <c r="L1" s="781"/>
      <c r="M1" s="781"/>
      <c r="N1" s="781"/>
      <c r="O1" s="781"/>
      <c r="P1" s="781"/>
      <c r="Q1" s="781"/>
      <c r="R1" s="781"/>
      <c r="S1" s="781"/>
      <c r="T1" s="781"/>
      <c r="U1" s="781"/>
      <c r="V1" s="781"/>
      <c r="W1" s="781"/>
      <c r="X1" s="781"/>
      <c r="Y1" s="781"/>
      <c r="Z1" s="781"/>
      <c r="AA1" s="782"/>
      <c r="AB1" s="783" t="s">
        <v>1</v>
      </c>
      <c r="AC1" s="784"/>
      <c r="AD1" s="785"/>
    </row>
    <row r="2" spans="1:33" ht="30.75" customHeight="1" thickBot="1" x14ac:dyDescent="0.3">
      <c r="A2" s="551"/>
      <c r="B2" s="780" t="s">
        <v>2</v>
      </c>
      <c r="C2" s="781"/>
      <c r="D2" s="781"/>
      <c r="E2" s="781"/>
      <c r="F2" s="781"/>
      <c r="G2" s="781"/>
      <c r="H2" s="781"/>
      <c r="I2" s="781"/>
      <c r="J2" s="781"/>
      <c r="K2" s="781"/>
      <c r="L2" s="781"/>
      <c r="M2" s="781"/>
      <c r="N2" s="781"/>
      <c r="O2" s="781"/>
      <c r="P2" s="781"/>
      <c r="Q2" s="781"/>
      <c r="R2" s="781"/>
      <c r="S2" s="781"/>
      <c r="T2" s="781"/>
      <c r="U2" s="781"/>
      <c r="V2" s="781"/>
      <c r="W2" s="781"/>
      <c r="X2" s="781"/>
      <c r="Y2" s="781"/>
      <c r="Z2" s="781"/>
      <c r="AA2" s="782"/>
      <c r="AB2" s="777" t="s">
        <v>3</v>
      </c>
      <c r="AC2" s="778"/>
      <c r="AD2" s="779"/>
    </row>
    <row r="3" spans="1:33" ht="24" customHeight="1" x14ac:dyDescent="0.25">
      <c r="A3" s="551"/>
      <c r="B3" s="570" t="s">
        <v>4</v>
      </c>
      <c r="C3" s="571"/>
      <c r="D3" s="571"/>
      <c r="E3" s="571"/>
      <c r="F3" s="571"/>
      <c r="G3" s="571"/>
      <c r="H3" s="571"/>
      <c r="I3" s="571"/>
      <c r="J3" s="571"/>
      <c r="K3" s="571"/>
      <c r="L3" s="571"/>
      <c r="M3" s="571"/>
      <c r="N3" s="571"/>
      <c r="O3" s="571"/>
      <c r="P3" s="571"/>
      <c r="Q3" s="571"/>
      <c r="R3" s="571"/>
      <c r="S3" s="571"/>
      <c r="T3" s="571"/>
      <c r="U3" s="571"/>
      <c r="V3" s="571"/>
      <c r="W3" s="571"/>
      <c r="X3" s="571"/>
      <c r="Y3" s="571"/>
      <c r="Z3" s="571"/>
      <c r="AA3" s="572"/>
      <c r="AB3" s="777" t="s">
        <v>5</v>
      </c>
      <c r="AC3" s="778"/>
      <c r="AD3" s="779"/>
    </row>
    <row r="4" spans="1:33" ht="21.75" customHeight="1" thickBot="1" x14ac:dyDescent="0.3">
      <c r="A4" s="552"/>
      <c r="B4" s="567"/>
      <c r="C4" s="568"/>
      <c r="D4" s="568"/>
      <c r="E4" s="568"/>
      <c r="F4" s="568"/>
      <c r="G4" s="568"/>
      <c r="H4" s="568"/>
      <c r="I4" s="568"/>
      <c r="J4" s="568"/>
      <c r="K4" s="568"/>
      <c r="L4" s="568"/>
      <c r="M4" s="568"/>
      <c r="N4" s="568"/>
      <c r="O4" s="568"/>
      <c r="P4" s="568"/>
      <c r="Q4" s="568"/>
      <c r="R4" s="568"/>
      <c r="S4" s="568"/>
      <c r="T4" s="568"/>
      <c r="U4" s="568"/>
      <c r="V4" s="568"/>
      <c r="W4" s="568"/>
      <c r="X4" s="568"/>
      <c r="Y4" s="568"/>
      <c r="Z4" s="568"/>
      <c r="AA4" s="569"/>
      <c r="AB4" s="774" t="s">
        <v>6</v>
      </c>
      <c r="AC4" s="775"/>
      <c r="AD4" s="776"/>
    </row>
    <row r="5" spans="1:33" ht="9" customHeight="1" thickBot="1" x14ac:dyDescent="0.3">
      <c r="A5" s="51"/>
      <c r="B5" s="170"/>
      <c r="C5" s="17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3"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3" ht="15" customHeight="1" x14ac:dyDescent="0.25">
      <c r="A7" s="375" t="s">
        <v>7</v>
      </c>
      <c r="B7" s="376"/>
      <c r="C7" s="417" t="s">
        <v>32</v>
      </c>
      <c r="D7" s="381" t="s">
        <v>9</v>
      </c>
      <c r="E7" s="382"/>
      <c r="F7" s="382"/>
      <c r="G7" s="382"/>
      <c r="H7" s="383"/>
      <c r="I7" s="390">
        <v>45083</v>
      </c>
      <c r="J7" s="786"/>
      <c r="K7" s="381" t="s">
        <v>10</v>
      </c>
      <c r="L7" s="383"/>
      <c r="M7" s="415" t="s">
        <v>11</v>
      </c>
      <c r="N7" s="416"/>
      <c r="O7" s="673"/>
      <c r="P7" s="674"/>
      <c r="Q7" s="255"/>
      <c r="R7" s="255"/>
      <c r="S7" s="255"/>
      <c r="T7" s="255"/>
      <c r="U7" s="255"/>
      <c r="V7" s="255"/>
      <c r="W7" s="255"/>
      <c r="X7" s="255"/>
      <c r="Y7" s="255"/>
      <c r="Z7" s="256"/>
      <c r="AA7" s="255"/>
      <c r="AB7" s="255"/>
      <c r="AC7" s="257"/>
      <c r="AD7" s="258"/>
      <c r="AE7" s="259"/>
      <c r="AF7" s="259"/>
      <c r="AG7" s="259"/>
    </row>
    <row r="8" spans="1:33" ht="15" customHeight="1" x14ac:dyDescent="0.25">
      <c r="A8" s="377"/>
      <c r="B8" s="378"/>
      <c r="C8" s="418"/>
      <c r="D8" s="384"/>
      <c r="E8" s="385"/>
      <c r="F8" s="385"/>
      <c r="G8" s="385"/>
      <c r="H8" s="386"/>
      <c r="I8" s="787"/>
      <c r="J8" s="788"/>
      <c r="K8" s="384"/>
      <c r="L8" s="386"/>
      <c r="M8" s="398" t="s">
        <v>12</v>
      </c>
      <c r="N8" s="399"/>
      <c r="O8" s="413"/>
      <c r="P8" s="414"/>
      <c r="Q8" s="255"/>
      <c r="R8" s="255"/>
      <c r="S8" s="255"/>
      <c r="T8" s="255"/>
      <c r="U8" s="255"/>
      <c r="V8" s="255"/>
      <c r="W8" s="255"/>
      <c r="X8" s="255"/>
      <c r="Y8" s="255"/>
      <c r="Z8" s="256"/>
      <c r="AA8" s="255"/>
      <c r="AB8" s="255"/>
      <c r="AC8" s="257"/>
      <c r="AD8" s="258"/>
      <c r="AE8" s="259"/>
      <c r="AF8" s="259"/>
      <c r="AG8" s="259"/>
    </row>
    <row r="9" spans="1:33" ht="15.75" customHeight="1" thickBot="1" x14ac:dyDescent="0.3">
      <c r="A9" s="379"/>
      <c r="B9" s="380"/>
      <c r="C9" s="419"/>
      <c r="D9" s="387"/>
      <c r="E9" s="388"/>
      <c r="F9" s="388"/>
      <c r="G9" s="388"/>
      <c r="H9" s="389"/>
      <c r="I9" s="789"/>
      <c r="J9" s="790"/>
      <c r="K9" s="387"/>
      <c r="L9" s="389"/>
      <c r="M9" s="430" t="s">
        <v>13</v>
      </c>
      <c r="N9" s="431"/>
      <c r="O9" s="432" t="s">
        <v>14</v>
      </c>
      <c r="P9" s="433"/>
      <c r="Q9" s="255"/>
      <c r="R9" s="255"/>
      <c r="S9" s="255"/>
      <c r="T9" s="255"/>
      <c r="U9" s="255"/>
      <c r="V9" s="255"/>
      <c r="W9" s="255"/>
      <c r="X9" s="255"/>
      <c r="Y9" s="255"/>
      <c r="Z9" s="256"/>
      <c r="AA9" s="255"/>
      <c r="AB9" s="255"/>
      <c r="AC9" s="257"/>
      <c r="AD9" s="258"/>
      <c r="AE9" s="259"/>
      <c r="AF9" s="259"/>
      <c r="AG9" s="259"/>
    </row>
    <row r="10" spans="1:33" ht="15" customHeight="1" thickBot="1" x14ac:dyDescent="0.3">
      <c r="A10" s="146"/>
      <c r="B10" s="147"/>
      <c r="C10" s="147"/>
      <c r="D10" s="65"/>
      <c r="E10" s="65"/>
      <c r="F10" s="65"/>
      <c r="G10" s="65"/>
      <c r="H10" s="65"/>
      <c r="I10" s="143"/>
      <c r="J10" s="143"/>
      <c r="K10" s="65"/>
      <c r="L10" s="65"/>
      <c r="M10" s="144"/>
      <c r="N10" s="144"/>
      <c r="O10" s="145"/>
      <c r="P10" s="145"/>
      <c r="Q10" s="147"/>
      <c r="R10" s="147"/>
      <c r="S10" s="147"/>
      <c r="T10" s="147"/>
      <c r="U10" s="147"/>
      <c r="V10" s="147"/>
      <c r="W10" s="147"/>
      <c r="X10" s="147"/>
      <c r="Y10" s="147"/>
      <c r="Z10" s="148"/>
      <c r="AA10" s="147"/>
      <c r="AB10" s="147"/>
      <c r="AC10" s="149"/>
      <c r="AD10" s="150"/>
    </row>
    <row r="11" spans="1:33" ht="15" customHeight="1" x14ac:dyDescent="0.25">
      <c r="A11" s="375" t="s">
        <v>15</v>
      </c>
      <c r="B11" s="376"/>
      <c r="C11" s="434" t="s">
        <v>16</v>
      </c>
      <c r="D11" s="435"/>
      <c r="E11" s="435"/>
      <c r="F11" s="435"/>
      <c r="G11" s="435"/>
      <c r="H11" s="435"/>
      <c r="I11" s="435"/>
      <c r="J11" s="435"/>
      <c r="K11" s="435"/>
      <c r="L11" s="435"/>
      <c r="M11" s="435"/>
      <c r="N11" s="435"/>
      <c r="O11" s="435"/>
      <c r="P11" s="435"/>
      <c r="Q11" s="435"/>
      <c r="R11" s="435"/>
      <c r="S11" s="435"/>
      <c r="T11" s="435"/>
      <c r="U11" s="435"/>
      <c r="V11" s="435"/>
      <c r="W11" s="435"/>
      <c r="X11" s="435"/>
      <c r="Y11" s="435"/>
      <c r="Z11" s="435"/>
      <c r="AA11" s="435"/>
      <c r="AB11" s="435"/>
      <c r="AC11" s="435"/>
      <c r="AD11" s="436"/>
    </row>
    <row r="12" spans="1:33" ht="15" customHeight="1" x14ac:dyDescent="0.25">
      <c r="A12" s="377"/>
      <c r="B12" s="378"/>
      <c r="C12" s="437"/>
      <c r="D12" s="438"/>
      <c r="E12" s="438"/>
      <c r="F12" s="438"/>
      <c r="G12" s="438"/>
      <c r="H12" s="438"/>
      <c r="I12" s="438"/>
      <c r="J12" s="438"/>
      <c r="K12" s="438"/>
      <c r="L12" s="438"/>
      <c r="M12" s="438"/>
      <c r="N12" s="438"/>
      <c r="O12" s="438"/>
      <c r="P12" s="438"/>
      <c r="Q12" s="438"/>
      <c r="R12" s="438"/>
      <c r="S12" s="438"/>
      <c r="T12" s="438"/>
      <c r="U12" s="438"/>
      <c r="V12" s="438"/>
      <c r="W12" s="438"/>
      <c r="X12" s="438"/>
      <c r="Y12" s="438"/>
      <c r="Z12" s="438"/>
      <c r="AA12" s="438"/>
      <c r="AB12" s="438"/>
      <c r="AC12" s="438"/>
      <c r="AD12" s="439"/>
    </row>
    <row r="13" spans="1:33" ht="15" customHeight="1" thickBot="1" x14ac:dyDescent="0.3">
      <c r="A13" s="379"/>
      <c r="B13" s="380"/>
      <c r="C13" s="440"/>
      <c r="D13" s="441"/>
      <c r="E13" s="441"/>
      <c r="F13" s="441"/>
      <c r="G13" s="441"/>
      <c r="H13" s="441"/>
      <c r="I13" s="441"/>
      <c r="J13" s="441"/>
      <c r="K13" s="441"/>
      <c r="L13" s="441"/>
      <c r="M13" s="441"/>
      <c r="N13" s="441"/>
      <c r="O13" s="441"/>
      <c r="P13" s="441"/>
      <c r="Q13" s="441"/>
      <c r="R13" s="441"/>
      <c r="S13" s="441"/>
      <c r="T13" s="441"/>
      <c r="U13" s="441"/>
      <c r="V13" s="441"/>
      <c r="W13" s="441"/>
      <c r="X13" s="441"/>
      <c r="Y13" s="441"/>
      <c r="Z13" s="441"/>
      <c r="AA13" s="441"/>
      <c r="AB13" s="441"/>
      <c r="AC13" s="441"/>
      <c r="AD13" s="442"/>
    </row>
    <row r="14" spans="1:3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3" ht="47.1" customHeight="1" thickBot="1" x14ac:dyDescent="0.3">
      <c r="A15" s="428" t="s">
        <v>17</v>
      </c>
      <c r="B15" s="429"/>
      <c r="C15" s="363" t="s">
        <v>18</v>
      </c>
      <c r="D15" s="364"/>
      <c r="E15" s="364"/>
      <c r="F15" s="364"/>
      <c r="G15" s="364"/>
      <c r="H15" s="364"/>
      <c r="I15" s="364"/>
      <c r="J15" s="364"/>
      <c r="K15" s="365"/>
      <c r="L15" s="423" t="s">
        <v>19</v>
      </c>
      <c r="M15" s="427"/>
      <c r="N15" s="427"/>
      <c r="O15" s="427"/>
      <c r="P15" s="427"/>
      <c r="Q15" s="424"/>
      <c r="R15" s="472" t="s">
        <v>20</v>
      </c>
      <c r="S15" s="473"/>
      <c r="T15" s="473"/>
      <c r="U15" s="473"/>
      <c r="V15" s="473"/>
      <c r="W15" s="473"/>
      <c r="X15" s="474"/>
      <c r="Y15" s="423" t="s">
        <v>21</v>
      </c>
      <c r="Z15" s="424"/>
      <c r="AA15" s="456" t="s">
        <v>597</v>
      </c>
      <c r="AB15" s="457"/>
      <c r="AC15" s="457"/>
      <c r="AD15" s="458"/>
    </row>
    <row r="16" spans="1:33" ht="9" customHeight="1" thickBot="1" x14ac:dyDescent="0.3">
      <c r="A16" s="59"/>
      <c r="B16" s="54"/>
      <c r="C16" s="764"/>
      <c r="D16" s="764"/>
      <c r="E16" s="764"/>
      <c r="F16" s="764"/>
      <c r="G16" s="764"/>
      <c r="H16" s="764"/>
      <c r="I16" s="764"/>
      <c r="J16" s="764"/>
      <c r="K16" s="764"/>
      <c r="L16" s="764"/>
      <c r="M16" s="764"/>
      <c r="N16" s="764"/>
      <c r="O16" s="764"/>
      <c r="P16" s="764"/>
      <c r="Q16" s="764"/>
      <c r="R16" s="764"/>
      <c r="S16" s="764"/>
      <c r="T16" s="764"/>
      <c r="U16" s="764"/>
      <c r="V16" s="764"/>
      <c r="W16" s="764"/>
      <c r="X16" s="764"/>
      <c r="Y16" s="764"/>
      <c r="Z16" s="764"/>
      <c r="AA16" s="764"/>
      <c r="AB16" s="764"/>
      <c r="AC16" s="73"/>
      <c r="AD16" s="74"/>
    </row>
    <row r="17" spans="1:41" s="76" customFormat="1" ht="37.5" customHeight="1" thickBot="1" x14ac:dyDescent="0.3">
      <c r="A17" s="428" t="s">
        <v>22</v>
      </c>
      <c r="B17" s="429"/>
      <c r="C17" s="765" t="s">
        <v>135</v>
      </c>
      <c r="D17" s="766"/>
      <c r="E17" s="766"/>
      <c r="F17" s="766"/>
      <c r="G17" s="766"/>
      <c r="H17" s="766"/>
      <c r="I17" s="766"/>
      <c r="J17" s="766"/>
      <c r="K17" s="766"/>
      <c r="L17" s="766"/>
      <c r="M17" s="766"/>
      <c r="N17" s="766"/>
      <c r="O17" s="766"/>
      <c r="P17" s="766"/>
      <c r="Q17" s="767"/>
      <c r="R17" s="423" t="s">
        <v>24</v>
      </c>
      <c r="S17" s="427"/>
      <c r="T17" s="427"/>
      <c r="U17" s="427"/>
      <c r="V17" s="424"/>
      <c r="W17" s="425">
        <v>0.2</v>
      </c>
      <c r="X17" s="426"/>
      <c r="Y17" s="423" t="s">
        <v>25</v>
      </c>
      <c r="Z17" s="427"/>
      <c r="AA17" s="427"/>
      <c r="AB17" s="424"/>
      <c r="AC17" s="469">
        <v>0.06</v>
      </c>
      <c r="AD17" s="470"/>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23" t="s">
        <v>26</v>
      </c>
      <c r="B19" s="427"/>
      <c r="C19" s="427"/>
      <c r="D19" s="427"/>
      <c r="E19" s="427"/>
      <c r="F19" s="427"/>
      <c r="G19" s="427"/>
      <c r="H19" s="427"/>
      <c r="I19" s="427"/>
      <c r="J19" s="427"/>
      <c r="K19" s="427"/>
      <c r="L19" s="427"/>
      <c r="M19" s="427"/>
      <c r="N19" s="427"/>
      <c r="O19" s="427"/>
      <c r="P19" s="427"/>
      <c r="Q19" s="427"/>
      <c r="R19" s="427"/>
      <c r="S19" s="427"/>
      <c r="T19" s="427"/>
      <c r="U19" s="427"/>
      <c r="V19" s="427"/>
      <c r="W19" s="427"/>
      <c r="X19" s="427"/>
      <c r="Y19" s="427"/>
      <c r="Z19" s="427"/>
      <c r="AA19" s="427"/>
      <c r="AB19" s="427"/>
      <c r="AC19" s="427"/>
      <c r="AD19" s="424"/>
      <c r="AE19" s="83"/>
      <c r="AF19" s="83"/>
    </row>
    <row r="20" spans="1:41" ht="32.1" customHeight="1" thickBot="1" x14ac:dyDescent="0.3">
      <c r="A20" s="82"/>
      <c r="B20" s="60"/>
      <c r="C20" s="423" t="s">
        <v>27</v>
      </c>
      <c r="D20" s="427"/>
      <c r="E20" s="427"/>
      <c r="F20" s="427"/>
      <c r="G20" s="427"/>
      <c r="H20" s="427"/>
      <c r="I20" s="427"/>
      <c r="J20" s="427"/>
      <c r="K20" s="427"/>
      <c r="L20" s="427"/>
      <c r="M20" s="427"/>
      <c r="N20" s="427"/>
      <c r="O20" s="427"/>
      <c r="P20" s="424"/>
      <c r="Q20" s="423" t="s">
        <v>28</v>
      </c>
      <c r="R20" s="427"/>
      <c r="S20" s="427"/>
      <c r="T20" s="427"/>
      <c r="U20" s="427"/>
      <c r="V20" s="427"/>
      <c r="W20" s="427"/>
      <c r="X20" s="427"/>
      <c r="Y20" s="427"/>
      <c r="Z20" s="427"/>
      <c r="AA20" s="427"/>
      <c r="AB20" s="427"/>
      <c r="AC20" s="427"/>
      <c r="AD20" s="424"/>
      <c r="AE20" s="83"/>
      <c r="AF20" s="83"/>
    </row>
    <row r="21" spans="1:41" ht="32.1" customHeight="1" thickBot="1" x14ac:dyDescent="0.3">
      <c r="A21" s="59"/>
      <c r="B21" s="54"/>
      <c r="C21" s="167" t="s">
        <v>29</v>
      </c>
      <c r="D21" s="168" t="s">
        <v>30</v>
      </c>
      <c r="E21" s="168" t="s">
        <v>31</v>
      </c>
      <c r="F21" s="168" t="s">
        <v>8</v>
      </c>
      <c r="G21" s="168" t="s">
        <v>32</v>
      </c>
      <c r="H21" s="168" t="s">
        <v>33</v>
      </c>
      <c r="I21" s="168" t="s">
        <v>34</v>
      </c>
      <c r="J21" s="168" t="s">
        <v>35</v>
      </c>
      <c r="K21" s="168" t="s">
        <v>36</v>
      </c>
      <c r="L21" s="168" t="s">
        <v>37</v>
      </c>
      <c r="M21" s="168" t="s">
        <v>38</v>
      </c>
      <c r="N21" s="168" t="s">
        <v>39</v>
      </c>
      <c r="O21" s="168" t="s">
        <v>40</v>
      </c>
      <c r="P21" s="169" t="s">
        <v>41</v>
      </c>
      <c r="Q21" s="167" t="s">
        <v>29</v>
      </c>
      <c r="R21" s="168" t="s">
        <v>30</v>
      </c>
      <c r="S21" s="168" t="s">
        <v>31</v>
      </c>
      <c r="T21" s="168" t="s">
        <v>8</v>
      </c>
      <c r="U21" s="168" t="s">
        <v>32</v>
      </c>
      <c r="V21" s="168" t="s">
        <v>33</v>
      </c>
      <c r="W21" s="168" t="s">
        <v>34</v>
      </c>
      <c r="X21" s="168" t="s">
        <v>35</v>
      </c>
      <c r="Y21" s="168" t="s">
        <v>36</v>
      </c>
      <c r="Z21" s="168" t="s">
        <v>37</v>
      </c>
      <c r="AA21" s="168" t="s">
        <v>38</v>
      </c>
      <c r="AB21" s="168" t="s">
        <v>39</v>
      </c>
      <c r="AC21" s="168" t="s">
        <v>40</v>
      </c>
      <c r="AD21" s="169" t="s">
        <v>41</v>
      </c>
      <c r="AE21" s="3"/>
      <c r="AF21" s="3"/>
    </row>
    <row r="22" spans="1:41" ht="32.1" customHeight="1" x14ac:dyDescent="0.25">
      <c r="A22" s="511" t="s">
        <v>42</v>
      </c>
      <c r="B22" s="513"/>
      <c r="C22" s="157"/>
      <c r="D22" s="155"/>
      <c r="E22" s="155"/>
      <c r="F22" s="155"/>
      <c r="G22" s="155"/>
      <c r="H22" s="155"/>
      <c r="I22" s="155"/>
      <c r="J22" s="155"/>
      <c r="K22" s="155"/>
      <c r="L22" s="155"/>
      <c r="M22" s="155"/>
      <c r="N22" s="155"/>
      <c r="O22" s="155">
        <f>SUM(C22:N22)</f>
        <v>0</v>
      </c>
      <c r="P22" s="158"/>
      <c r="Q22" s="178">
        <v>229724920</v>
      </c>
      <c r="R22" s="179">
        <v>8537488</v>
      </c>
      <c r="S22" s="179">
        <v>0</v>
      </c>
      <c r="T22" s="179">
        <v>56668000</v>
      </c>
      <c r="U22" s="179">
        <v>0</v>
      </c>
      <c r="V22" s="179">
        <v>0</v>
      </c>
      <c r="W22" s="179">
        <v>0</v>
      </c>
      <c r="X22" s="179">
        <v>0</v>
      </c>
      <c r="Y22" s="179">
        <v>0</v>
      </c>
      <c r="Z22" s="179">
        <v>0</v>
      </c>
      <c r="AA22" s="179">
        <v>0</v>
      </c>
      <c r="AB22" s="179">
        <v>0</v>
      </c>
      <c r="AC22" s="155">
        <f>SUM(Q22:AB22)</f>
        <v>294930408</v>
      </c>
      <c r="AD22" s="161"/>
      <c r="AE22" s="3"/>
      <c r="AF22" s="3"/>
    </row>
    <row r="23" spans="1:41" ht="32.1" customHeight="1" x14ac:dyDescent="0.25">
      <c r="A23" s="741" t="s">
        <v>43</v>
      </c>
      <c r="B23" s="588"/>
      <c r="C23" s="152"/>
      <c r="D23" s="151"/>
      <c r="E23" s="151"/>
      <c r="F23" s="151"/>
      <c r="G23" s="151"/>
      <c r="H23" s="151"/>
      <c r="I23" s="151"/>
      <c r="J23" s="151"/>
      <c r="K23" s="151"/>
      <c r="L23" s="151"/>
      <c r="M23" s="151"/>
      <c r="N23" s="151"/>
      <c r="O23" s="151">
        <f>SUM(C23:N23)</f>
        <v>0</v>
      </c>
      <c r="P23" s="162" t="str">
        <f>IFERROR(O23/(SUMIF(C23:N23,"&gt;0",C22:N22))," ")</f>
        <v xml:space="preserve"> </v>
      </c>
      <c r="Q23" s="176">
        <f>181785424</f>
        <v>181785424</v>
      </c>
      <c r="R23" s="177">
        <f>227875864-Q23</f>
        <v>46090440</v>
      </c>
      <c r="S23" s="177">
        <f>226252867-Q23-R23</f>
        <v>-1622997</v>
      </c>
      <c r="T23" s="177">
        <f>224621347-Q23-R23-S23</f>
        <v>-1631520</v>
      </c>
      <c r="U23" s="177">
        <f>239686916-Q23-R23-S23-T23</f>
        <v>15065569</v>
      </c>
      <c r="V23" s="177"/>
      <c r="W23" s="177"/>
      <c r="X23" s="177"/>
      <c r="Y23" s="177"/>
      <c r="Z23" s="177"/>
      <c r="AA23" s="177"/>
      <c r="AB23" s="177"/>
      <c r="AC23" s="151">
        <f>SUM(Q23:AB23)</f>
        <v>239686916</v>
      </c>
      <c r="AD23" s="160">
        <f>AC23/AC22</f>
        <v>0.81268973798049338</v>
      </c>
      <c r="AE23" s="3"/>
      <c r="AF23" s="3"/>
    </row>
    <row r="24" spans="1:41" ht="32.1" customHeight="1" x14ac:dyDescent="0.25">
      <c r="A24" s="741" t="s">
        <v>44</v>
      </c>
      <c r="B24" s="588"/>
      <c r="C24" s="152"/>
      <c r="D24" s="151">
        <v>1214133</v>
      </c>
      <c r="E24" s="151"/>
      <c r="F24" s="151"/>
      <c r="G24" s="151"/>
      <c r="H24" s="151"/>
      <c r="I24" s="151"/>
      <c r="J24" s="151"/>
      <c r="K24" s="151"/>
      <c r="L24" s="151"/>
      <c r="M24" s="151"/>
      <c r="N24" s="151"/>
      <c r="O24" s="177">
        <f>SUM(C24:N24)</f>
        <v>1214133</v>
      </c>
      <c r="P24" s="156"/>
      <c r="Q24" s="176"/>
      <c r="R24" s="181">
        <v>11116766.16</v>
      </c>
      <c r="S24" s="180">
        <v>20815535.493333299</v>
      </c>
      <c r="T24" s="180">
        <v>20815535.493333299</v>
      </c>
      <c r="U24" s="180">
        <v>20815535.493333299</v>
      </c>
      <c r="V24" s="180">
        <v>20815535.493333299</v>
      </c>
      <c r="W24" s="181">
        <v>20815535.493333299</v>
      </c>
      <c r="X24" s="181">
        <v>32548327</v>
      </c>
      <c r="Y24" s="181">
        <v>32548327</v>
      </c>
      <c r="Z24" s="181">
        <v>32548327</v>
      </c>
      <c r="AA24" s="181">
        <v>32548327</v>
      </c>
      <c r="AB24" s="181">
        <v>49542656.673333302</v>
      </c>
      <c r="AC24" s="151">
        <f>SUM(Q24:AB24)</f>
        <v>294930408.29999977</v>
      </c>
      <c r="AD24" s="160"/>
      <c r="AE24" s="3"/>
      <c r="AF24" s="3"/>
    </row>
    <row r="25" spans="1:41" ht="32.1" customHeight="1" thickBot="1" x14ac:dyDescent="0.3">
      <c r="A25" s="514" t="s">
        <v>45</v>
      </c>
      <c r="B25" s="516"/>
      <c r="C25" s="153"/>
      <c r="D25" s="154">
        <v>1214133</v>
      </c>
      <c r="E25" s="154"/>
      <c r="F25" s="154"/>
      <c r="G25" s="154"/>
      <c r="H25" s="154"/>
      <c r="I25" s="154"/>
      <c r="J25" s="154"/>
      <c r="K25" s="154"/>
      <c r="L25" s="154"/>
      <c r="M25" s="154"/>
      <c r="N25" s="154"/>
      <c r="O25" s="154">
        <f>SUM(C25:N25)</f>
        <v>1214133</v>
      </c>
      <c r="P25" s="159">
        <f>IFERROR(O25/(SUMIF(C25:N25,"&gt;0",C24:N24))," ")</f>
        <v>1</v>
      </c>
      <c r="Q25" s="182"/>
      <c r="R25" s="183">
        <f>5710347</f>
        <v>5710347</v>
      </c>
      <c r="S25" s="183">
        <f>25278547-R25</f>
        <v>19568200</v>
      </c>
      <c r="T25" s="183">
        <f>45254627-R25-S25</f>
        <v>19976080</v>
      </c>
      <c r="U25" s="183">
        <f>65230707-R25-T25-S25</f>
        <v>19976080</v>
      </c>
      <c r="V25" s="183"/>
      <c r="W25" s="183"/>
      <c r="X25" s="183"/>
      <c r="Y25" s="183"/>
      <c r="Z25" s="183"/>
      <c r="AA25" s="183"/>
      <c r="AB25" s="183"/>
      <c r="AC25" s="154">
        <f>SUM(Q25:AB25)</f>
        <v>65230707</v>
      </c>
      <c r="AD25" s="276">
        <f>AC25/AC24</f>
        <v>0.22117321633938838</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50"/>
    </row>
    <row r="27" spans="1:41" ht="33.75" customHeight="1" x14ac:dyDescent="0.25">
      <c r="A27" s="738" t="s">
        <v>46</v>
      </c>
      <c r="B27" s="739"/>
      <c r="C27" s="739"/>
      <c r="D27" s="739"/>
      <c r="E27" s="739"/>
      <c r="F27" s="739"/>
      <c r="G27" s="739"/>
      <c r="H27" s="739"/>
      <c r="I27" s="739"/>
      <c r="J27" s="739"/>
      <c r="K27" s="739"/>
      <c r="L27" s="739"/>
      <c r="M27" s="739"/>
      <c r="N27" s="739"/>
      <c r="O27" s="739"/>
      <c r="P27" s="739"/>
      <c r="Q27" s="739"/>
      <c r="R27" s="739"/>
      <c r="S27" s="739"/>
      <c r="T27" s="739"/>
      <c r="U27" s="739"/>
      <c r="V27" s="739"/>
      <c r="W27" s="739"/>
      <c r="X27" s="739"/>
      <c r="Y27" s="739"/>
      <c r="Z27" s="739"/>
      <c r="AA27" s="739"/>
      <c r="AB27" s="739"/>
      <c r="AC27" s="739"/>
      <c r="AD27" s="740"/>
    </row>
    <row r="28" spans="1:41" ht="15" customHeight="1" x14ac:dyDescent="0.25">
      <c r="A28" s="459" t="s">
        <v>47</v>
      </c>
      <c r="B28" s="461" t="s">
        <v>48</v>
      </c>
      <c r="C28" s="462"/>
      <c r="D28" s="443" t="s">
        <v>49</v>
      </c>
      <c r="E28" s="465"/>
      <c r="F28" s="465"/>
      <c r="G28" s="465"/>
      <c r="H28" s="465"/>
      <c r="I28" s="465"/>
      <c r="J28" s="465"/>
      <c r="K28" s="465"/>
      <c r="L28" s="465"/>
      <c r="M28" s="465"/>
      <c r="N28" s="465"/>
      <c r="O28" s="466"/>
      <c r="P28" s="411" t="s">
        <v>40</v>
      </c>
      <c r="Q28" s="411" t="s">
        <v>50</v>
      </c>
      <c r="R28" s="411"/>
      <c r="S28" s="411"/>
      <c r="T28" s="411"/>
      <c r="U28" s="411"/>
      <c r="V28" s="411"/>
      <c r="W28" s="411"/>
      <c r="X28" s="411"/>
      <c r="Y28" s="411"/>
      <c r="Z28" s="411"/>
      <c r="AA28" s="411"/>
      <c r="AB28" s="411"/>
      <c r="AC28" s="411"/>
      <c r="AD28" s="467"/>
    </row>
    <row r="29" spans="1:41" ht="27" customHeight="1" x14ac:dyDescent="0.25">
      <c r="A29" s="460"/>
      <c r="B29" s="463"/>
      <c r="C29" s="464"/>
      <c r="D29" s="88" t="s">
        <v>29</v>
      </c>
      <c r="E29" s="88" t="s">
        <v>30</v>
      </c>
      <c r="F29" s="88" t="s">
        <v>31</v>
      </c>
      <c r="G29" s="88" t="s">
        <v>8</v>
      </c>
      <c r="H29" s="88" t="s">
        <v>32</v>
      </c>
      <c r="I29" s="88" t="s">
        <v>33</v>
      </c>
      <c r="J29" s="88" t="s">
        <v>34</v>
      </c>
      <c r="K29" s="88" t="s">
        <v>35</v>
      </c>
      <c r="L29" s="88" t="s">
        <v>36</v>
      </c>
      <c r="M29" s="88" t="s">
        <v>37</v>
      </c>
      <c r="N29" s="88" t="s">
        <v>38</v>
      </c>
      <c r="O29" s="88" t="s">
        <v>39</v>
      </c>
      <c r="P29" s="466"/>
      <c r="Q29" s="411"/>
      <c r="R29" s="411"/>
      <c r="S29" s="411"/>
      <c r="T29" s="411"/>
      <c r="U29" s="411"/>
      <c r="V29" s="411"/>
      <c r="W29" s="411"/>
      <c r="X29" s="411"/>
      <c r="Y29" s="411"/>
      <c r="Z29" s="411"/>
      <c r="AA29" s="411"/>
      <c r="AB29" s="411"/>
      <c r="AC29" s="411"/>
      <c r="AD29" s="467"/>
    </row>
    <row r="30" spans="1:41" ht="69.75" customHeight="1" thickBot="1" x14ac:dyDescent="0.3">
      <c r="A30" s="217" t="str">
        <f>C17</f>
        <v>Implementar 1 estrategia de fortalecimiento de capacidades  para el ejercicio del derecho a la participación de las mujeres</v>
      </c>
      <c r="B30" s="546"/>
      <c r="C30" s="547"/>
      <c r="D30" s="89"/>
      <c r="E30" s="89"/>
      <c r="F30" s="89"/>
      <c r="G30" s="89"/>
      <c r="H30" s="89"/>
      <c r="I30" s="89"/>
      <c r="J30" s="89"/>
      <c r="K30" s="89"/>
      <c r="L30" s="89"/>
      <c r="M30" s="89"/>
      <c r="N30" s="89"/>
      <c r="O30" s="89"/>
      <c r="P30" s="86">
        <f>SUM(D30:O30)</f>
        <v>0</v>
      </c>
      <c r="Q30" s="772" t="s">
        <v>103</v>
      </c>
      <c r="R30" s="772"/>
      <c r="S30" s="772"/>
      <c r="T30" s="772"/>
      <c r="U30" s="772"/>
      <c r="V30" s="772"/>
      <c r="W30" s="772"/>
      <c r="X30" s="772"/>
      <c r="Y30" s="772"/>
      <c r="Z30" s="772"/>
      <c r="AA30" s="772"/>
      <c r="AB30" s="772"/>
      <c r="AC30" s="772"/>
      <c r="AD30" s="773"/>
    </row>
    <row r="31" spans="1:41" ht="45" customHeight="1" thickBot="1" x14ac:dyDescent="0.3">
      <c r="A31" s="404" t="s">
        <v>52</v>
      </c>
      <c r="B31" s="405"/>
      <c r="C31" s="405"/>
      <c r="D31" s="405"/>
      <c r="E31" s="405"/>
      <c r="F31" s="405"/>
      <c r="G31" s="405"/>
      <c r="H31" s="405"/>
      <c r="I31" s="405"/>
      <c r="J31" s="405"/>
      <c r="K31" s="405"/>
      <c r="L31" s="405"/>
      <c r="M31" s="405"/>
      <c r="N31" s="405"/>
      <c r="O31" s="405"/>
      <c r="P31" s="405"/>
      <c r="Q31" s="405"/>
      <c r="R31" s="405"/>
      <c r="S31" s="405"/>
      <c r="T31" s="405"/>
      <c r="U31" s="405"/>
      <c r="V31" s="405"/>
      <c r="W31" s="405"/>
      <c r="X31" s="405"/>
      <c r="Y31" s="405"/>
      <c r="Z31" s="405"/>
      <c r="AA31" s="405"/>
      <c r="AB31" s="405"/>
      <c r="AC31" s="405"/>
      <c r="AD31" s="734"/>
    </row>
    <row r="32" spans="1:41" ht="23.1" customHeight="1" x14ac:dyDescent="0.25">
      <c r="A32" s="408" t="s">
        <v>53</v>
      </c>
      <c r="B32" s="410" t="s">
        <v>54</v>
      </c>
      <c r="C32" s="468" t="s">
        <v>48</v>
      </c>
      <c r="D32" s="408" t="s">
        <v>55</v>
      </c>
      <c r="E32" s="410"/>
      <c r="F32" s="410"/>
      <c r="G32" s="410"/>
      <c r="H32" s="410"/>
      <c r="I32" s="410"/>
      <c r="J32" s="410"/>
      <c r="K32" s="410"/>
      <c r="L32" s="410"/>
      <c r="M32" s="410"/>
      <c r="N32" s="410"/>
      <c r="O32" s="410"/>
      <c r="P32" s="491"/>
      <c r="Q32" s="771" t="s">
        <v>56</v>
      </c>
      <c r="R32" s="410"/>
      <c r="S32" s="410"/>
      <c r="T32" s="410"/>
      <c r="U32" s="410"/>
      <c r="V32" s="410"/>
      <c r="W32" s="410"/>
      <c r="X32" s="410"/>
      <c r="Y32" s="410"/>
      <c r="Z32" s="410"/>
      <c r="AA32" s="410"/>
      <c r="AB32" s="410"/>
      <c r="AC32" s="410"/>
      <c r="AD32" s="491"/>
      <c r="AG32" s="87"/>
      <c r="AH32" s="87"/>
      <c r="AI32" s="87"/>
      <c r="AJ32" s="87"/>
      <c r="AK32" s="87"/>
      <c r="AL32" s="87"/>
      <c r="AM32" s="87"/>
      <c r="AN32" s="87"/>
      <c r="AO32" s="87"/>
    </row>
    <row r="33" spans="1:41" ht="27" customHeight="1" x14ac:dyDescent="0.25">
      <c r="A33" s="409"/>
      <c r="B33" s="411"/>
      <c r="C33" s="737"/>
      <c r="D33" s="272" t="s">
        <v>29</v>
      </c>
      <c r="E33" s="88" t="s">
        <v>30</v>
      </c>
      <c r="F33" s="88" t="s">
        <v>31</v>
      </c>
      <c r="G33" s="88" t="s">
        <v>8</v>
      </c>
      <c r="H33" s="88" t="s">
        <v>32</v>
      </c>
      <c r="I33" s="88" t="s">
        <v>33</v>
      </c>
      <c r="J33" s="88" t="s">
        <v>34</v>
      </c>
      <c r="K33" s="88" t="s">
        <v>35</v>
      </c>
      <c r="L33" s="88" t="s">
        <v>36</v>
      </c>
      <c r="M33" s="88" t="s">
        <v>37</v>
      </c>
      <c r="N33" s="88" t="s">
        <v>38</v>
      </c>
      <c r="O33" s="88" t="s">
        <v>39</v>
      </c>
      <c r="P33" s="271" t="s">
        <v>40</v>
      </c>
      <c r="Q33" s="466" t="s">
        <v>57</v>
      </c>
      <c r="R33" s="411"/>
      <c r="S33" s="411"/>
      <c r="T33" s="411" t="s">
        <v>58</v>
      </c>
      <c r="U33" s="411"/>
      <c r="V33" s="411"/>
      <c r="W33" s="463" t="s">
        <v>59</v>
      </c>
      <c r="X33" s="492"/>
      <c r="Y33" s="492"/>
      <c r="Z33" s="464"/>
      <c r="AA33" s="463" t="s">
        <v>60</v>
      </c>
      <c r="AB33" s="492"/>
      <c r="AC33" s="492"/>
      <c r="AD33" s="493"/>
      <c r="AG33" s="87"/>
      <c r="AH33" s="87"/>
      <c r="AI33" s="87"/>
      <c r="AJ33" s="87"/>
      <c r="AK33" s="87"/>
      <c r="AL33" s="87"/>
      <c r="AM33" s="87"/>
      <c r="AN33" s="87"/>
      <c r="AO33" s="87"/>
    </row>
    <row r="34" spans="1:41" ht="48.75" customHeight="1" x14ac:dyDescent="0.25">
      <c r="A34" s="770" t="str">
        <f>C17</f>
        <v>Implementar 1 estrategia de fortalecimiento de capacidades  para el ejercicio del derecho a la participación de las mujeres</v>
      </c>
      <c r="B34" s="477">
        <v>0.06</v>
      </c>
      <c r="C34" s="265" t="s">
        <v>61</v>
      </c>
      <c r="D34" s="273">
        <f>D69</f>
        <v>0</v>
      </c>
      <c r="E34" s="230">
        <f t="shared" ref="E34:O34" si="0">E69</f>
        <v>2.0000000000000011E-2</v>
      </c>
      <c r="F34" s="230">
        <f t="shared" si="0"/>
        <v>1.8000000000000002E-2</v>
      </c>
      <c r="G34" s="230">
        <f t="shared" si="0"/>
        <v>1.8000000000000002E-2</v>
      </c>
      <c r="H34" s="230">
        <f t="shared" si="0"/>
        <v>1.8000000000000002E-2</v>
      </c>
      <c r="I34" s="230">
        <f t="shared" si="0"/>
        <v>1.8000000000000002E-2</v>
      </c>
      <c r="J34" s="230">
        <f t="shared" si="0"/>
        <v>1.8000000000000002E-2</v>
      </c>
      <c r="K34" s="230">
        <f t="shared" si="0"/>
        <v>1.8000000000000002E-2</v>
      </c>
      <c r="L34" s="230">
        <f t="shared" si="0"/>
        <v>1.8000000000000002E-2</v>
      </c>
      <c r="M34" s="230">
        <f t="shared" si="0"/>
        <v>1.8000000000000002E-2</v>
      </c>
      <c r="N34" s="230">
        <f t="shared" si="0"/>
        <v>1.8000000000000002E-2</v>
      </c>
      <c r="O34" s="230">
        <f t="shared" si="0"/>
        <v>1.8000000000000002E-2</v>
      </c>
      <c r="P34" s="234">
        <f>SUM(D34:O34)</f>
        <v>0.20000000000000007</v>
      </c>
      <c r="Q34" s="754" t="s">
        <v>532</v>
      </c>
      <c r="R34" s="754"/>
      <c r="S34" s="755"/>
      <c r="T34" s="748" t="s">
        <v>533</v>
      </c>
      <c r="U34" s="749"/>
      <c r="V34" s="749"/>
      <c r="W34" s="748"/>
      <c r="X34" s="749"/>
      <c r="Y34" s="749"/>
      <c r="Z34" s="750"/>
      <c r="AA34" s="748" t="s">
        <v>136</v>
      </c>
      <c r="AB34" s="749"/>
      <c r="AC34" s="749"/>
      <c r="AD34" s="750"/>
      <c r="AG34" s="87"/>
      <c r="AH34" s="87"/>
      <c r="AI34" s="87"/>
      <c r="AJ34" s="87"/>
      <c r="AK34" s="87"/>
      <c r="AL34" s="87"/>
      <c r="AM34" s="87"/>
      <c r="AN34" s="87"/>
      <c r="AO34" s="87"/>
    </row>
    <row r="35" spans="1:41" ht="48.75" customHeight="1" thickBot="1" x14ac:dyDescent="0.3">
      <c r="A35" s="732"/>
      <c r="B35" s="478"/>
      <c r="C35" s="266" t="s">
        <v>62</v>
      </c>
      <c r="D35" s="267">
        <f>D66</f>
        <v>0</v>
      </c>
      <c r="E35" s="224">
        <f t="shared" ref="E35:O35" si="1">E66</f>
        <v>2.0000000000000011E-2</v>
      </c>
      <c r="F35" s="224">
        <f t="shared" si="1"/>
        <v>1.8000000000000002E-2</v>
      </c>
      <c r="G35" s="224">
        <f t="shared" si="1"/>
        <v>1.8000000000000002E-2</v>
      </c>
      <c r="H35" s="224">
        <f t="shared" si="1"/>
        <v>1.8000000000000002E-2</v>
      </c>
      <c r="I35" s="224">
        <f t="shared" si="1"/>
        <v>0</v>
      </c>
      <c r="J35" s="224">
        <f t="shared" si="1"/>
        <v>0</v>
      </c>
      <c r="K35" s="224">
        <f t="shared" si="1"/>
        <v>0</v>
      </c>
      <c r="L35" s="224">
        <f t="shared" si="1"/>
        <v>0</v>
      </c>
      <c r="M35" s="224">
        <f t="shared" si="1"/>
        <v>0</v>
      </c>
      <c r="N35" s="224">
        <f t="shared" si="1"/>
        <v>0</v>
      </c>
      <c r="O35" s="224">
        <f t="shared" si="1"/>
        <v>0</v>
      </c>
      <c r="P35" s="235">
        <f>SUM(D35:O35)</f>
        <v>7.400000000000001E-2</v>
      </c>
      <c r="Q35" s="756"/>
      <c r="R35" s="756"/>
      <c r="S35" s="757"/>
      <c r="T35" s="751"/>
      <c r="U35" s="752"/>
      <c r="V35" s="752"/>
      <c r="W35" s="751"/>
      <c r="X35" s="752"/>
      <c r="Y35" s="752"/>
      <c r="Z35" s="753"/>
      <c r="AA35" s="751"/>
      <c r="AB35" s="752"/>
      <c r="AC35" s="752"/>
      <c r="AD35" s="753"/>
      <c r="AE35" s="49"/>
      <c r="AG35" s="87"/>
      <c r="AH35" s="87"/>
      <c r="AI35" s="87"/>
      <c r="AJ35" s="87"/>
      <c r="AK35" s="87"/>
      <c r="AL35" s="87"/>
      <c r="AM35" s="87"/>
      <c r="AN35" s="87"/>
      <c r="AO35" s="87"/>
    </row>
    <row r="36" spans="1:41" ht="26.1" customHeight="1" x14ac:dyDescent="0.25">
      <c r="A36" s="760" t="s">
        <v>63</v>
      </c>
      <c r="B36" s="559" t="s">
        <v>64</v>
      </c>
      <c r="C36" s="408" t="s">
        <v>65</v>
      </c>
      <c r="D36" s="410"/>
      <c r="E36" s="410"/>
      <c r="F36" s="410"/>
      <c r="G36" s="410"/>
      <c r="H36" s="410"/>
      <c r="I36" s="410"/>
      <c r="J36" s="410"/>
      <c r="K36" s="410"/>
      <c r="L36" s="410"/>
      <c r="M36" s="410"/>
      <c r="N36" s="410"/>
      <c r="O36" s="410"/>
      <c r="P36" s="491"/>
      <c r="Q36" s="512" t="s">
        <v>66</v>
      </c>
      <c r="R36" s="512"/>
      <c r="S36" s="512"/>
      <c r="T36" s="512"/>
      <c r="U36" s="512"/>
      <c r="V36" s="512"/>
      <c r="W36" s="512"/>
      <c r="X36" s="512"/>
      <c r="Y36" s="512"/>
      <c r="Z36" s="512"/>
      <c r="AA36" s="512"/>
      <c r="AB36" s="512"/>
      <c r="AC36" s="512"/>
      <c r="AD36" s="513"/>
      <c r="AG36" s="87"/>
      <c r="AH36" s="87"/>
      <c r="AI36" s="87"/>
      <c r="AJ36" s="87"/>
      <c r="AK36" s="87"/>
      <c r="AL36" s="87"/>
      <c r="AM36" s="87"/>
      <c r="AN36" s="87"/>
      <c r="AO36" s="87"/>
    </row>
    <row r="37" spans="1:41" ht="26.1" customHeight="1" thickBot="1" x14ac:dyDescent="0.3">
      <c r="A37" s="761"/>
      <c r="B37" s="447"/>
      <c r="C37" s="272" t="s">
        <v>67</v>
      </c>
      <c r="D37" s="88" t="s">
        <v>68</v>
      </c>
      <c r="E37" s="88" t="s">
        <v>69</v>
      </c>
      <c r="F37" s="88" t="s">
        <v>70</v>
      </c>
      <c r="G37" s="88" t="s">
        <v>71</v>
      </c>
      <c r="H37" s="88" t="s">
        <v>72</v>
      </c>
      <c r="I37" s="88" t="s">
        <v>73</v>
      </c>
      <c r="J37" s="88" t="s">
        <v>74</v>
      </c>
      <c r="K37" s="88" t="s">
        <v>75</v>
      </c>
      <c r="L37" s="88" t="s">
        <v>76</v>
      </c>
      <c r="M37" s="88" t="s">
        <v>77</v>
      </c>
      <c r="N37" s="88" t="s">
        <v>78</v>
      </c>
      <c r="O37" s="88" t="s">
        <v>79</v>
      </c>
      <c r="P37" s="271" t="s">
        <v>80</v>
      </c>
      <c r="Q37" s="758" t="s">
        <v>81</v>
      </c>
      <c r="R37" s="758"/>
      <c r="S37" s="758"/>
      <c r="T37" s="758"/>
      <c r="U37" s="758"/>
      <c r="V37" s="758"/>
      <c r="W37" s="758"/>
      <c r="X37" s="758"/>
      <c r="Y37" s="758"/>
      <c r="Z37" s="758"/>
      <c r="AA37" s="758"/>
      <c r="AB37" s="758"/>
      <c r="AC37" s="758"/>
      <c r="AD37" s="759"/>
      <c r="AG37" s="94"/>
      <c r="AH37" s="94"/>
      <c r="AI37" s="94"/>
      <c r="AJ37" s="94"/>
      <c r="AK37" s="94"/>
      <c r="AL37" s="94"/>
      <c r="AM37" s="94"/>
      <c r="AN37" s="94"/>
      <c r="AO37" s="94"/>
    </row>
    <row r="38" spans="1:41" ht="159" customHeight="1" x14ac:dyDescent="0.25">
      <c r="A38" s="348" t="s">
        <v>137</v>
      </c>
      <c r="B38" s="762">
        <v>0.06</v>
      </c>
      <c r="C38" s="244" t="s">
        <v>61</v>
      </c>
      <c r="D38" s="103">
        <v>0</v>
      </c>
      <c r="E38" s="103">
        <v>0.1</v>
      </c>
      <c r="F38" s="103">
        <v>0.09</v>
      </c>
      <c r="G38" s="103">
        <v>0.09</v>
      </c>
      <c r="H38" s="103">
        <v>0.09</v>
      </c>
      <c r="I38" s="103">
        <v>0.09</v>
      </c>
      <c r="J38" s="103">
        <v>0.09</v>
      </c>
      <c r="K38" s="103">
        <v>0.09</v>
      </c>
      <c r="L38" s="103">
        <v>0.09</v>
      </c>
      <c r="M38" s="103">
        <v>0.09</v>
      </c>
      <c r="N38" s="103">
        <v>0.09</v>
      </c>
      <c r="O38" s="103">
        <v>0.09</v>
      </c>
      <c r="P38" s="236">
        <f>SUM(D38:O38)</f>
        <v>0.99999999999999978</v>
      </c>
      <c r="Q38" s="742" t="s">
        <v>531</v>
      </c>
      <c r="R38" s="743"/>
      <c r="S38" s="743"/>
      <c r="T38" s="743"/>
      <c r="U38" s="743"/>
      <c r="V38" s="743"/>
      <c r="W38" s="743"/>
      <c r="X38" s="743"/>
      <c r="Y38" s="743"/>
      <c r="Z38" s="743"/>
      <c r="AA38" s="743"/>
      <c r="AB38" s="743"/>
      <c r="AC38" s="743"/>
      <c r="AD38" s="744"/>
      <c r="AE38" s="97"/>
      <c r="AG38" s="98"/>
      <c r="AH38" s="98"/>
      <c r="AI38" s="98"/>
      <c r="AJ38" s="98"/>
      <c r="AK38" s="98"/>
      <c r="AL38" s="98"/>
      <c r="AM38" s="98"/>
      <c r="AN38" s="98"/>
      <c r="AO38" s="98"/>
    </row>
    <row r="39" spans="1:41" ht="115.9" customHeight="1" thickBot="1" x14ac:dyDescent="0.3">
      <c r="A39" s="675"/>
      <c r="B39" s="763"/>
      <c r="C39" s="245" t="s">
        <v>62</v>
      </c>
      <c r="D39" s="105">
        <v>0</v>
      </c>
      <c r="E39" s="105">
        <v>0.1</v>
      </c>
      <c r="F39" s="105">
        <v>0.09</v>
      </c>
      <c r="G39" s="105">
        <v>0.09</v>
      </c>
      <c r="H39" s="105">
        <v>0.09</v>
      </c>
      <c r="I39" s="105"/>
      <c r="J39" s="105"/>
      <c r="K39" s="105"/>
      <c r="L39" s="106"/>
      <c r="M39" s="106"/>
      <c r="N39" s="106"/>
      <c r="O39" s="106"/>
      <c r="P39" s="238">
        <f>SUM(D39:O39)</f>
        <v>0.37</v>
      </c>
      <c r="Q39" s="745"/>
      <c r="R39" s="746"/>
      <c r="S39" s="746"/>
      <c r="T39" s="746"/>
      <c r="U39" s="746"/>
      <c r="V39" s="746"/>
      <c r="W39" s="746"/>
      <c r="X39" s="746"/>
      <c r="Y39" s="746"/>
      <c r="Z39" s="746"/>
      <c r="AA39" s="746"/>
      <c r="AB39" s="746"/>
      <c r="AC39" s="746"/>
      <c r="AD39" s="747"/>
      <c r="AE39" s="97"/>
    </row>
    <row r="40" spans="1:41" x14ac:dyDescent="0.25">
      <c r="A40" s="259" t="s">
        <v>88</v>
      </c>
      <c r="Q40" s="259"/>
      <c r="R40" s="259"/>
      <c r="S40" s="259"/>
      <c r="T40" s="259"/>
      <c r="U40" s="259"/>
      <c r="V40" s="259"/>
      <c r="W40" s="259"/>
      <c r="X40" s="259"/>
      <c r="Y40" s="259"/>
      <c r="Z40" s="259"/>
      <c r="AA40" s="259"/>
      <c r="AB40" s="259"/>
      <c r="AC40" s="259"/>
      <c r="AD40" s="259"/>
    </row>
    <row r="41" spans="1:41" x14ac:dyDescent="0.25">
      <c r="A41" s="259"/>
      <c r="Q41" s="259"/>
      <c r="R41" s="259"/>
      <c r="S41" s="259"/>
      <c r="T41" s="259"/>
      <c r="U41" s="259"/>
      <c r="V41" s="259"/>
      <c r="W41" s="259"/>
      <c r="X41" s="259"/>
      <c r="Y41" s="259"/>
      <c r="Z41" s="259"/>
      <c r="AA41" s="259"/>
      <c r="AB41" s="259"/>
      <c r="AC41" s="259"/>
      <c r="AD41" s="259"/>
    </row>
    <row r="42" spans="1:41" x14ac:dyDescent="0.25">
      <c r="A42" s="259"/>
      <c r="Q42" s="259"/>
      <c r="R42" s="259"/>
      <c r="S42" s="259"/>
      <c r="T42" s="259"/>
      <c r="U42" s="259"/>
      <c r="V42" s="259"/>
      <c r="W42" s="259"/>
      <c r="X42" s="259"/>
      <c r="Y42" s="259"/>
      <c r="Z42" s="259"/>
      <c r="AA42" s="259"/>
      <c r="AB42" s="259"/>
      <c r="AC42" s="259"/>
      <c r="AD42" s="259"/>
    </row>
    <row r="43" spans="1:41" x14ac:dyDescent="0.25">
      <c r="A43" s="259"/>
      <c r="Q43" s="259"/>
      <c r="R43" s="259"/>
      <c r="S43" s="259"/>
      <c r="T43" s="259"/>
      <c r="U43" s="259"/>
      <c r="V43" s="259"/>
      <c r="W43" s="259"/>
      <c r="X43" s="259"/>
      <c r="Y43" s="259"/>
      <c r="Z43" s="259"/>
      <c r="AA43" s="259"/>
      <c r="AB43" s="259"/>
      <c r="AC43" s="259"/>
      <c r="AD43" s="259"/>
    </row>
    <row r="44" spans="1:41" x14ac:dyDescent="0.25">
      <c r="A44" s="259"/>
      <c r="Q44" s="259"/>
      <c r="R44" s="259"/>
      <c r="S44" s="259"/>
      <c r="T44" s="259"/>
      <c r="U44" s="259"/>
      <c r="V44" s="259"/>
      <c r="W44" s="259"/>
      <c r="X44" s="259"/>
      <c r="Y44" s="259"/>
      <c r="Z44" s="259"/>
      <c r="AA44" s="259"/>
      <c r="AB44" s="259"/>
      <c r="AC44" s="259"/>
      <c r="AD44" s="259"/>
    </row>
    <row r="45" spans="1:41" x14ac:dyDescent="0.25">
      <c r="A45" s="259"/>
      <c r="Q45" s="259"/>
      <c r="R45" s="259"/>
      <c r="S45" s="259"/>
      <c r="T45" s="259"/>
      <c r="U45" s="259"/>
      <c r="V45" s="259"/>
      <c r="W45" s="259"/>
      <c r="X45" s="259"/>
      <c r="Y45" s="259"/>
      <c r="Z45" s="259"/>
      <c r="AA45" s="259"/>
      <c r="AB45" s="259"/>
      <c r="AC45" s="259"/>
      <c r="AD45" s="259"/>
    </row>
    <row r="46" spans="1:41" x14ac:dyDescent="0.25">
      <c r="A46" s="259"/>
      <c r="Q46" s="259"/>
      <c r="R46" s="259"/>
      <c r="S46" s="259"/>
      <c r="T46" s="259"/>
      <c r="U46" s="259"/>
      <c r="V46" s="259"/>
      <c r="W46" s="259"/>
      <c r="X46" s="259"/>
      <c r="Y46" s="259"/>
      <c r="Z46" s="259"/>
      <c r="AA46" s="259"/>
      <c r="AB46" s="259"/>
      <c r="AC46" s="259"/>
      <c r="AD46" s="259"/>
    </row>
    <row r="47" spans="1:41" x14ac:dyDescent="0.25">
      <c r="A47" s="259"/>
      <c r="Q47" s="259"/>
      <c r="R47" s="259"/>
      <c r="S47" s="259"/>
      <c r="T47" s="259"/>
      <c r="U47" s="259"/>
      <c r="V47" s="259"/>
      <c r="W47" s="259"/>
      <c r="X47" s="259"/>
      <c r="Y47" s="259"/>
      <c r="Z47" s="259"/>
      <c r="AA47" s="259"/>
      <c r="AB47" s="259"/>
      <c r="AC47" s="259"/>
      <c r="AD47" s="259"/>
    </row>
    <row r="48" spans="1:41" x14ac:dyDescent="0.25">
      <c r="A48" s="259"/>
      <c r="Q48" s="259"/>
      <c r="R48" s="259"/>
      <c r="S48" s="259"/>
      <c r="T48" s="259"/>
      <c r="U48" s="259"/>
      <c r="V48" s="259"/>
      <c r="W48" s="259"/>
      <c r="X48" s="259"/>
      <c r="Y48" s="259"/>
      <c r="Z48" s="259"/>
      <c r="AA48" s="259"/>
      <c r="AB48" s="259"/>
      <c r="AC48" s="259"/>
      <c r="AD48" s="259"/>
    </row>
    <row r="49" spans="1:30" x14ac:dyDescent="0.25">
      <c r="A49" s="259"/>
      <c r="Q49" s="259"/>
      <c r="R49" s="259"/>
      <c r="S49" s="259"/>
      <c r="T49" s="259"/>
      <c r="U49" s="259"/>
      <c r="V49" s="259"/>
      <c r="W49" s="259"/>
      <c r="X49" s="259"/>
      <c r="Y49" s="259"/>
      <c r="Z49" s="259"/>
      <c r="AA49" s="259"/>
      <c r="AB49" s="259"/>
      <c r="AC49" s="259"/>
      <c r="AD49" s="259"/>
    </row>
    <row r="50" spans="1:30" x14ac:dyDescent="0.25">
      <c r="A50" s="259"/>
      <c r="Q50" s="259"/>
      <c r="R50" s="259"/>
      <c r="S50" s="259"/>
      <c r="T50" s="259"/>
      <c r="U50" s="259"/>
      <c r="V50" s="259"/>
      <c r="W50" s="259"/>
      <c r="X50" s="259"/>
      <c r="Y50" s="259"/>
      <c r="Z50" s="259"/>
      <c r="AA50" s="259"/>
      <c r="AB50" s="259"/>
      <c r="AC50" s="259"/>
      <c r="AD50" s="259"/>
    </row>
    <row r="51" spans="1:30" x14ac:dyDescent="0.25">
      <c r="A51" s="259"/>
      <c r="Q51" s="259"/>
      <c r="R51" s="259"/>
      <c r="S51" s="259"/>
      <c r="T51" s="259"/>
      <c r="U51" s="259"/>
      <c r="V51" s="259"/>
      <c r="W51" s="259"/>
      <c r="X51" s="259"/>
      <c r="Y51" s="259"/>
      <c r="Z51" s="259"/>
      <c r="AA51" s="259"/>
      <c r="AB51" s="259"/>
      <c r="AC51" s="259"/>
      <c r="AD51" s="259"/>
    </row>
    <row r="52" spans="1:30" x14ac:dyDescent="0.25">
      <c r="A52" s="259"/>
      <c r="Q52" s="259"/>
      <c r="R52" s="259"/>
      <c r="S52" s="259"/>
      <c r="T52" s="259"/>
      <c r="U52" s="259"/>
      <c r="V52" s="259"/>
      <c r="W52" s="259"/>
      <c r="X52" s="259"/>
      <c r="Y52" s="259"/>
      <c r="Z52" s="259"/>
      <c r="AA52" s="259"/>
      <c r="AB52" s="259"/>
      <c r="AC52" s="259"/>
      <c r="AD52" s="259"/>
    </row>
    <row r="53" spans="1:30" x14ac:dyDescent="0.25">
      <c r="A53" s="259"/>
      <c r="Q53" s="259"/>
      <c r="R53" s="259"/>
      <c r="S53" s="259"/>
      <c r="T53" s="259"/>
      <c r="U53" s="259"/>
      <c r="V53" s="259"/>
      <c r="W53" s="259"/>
      <c r="X53" s="259"/>
      <c r="Y53" s="259"/>
      <c r="Z53" s="259"/>
      <c r="AA53" s="259"/>
      <c r="AB53" s="259"/>
      <c r="AC53" s="259"/>
      <c r="AD53" s="259"/>
    </row>
    <row r="54" spans="1:30" x14ac:dyDescent="0.25">
      <c r="A54" s="259"/>
      <c r="Q54" s="259"/>
      <c r="R54" s="259"/>
      <c r="S54" s="259"/>
      <c r="T54" s="259"/>
      <c r="U54" s="259"/>
      <c r="V54" s="259"/>
      <c r="W54" s="259"/>
      <c r="X54" s="259"/>
      <c r="Y54" s="259"/>
      <c r="Z54" s="259"/>
      <c r="AA54" s="259"/>
      <c r="AB54" s="259"/>
      <c r="AC54" s="259"/>
      <c r="AD54" s="259"/>
    </row>
    <row r="55" spans="1:30" ht="15" customHeight="1" x14ac:dyDescent="0.25">
      <c r="A55" s="338" t="s">
        <v>89</v>
      </c>
      <c r="B55" s="340" t="s">
        <v>64</v>
      </c>
      <c r="C55" s="342" t="s">
        <v>65</v>
      </c>
      <c r="D55" s="343"/>
      <c r="E55" s="343"/>
      <c r="F55" s="343"/>
      <c r="G55" s="343"/>
      <c r="H55" s="343"/>
      <c r="I55" s="343"/>
      <c r="J55" s="343"/>
      <c r="K55" s="343"/>
      <c r="L55" s="343"/>
      <c r="M55" s="343"/>
      <c r="N55" s="343"/>
      <c r="O55" s="343"/>
      <c r="P55" s="344"/>
      <c r="Q55" s="260"/>
      <c r="R55" s="260"/>
      <c r="S55" s="259"/>
      <c r="T55" s="259"/>
      <c r="U55" s="259"/>
      <c r="V55" s="259"/>
      <c r="W55" s="259"/>
      <c r="X55" s="259"/>
      <c r="Y55" s="259"/>
      <c r="Z55" s="259"/>
      <c r="AA55" s="259"/>
      <c r="AB55" s="259"/>
      <c r="AC55" s="259"/>
      <c r="AD55" s="259"/>
    </row>
    <row r="56" spans="1:30" ht="21" x14ac:dyDescent="0.25">
      <c r="A56" s="339"/>
      <c r="B56" s="341"/>
      <c r="C56" s="216" t="s">
        <v>67</v>
      </c>
      <c r="D56" s="216" t="s">
        <v>68</v>
      </c>
      <c r="E56" s="216" t="s">
        <v>69</v>
      </c>
      <c r="F56" s="216" t="s">
        <v>70</v>
      </c>
      <c r="G56" s="216" t="s">
        <v>71</v>
      </c>
      <c r="H56" s="216" t="s">
        <v>72</v>
      </c>
      <c r="I56" s="216" t="s">
        <v>73</v>
      </c>
      <c r="J56" s="216" t="s">
        <v>74</v>
      </c>
      <c r="K56" s="216" t="s">
        <v>75</v>
      </c>
      <c r="L56" s="216" t="s">
        <v>76</v>
      </c>
      <c r="M56" s="216" t="s">
        <v>77</v>
      </c>
      <c r="N56" s="216" t="s">
        <v>78</v>
      </c>
      <c r="O56" s="216" t="s">
        <v>79</v>
      </c>
      <c r="P56" s="216" t="s">
        <v>80</v>
      </c>
      <c r="Q56" s="260"/>
      <c r="R56" s="260"/>
      <c r="S56" s="259"/>
      <c r="T56" s="259"/>
      <c r="U56" s="259"/>
      <c r="V56" s="259"/>
      <c r="W56" s="259"/>
      <c r="X56" s="259"/>
      <c r="Y56" s="259"/>
      <c r="Z56" s="259"/>
      <c r="AA56" s="259"/>
      <c r="AB56" s="259"/>
      <c r="AC56" s="259"/>
      <c r="AD56" s="259"/>
    </row>
    <row r="57" spans="1:30" ht="15" customHeight="1" x14ac:dyDescent="0.25">
      <c r="A57" s="326" t="str">
        <f>A38</f>
        <v>24. Realizar la implementación de la estrategia de fortalecimiento de capacidades para el ejercicio del derecho a la participación de las mujeres en el Distrito.</v>
      </c>
      <c r="B57" s="345">
        <f>B38</f>
        <v>0.06</v>
      </c>
      <c r="C57" s="215" t="s">
        <v>61</v>
      </c>
      <c r="D57" s="214">
        <f>D38*$B$38/$P$38</f>
        <v>0</v>
      </c>
      <c r="E57" s="214">
        <f t="shared" ref="D57:O58" si="2">E38*$B$38/$P$38</f>
        <v>6.0000000000000019E-3</v>
      </c>
      <c r="F57" s="214">
        <f t="shared" si="2"/>
        <v>5.4000000000000003E-3</v>
      </c>
      <c r="G57" s="214">
        <f t="shared" si="2"/>
        <v>5.4000000000000003E-3</v>
      </c>
      <c r="H57" s="214">
        <f t="shared" si="2"/>
        <v>5.4000000000000003E-3</v>
      </c>
      <c r="I57" s="214">
        <f t="shared" si="2"/>
        <v>5.4000000000000003E-3</v>
      </c>
      <c r="J57" s="214">
        <f t="shared" si="2"/>
        <v>5.4000000000000003E-3</v>
      </c>
      <c r="K57" s="214">
        <f t="shared" si="2"/>
        <v>5.4000000000000003E-3</v>
      </c>
      <c r="L57" s="214">
        <f t="shared" si="2"/>
        <v>5.4000000000000003E-3</v>
      </c>
      <c r="M57" s="214">
        <f t="shared" si="2"/>
        <v>5.4000000000000003E-3</v>
      </c>
      <c r="N57" s="214">
        <f t="shared" si="2"/>
        <v>5.4000000000000003E-3</v>
      </c>
      <c r="O57" s="214">
        <f t="shared" si="2"/>
        <v>5.4000000000000003E-3</v>
      </c>
      <c r="P57" s="213">
        <f>SUM(D57:O57)</f>
        <v>6.0000000000000019E-2</v>
      </c>
      <c r="Q57" s="262">
        <v>0.05</v>
      </c>
      <c r="R57" s="263">
        <f>+P57-Q57</f>
        <v>1.0000000000000016E-2</v>
      </c>
      <c r="S57" s="259"/>
      <c r="T57" s="259"/>
      <c r="U57" s="259"/>
      <c r="V57" s="259"/>
      <c r="W57" s="259"/>
      <c r="X57" s="259"/>
      <c r="Y57" s="259"/>
      <c r="Z57" s="259"/>
      <c r="AA57" s="259"/>
      <c r="AB57" s="259"/>
      <c r="AC57" s="259"/>
      <c r="AD57" s="259"/>
    </row>
    <row r="58" spans="1:30" x14ac:dyDescent="0.25">
      <c r="A58" s="327"/>
      <c r="B58" s="346"/>
      <c r="C58" s="225" t="s">
        <v>62</v>
      </c>
      <c r="D58" s="211">
        <f t="shared" si="2"/>
        <v>0</v>
      </c>
      <c r="E58" s="211">
        <f t="shared" si="2"/>
        <v>6.0000000000000019E-3</v>
      </c>
      <c r="F58" s="211">
        <f t="shared" si="2"/>
        <v>5.4000000000000003E-3</v>
      </c>
      <c r="G58" s="211">
        <f t="shared" si="2"/>
        <v>5.4000000000000003E-3</v>
      </c>
      <c r="H58" s="211">
        <f t="shared" si="2"/>
        <v>5.4000000000000003E-3</v>
      </c>
      <c r="I58" s="211">
        <f t="shared" si="2"/>
        <v>0</v>
      </c>
      <c r="J58" s="211">
        <f t="shared" si="2"/>
        <v>0</v>
      </c>
      <c r="K58" s="211">
        <f t="shared" si="2"/>
        <v>0</v>
      </c>
      <c r="L58" s="211">
        <f t="shared" si="2"/>
        <v>0</v>
      </c>
      <c r="M58" s="211">
        <f t="shared" si="2"/>
        <v>0</v>
      </c>
      <c r="N58" s="211">
        <f t="shared" si="2"/>
        <v>0</v>
      </c>
      <c r="O58" s="211">
        <f t="shared" si="2"/>
        <v>0</v>
      </c>
      <c r="P58" s="210">
        <f>SUM(D58:O58)</f>
        <v>2.2200000000000004E-2</v>
      </c>
      <c r="Q58" s="264">
        <f>+P58</f>
        <v>2.2200000000000004E-2</v>
      </c>
      <c r="R58" s="263">
        <f>+P58-Q58</f>
        <v>0</v>
      </c>
      <c r="S58" s="259"/>
      <c r="T58" s="259"/>
      <c r="U58" s="259"/>
      <c r="V58" s="259"/>
      <c r="W58" s="259"/>
      <c r="X58" s="259"/>
      <c r="Y58" s="259"/>
      <c r="Z58" s="259"/>
      <c r="AA58" s="259"/>
      <c r="AB58" s="259"/>
      <c r="AC58" s="259"/>
      <c r="AD58" s="259"/>
    </row>
    <row r="59" spans="1:30" x14ac:dyDescent="0.25">
      <c r="A59" s="768"/>
      <c r="B59" s="769"/>
      <c r="C59" s="228"/>
      <c r="D59" s="214"/>
      <c r="E59" s="214"/>
      <c r="F59" s="214"/>
      <c r="G59" s="214"/>
      <c r="H59" s="214"/>
      <c r="I59" s="214"/>
      <c r="J59" s="214"/>
      <c r="K59" s="214"/>
      <c r="L59" s="214"/>
      <c r="M59" s="214"/>
      <c r="N59" s="214"/>
      <c r="O59" s="214"/>
      <c r="P59" s="229"/>
      <c r="Q59" s="262"/>
      <c r="R59" s="263"/>
      <c r="S59" s="259"/>
      <c r="T59" s="259"/>
      <c r="U59" s="259"/>
      <c r="V59" s="259"/>
      <c r="W59" s="259"/>
      <c r="X59" s="259"/>
      <c r="Y59" s="259"/>
      <c r="Z59" s="259"/>
      <c r="AA59" s="259"/>
      <c r="AB59" s="259"/>
      <c r="AC59" s="259"/>
      <c r="AD59" s="259"/>
    </row>
    <row r="60" spans="1:30" x14ac:dyDescent="0.25">
      <c r="A60" s="330"/>
      <c r="B60" s="331"/>
      <c r="C60" s="228"/>
      <c r="D60" s="207"/>
      <c r="E60" s="207"/>
      <c r="F60" s="207"/>
      <c r="G60" s="207"/>
      <c r="H60" s="207"/>
      <c r="I60" s="207"/>
      <c r="J60" s="207"/>
      <c r="K60" s="207"/>
      <c r="L60" s="207"/>
      <c r="M60" s="207"/>
      <c r="N60" s="207"/>
      <c r="O60" s="207"/>
      <c r="P60" s="229"/>
      <c r="Q60" s="264"/>
      <c r="R60" s="263"/>
      <c r="S60" s="259"/>
      <c r="T60" s="259"/>
      <c r="U60" s="259"/>
      <c r="V60" s="259"/>
      <c r="W60" s="259"/>
      <c r="X60" s="259"/>
      <c r="Y60" s="259"/>
      <c r="Z60" s="259"/>
      <c r="AA60" s="259"/>
      <c r="AB60" s="259"/>
      <c r="AC60" s="259"/>
      <c r="AD60" s="259"/>
    </row>
    <row r="61" spans="1:30" x14ac:dyDescent="0.25">
      <c r="A61" s="330"/>
      <c r="B61" s="331"/>
      <c r="C61" s="228"/>
      <c r="D61" s="214"/>
      <c r="E61" s="214"/>
      <c r="F61" s="214"/>
      <c r="G61" s="214"/>
      <c r="H61" s="214"/>
      <c r="I61" s="214"/>
      <c r="J61" s="214"/>
      <c r="K61" s="214"/>
      <c r="L61" s="214"/>
      <c r="M61" s="214"/>
      <c r="N61" s="214"/>
      <c r="O61" s="214"/>
      <c r="P61" s="229"/>
      <c r="Q61" s="262"/>
      <c r="R61" s="263"/>
      <c r="S61" s="259"/>
      <c r="T61" s="259"/>
      <c r="U61" s="259"/>
      <c r="V61" s="259"/>
      <c r="W61" s="259"/>
      <c r="X61" s="259"/>
      <c r="Y61" s="259"/>
      <c r="Z61" s="259"/>
      <c r="AA61" s="259"/>
      <c r="AB61" s="259"/>
      <c r="AC61" s="259"/>
      <c r="AD61" s="259"/>
    </row>
    <row r="62" spans="1:30" x14ac:dyDescent="0.25">
      <c r="A62" s="330"/>
      <c r="B62" s="331"/>
      <c r="C62" s="228"/>
      <c r="D62" s="207"/>
      <c r="E62" s="207"/>
      <c r="F62" s="207"/>
      <c r="G62" s="207"/>
      <c r="H62" s="207"/>
      <c r="I62" s="207"/>
      <c r="J62" s="207"/>
      <c r="K62" s="207"/>
      <c r="L62" s="207"/>
      <c r="M62" s="207"/>
      <c r="N62" s="207"/>
      <c r="O62" s="207"/>
      <c r="P62" s="229"/>
      <c r="Q62" s="264"/>
      <c r="R62" s="263"/>
      <c r="S62" s="259"/>
      <c r="T62" s="259"/>
      <c r="U62" s="259"/>
      <c r="V62" s="259"/>
      <c r="W62" s="259"/>
      <c r="X62" s="259"/>
      <c r="Y62" s="259"/>
      <c r="Z62" s="259"/>
      <c r="AA62" s="259"/>
      <c r="AB62" s="259"/>
      <c r="AC62" s="259"/>
      <c r="AD62" s="259"/>
    </row>
    <row r="63" spans="1:30" x14ac:dyDescent="0.25">
      <c r="A63" s="226"/>
      <c r="B63" s="227"/>
      <c r="C63" s="228"/>
      <c r="D63" s="214"/>
      <c r="E63" s="214"/>
      <c r="F63" s="214"/>
      <c r="G63" s="214"/>
      <c r="H63" s="214"/>
      <c r="I63" s="214"/>
      <c r="J63" s="214"/>
      <c r="K63" s="214"/>
      <c r="L63" s="214"/>
      <c r="M63" s="214"/>
      <c r="N63" s="214"/>
      <c r="O63" s="214"/>
      <c r="P63" s="229"/>
      <c r="Q63" s="262"/>
      <c r="R63" s="263"/>
      <c r="S63" s="259"/>
      <c r="T63" s="259"/>
      <c r="U63" s="259"/>
      <c r="V63" s="259"/>
      <c r="W63" s="259"/>
      <c r="X63" s="259"/>
      <c r="Y63" s="259"/>
      <c r="Z63" s="259"/>
      <c r="AA63" s="259"/>
      <c r="AB63" s="259"/>
      <c r="AC63" s="259"/>
      <c r="AD63" s="259"/>
    </row>
    <row r="64" spans="1:30" x14ac:dyDescent="0.25">
      <c r="A64" s="232"/>
      <c r="B64" s="233"/>
      <c r="C64" s="228"/>
      <c r="D64" s="207"/>
      <c r="E64" s="207"/>
      <c r="F64" s="207"/>
      <c r="G64" s="207"/>
      <c r="H64" s="207"/>
      <c r="I64" s="207"/>
      <c r="J64" s="207"/>
      <c r="K64" s="207"/>
      <c r="L64" s="207"/>
      <c r="M64" s="207"/>
      <c r="N64" s="207"/>
      <c r="O64" s="207"/>
      <c r="P64" s="229"/>
      <c r="Q64" s="264"/>
      <c r="R64" s="263"/>
      <c r="S64" s="259"/>
      <c r="T64" s="259"/>
      <c r="U64" s="259"/>
      <c r="V64" s="259"/>
      <c r="W64" s="259"/>
      <c r="X64" s="259"/>
      <c r="Y64" s="259"/>
      <c r="Z64" s="259"/>
      <c r="AA64" s="259"/>
      <c r="AB64" s="259"/>
      <c r="AC64" s="259"/>
      <c r="AD64" s="259"/>
    </row>
    <row r="65" spans="1:30" x14ac:dyDescent="0.25">
      <c r="A65" s="260"/>
      <c r="B65" s="208"/>
      <c r="C65" s="209"/>
      <c r="D65" s="204">
        <f>D58</f>
        <v>0</v>
      </c>
      <c r="E65" s="204">
        <f t="shared" ref="E65:O65" si="3">E58</f>
        <v>6.0000000000000019E-3</v>
      </c>
      <c r="F65" s="204">
        <f t="shared" si="3"/>
        <v>5.4000000000000003E-3</v>
      </c>
      <c r="G65" s="204">
        <f t="shared" si="3"/>
        <v>5.4000000000000003E-3</v>
      </c>
      <c r="H65" s="204">
        <f t="shared" si="3"/>
        <v>5.4000000000000003E-3</v>
      </c>
      <c r="I65" s="204">
        <f t="shared" si="3"/>
        <v>0</v>
      </c>
      <c r="J65" s="204">
        <f t="shared" si="3"/>
        <v>0</v>
      </c>
      <c r="K65" s="204">
        <f t="shared" si="3"/>
        <v>0</v>
      </c>
      <c r="L65" s="204">
        <f t="shared" si="3"/>
        <v>0</v>
      </c>
      <c r="M65" s="204">
        <f t="shared" si="3"/>
        <v>0</v>
      </c>
      <c r="N65" s="204">
        <f t="shared" si="3"/>
        <v>0</v>
      </c>
      <c r="O65" s="204">
        <f t="shared" si="3"/>
        <v>0</v>
      </c>
      <c r="P65" s="204">
        <f>P58+P60+P62</f>
        <v>2.2200000000000004E-2</v>
      </c>
      <c r="Q65" s="260"/>
      <c r="R65" s="263">
        <f>+P65-Q65</f>
        <v>2.2200000000000004E-2</v>
      </c>
      <c r="S65" s="259"/>
      <c r="T65" s="259"/>
      <c r="U65" s="259"/>
      <c r="V65" s="259"/>
      <c r="W65" s="259"/>
      <c r="X65" s="259"/>
      <c r="Y65" s="259"/>
      <c r="Z65" s="259"/>
      <c r="AA65" s="259"/>
      <c r="AB65" s="259"/>
      <c r="AC65" s="259"/>
      <c r="AD65" s="259"/>
    </row>
    <row r="66" spans="1:30" x14ac:dyDescent="0.25">
      <c r="A66" s="260"/>
      <c r="B66" s="206"/>
      <c r="C66" s="203" t="s">
        <v>62</v>
      </c>
      <c r="D66" s="202">
        <f>D65*$W$17/$B$34</f>
        <v>0</v>
      </c>
      <c r="E66" s="202">
        <f t="shared" ref="E66:O66" si="4">E65*$W$17/$B$34</f>
        <v>2.0000000000000011E-2</v>
      </c>
      <c r="F66" s="202">
        <f t="shared" si="4"/>
        <v>1.8000000000000002E-2</v>
      </c>
      <c r="G66" s="202">
        <f t="shared" si="4"/>
        <v>1.8000000000000002E-2</v>
      </c>
      <c r="H66" s="202">
        <f t="shared" si="4"/>
        <v>1.8000000000000002E-2</v>
      </c>
      <c r="I66" s="202">
        <f t="shared" si="4"/>
        <v>0</v>
      </c>
      <c r="J66" s="202">
        <f t="shared" si="4"/>
        <v>0</v>
      </c>
      <c r="K66" s="202">
        <f t="shared" si="4"/>
        <v>0</v>
      </c>
      <c r="L66" s="202">
        <f t="shared" si="4"/>
        <v>0</v>
      </c>
      <c r="M66" s="202">
        <f t="shared" si="4"/>
        <v>0</v>
      </c>
      <c r="N66" s="202">
        <f t="shared" si="4"/>
        <v>0</v>
      </c>
      <c r="O66" s="202">
        <f t="shared" si="4"/>
        <v>0</v>
      </c>
      <c r="P66" s="201">
        <f>SUM(D66:O66)</f>
        <v>7.400000000000001E-2</v>
      </c>
      <c r="Q66" s="261"/>
      <c r="R66" s="260"/>
      <c r="S66" s="259"/>
      <c r="T66" s="259"/>
      <c r="U66" s="259"/>
      <c r="V66" s="259"/>
      <c r="W66" s="259"/>
      <c r="X66" s="259"/>
      <c r="Y66" s="259"/>
      <c r="Z66" s="259"/>
      <c r="AA66" s="259"/>
      <c r="AB66" s="259"/>
      <c r="AC66" s="259"/>
      <c r="AD66" s="259"/>
    </row>
    <row r="67" spans="1:30" x14ac:dyDescent="0.25">
      <c r="A67" s="261"/>
      <c r="B67" s="205"/>
      <c r="C67" s="205"/>
      <c r="D67" s="205"/>
      <c r="E67" s="205"/>
      <c r="F67" s="205"/>
      <c r="G67" s="205"/>
      <c r="H67" s="205"/>
      <c r="I67" s="205"/>
      <c r="J67" s="205"/>
      <c r="K67" s="205"/>
      <c r="L67" s="205"/>
      <c r="M67" s="205"/>
      <c r="N67" s="205"/>
      <c r="O67" s="205"/>
      <c r="P67" s="205"/>
      <c r="Q67" s="261"/>
      <c r="R67" s="261"/>
      <c r="S67" s="259"/>
      <c r="T67" s="259"/>
      <c r="U67" s="259"/>
      <c r="V67" s="259"/>
      <c r="W67" s="259"/>
      <c r="X67" s="259"/>
      <c r="Y67" s="259"/>
      <c r="Z67" s="259"/>
      <c r="AA67" s="259"/>
      <c r="AB67" s="259"/>
      <c r="AC67" s="259"/>
      <c r="AD67" s="259"/>
    </row>
    <row r="68" spans="1:30" x14ac:dyDescent="0.25">
      <c r="A68" s="262"/>
      <c r="B68" s="108"/>
      <c r="C68" s="108"/>
      <c r="D68" s="204">
        <f>+D57</f>
        <v>0</v>
      </c>
      <c r="E68" s="204">
        <f t="shared" ref="E68:O68" si="5">+E57</f>
        <v>6.0000000000000019E-3</v>
      </c>
      <c r="F68" s="204">
        <f t="shared" si="5"/>
        <v>5.4000000000000003E-3</v>
      </c>
      <c r="G68" s="204">
        <f t="shared" si="5"/>
        <v>5.4000000000000003E-3</v>
      </c>
      <c r="H68" s="204">
        <f t="shared" si="5"/>
        <v>5.4000000000000003E-3</v>
      </c>
      <c r="I68" s="204">
        <f t="shared" si="5"/>
        <v>5.4000000000000003E-3</v>
      </c>
      <c r="J68" s="204">
        <f t="shared" si="5"/>
        <v>5.4000000000000003E-3</v>
      </c>
      <c r="K68" s="204">
        <f t="shared" si="5"/>
        <v>5.4000000000000003E-3</v>
      </c>
      <c r="L68" s="204">
        <f t="shared" si="5"/>
        <v>5.4000000000000003E-3</v>
      </c>
      <c r="M68" s="204">
        <f t="shared" si="5"/>
        <v>5.4000000000000003E-3</v>
      </c>
      <c r="N68" s="204">
        <f t="shared" si="5"/>
        <v>5.4000000000000003E-3</v>
      </c>
      <c r="O68" s="204">
        <f t="shared" si="5"/>
        <v>5.4000000000000003E-3</v>
      </c>
      <c r="P68" s="204">
        <f>+P57+P59+P61</f>
        <v>6.0000000000000019E-2</v>
      </c>
      <c r="Q68" s="262"/>
      <c r="R68" s="262"/>
      <c r="S68" s="259"/>
      <c r="T68" s="259"/>
      <c r="U68" s="259"/>
      <c r="V68" s="259"/>
      <c r="W68" s="259"/>
      <c r="X68" s="259"/>
      <c r="Y68" s="259"/>
      <c r="Z68" s="259"/>
      <c r="AA68" s="259"/>
      <c r="AB68" s="259"/>
      <c r="AC68" s="259"/>
      <c r="AD68" s="259"/>
    </row>
    <row r="69" spans="1:30" x14ac:dyDescent="0.25">
      <c r="A69" s="262"/>
      <c r="B69" s="108"/>
      <c r="C69" s="203" t="s">
        <v>61</v>
      </c>
      <c r="D69" s="202">
        <f t="shared" ref="D69:O69" si="6">D68*$W$17/$B$34</f>
        <v>0</v>
      </c>
      <c r="E69" s="202">
        <f t="shared" si="6"/>
        <v>2.0000000000000011E-2</v>
      </c>
      <c r="F69" s="202">
        <f t="shared" si="6"/>
        <v>1.8000000000000002E-2</v>
      </c>
      <c r="G69" s="202">
        <f t="shared" si="6"/>
        <v>1.8000000000000002E-2</v>
      </c>
      <c r="H69" s="202">
        <f t="shared" si="6"/>
        <v>1.8000000000000002E-2</v>
      </c>
      <c r="I69" s="202">
        <f t="shared" si="6"/>
        <v>1.8000000000000002E-2</v>
      </c>
      <c r="J69" s="202">
        <f t="shared" si="6"/>
        <v>1.8000000000000002E-2</v>
      </c>
      <c r="K69" s="202">
        <f t="shared" si="6"/>
        <v>1.8000000000000002E-2</v>
      </c>
      <c r="L69" s="202">
        <f t="shared" si="6"/>
        <v>1.8000000000000002E-2</v>
      </c>
      <c r="M69" s="202">
        <f t="shared" si="6"/>
        <v>1.8000000000000002E-2</v>
      </c>
      <c r="N69" s="202">
        <f t="shared" si="6"/>
        <v>1.8000000000000002E-2</v>
      </c>
      <c r="O69" s="202">
        <f t="shared" si="6"/>
        <v>1.8000000000000002E-2</v>
      </c>
      <c r="P69" s="201">
        <f>SUM(D69:O69)</f>
        <v>0.20000000000000007</v>
      </c>
      <c r="Q69" s="262"/>
      <c r="R69" s="262"/>
      <c r="S69" s="259"/>
      <c r="T69" s="259"/>
      <c r="U69" s="259"/>
      <c r="V69" s="259"/>
      <c r="W69" s="259"/>
      <c r="X69" s="259"/>
      <c r="Y69" s="259"/>
      <c r="Z69" s="259"/>
      <c r="AA69" s="259"/>
      <c r="AB69" s="259"/>
      <c r="AC69" s="259"/>
      <c r="AD69" s="259"/>
    </row>
    <row r="70" spans="1:30" x14ac:dyDescent="0.25">
      <c r="A70" s="259"/>
      <c r="Q70" s="259"/>
      <c r="R70" s="259"/>
      <c r="S70" s="259"/>
      <c r="T70" s="259"/>
      <c r="U70" s="259"/>
      <c r="V70" s="259"/>
      <c r="W70" s="259"/>
      <c r="X70" s="259"/>
      <c r="Y70" s="259"/>
      <c r="Z70" s="259"/>
      <c r="AA70" s="259"/>
      <c r="AB70" s="259"/>
      <c r="AC70" s="259"/>
      <c r="AD70" s="259"/>
    </row>
    <row r="71" spans="1:30" x14ac:dyDescent="0.25">
      <c r="A71" s="259"/>
      <c r="Q71" s="259"/>
      <c r="R71" s="259"/>
      <c r="S71" s="259"/>
      <c r="T71" s="259"/>
      <c r="U71" s="259"/>
      <c r="V71" s="259"/>
      <c r="W71" s="259"/>
      <c r="X71" s="259"/>
      <c r="Y71" s="259"/>
      <c r="Z71" s="259"/>
      <c r="AA71" s="259"/>
      <c r="AB71" s="259"/>
      <c r="AC71" s="259"/>
      <c r="AD71" s="259"/>
    </row>
    <row r="72" spans="1:30" x14ac:dyDescent="0.25">
      <c r="A72" s="259"/>
      <c r="Q72" s="259"/>
      <c r="R72" s="259"/>
      <c r="S72" s="259"/>
      <c r="T72" s="259"/>
      <c r="U72" s="259"/>
      <c r="V72" s="259"/>
      <c r="W72" s="259"/>
      <c r="X72" s="259"/>
      <c r="Y72" s="259"/>
      <c r="Z72" s="259"/>
      <c r="AA72" s="259"/>
      <c r="AB72" s="259"/>
      <c r="AC72" s="259"/>
      <c r="AD72" s="259"/>
    </row>
    <row r="73" spans="1:30" x14ac:dyDescent="0.25">
      <c r="A73" s="259"/>
      <c r="Q73" s="259"/>
      <c r="R73" s="259"/>
      <c r="S73" s="259"/>
      <c r="T73" s="259"/>
      <c r="U73" s="259"/>
      <c r="V73" s="259"/>
      <c r="W73" s="259"/>
      <c r="X73" s="259"/>
      <c r="Y73" s="259"/>
      <c r="Z73" s="259"/>
      <c r="AA73" s="259"/>
      <c r="AB73" s="259"/>
      <c r="AC73" s="259"/>
      <c r="AD73" s="259"/>
    </row>
    <row r="74" spans="1:30" x14ac:dyDescent="0.25">
      <c r="A74" s="259"/>
      <c r="Q74" s="259"/>
      <c r="R74" s="259"/>
      <c r="S74" s="259"/>
      <c r="T74" s="259"/>
      <c r="U74" s="259"/>
      <c r="V74" s="259"/>
      <c r="W74" s="259"/>
      <c r="X74" s="259"/>
      <c r="Y74" s="259"/>
      <c r="Z74" s="259"/>
      <c r="AA74" s="259"/>
      <c r="AB74" s="259"/>
      <c r="AC74" s="259"/>
      <c r="AD74" s="259"/>
    </row>
    <row r="75" spans="1:30" x14ac:dyDescent="0.25">
      <c r="A75" s="259"/>
      <c r="Q75" s="259"/>
      <c r="R75" s="259"/>
      <c r="S75" s="259"/>
      <c r="T75" s="259"/>
      <c r="U75" s="259"/>
      <c r="V75" s="259"/>
      <c r="W75" s="259"/>
      <c r="X75" s="259"/>
      <c r="Y75" s="259"/>
      <c r="Z75" s="259"/>
      <c r="AA75" s="259"/>
      <c r="AB75" s="259"/>
      <c r="AC75" s="259"/>
      <c r="AD75" s="259"/>
    </row>
    <row r="76" spans="1:30" x14ac:dyDescent="0.25">
      <c r="A76" s="259"/>
      <c r="Q76" s="259"/>
      <c r="R76" s="259"/>
      <c r="S76" s="259"/>
      <c r="T76" s="259"/>
      <c r="U76" s="259"/>
      <c r="V76" s="259"/>
      <c r="W76" s="259"/>
      <c r="X76" s="259"/>
      <c r="Y76" s="259"/>
      <c r="Z76" s="259"/>
      <c r="AA76" s="259"/>
      <c r="AB76" s="259"/>
      <c r="AC76" s="259"/>
      <c r="AD76" s="259"/>
    </row>
    <row r="77" spans="1:30" x14ac:dyDescent="0.25">
      <c r="A77" s="259"/>
      <c r="Q77" s="259"/>
      <c r="R77" s="259"/>
      <c r="S77" s="259"/>
      <c r="T77" s="259"/>
      <c r="U77" s="259"/>
      <c r="V77" s="259"/>
      <c r="W77" s="259"/>
      <c r="X77" s="259"/>
      <c r="Y77" s="259"/>
      <c r="Z77" s="259"/>
      <c r="AA77" s="259"/>
      <c r="AB77" s="259"/>
      <c r="AC77" s="259"/>
      <c r="AD77" s="259"/>
    </row>
    <row r="78" spans="1:30" x14ac:dyDescent="0.25">
      <c r="A78" s="259"/>
      <c r="Q78" s="259"/>
      <c r="R78" s="259"/>
      <c r="S78" s="259"/>
      <c r="T78" s="259"/>
      <c r="U78" s="259"/>
      <c r="V78" s="259"/>
      <c r="W78" s="259"/>
      <c r="X78" s="259"/>
      <c r="Y78" s="259"/>
      <c r="Z78" s="259"/>
      <c r="AA78" s="259"/>
      <c r="AB78" s="259"/>
      <c r="AC78" s="259"/>
      <c r="AD78" s="259"/>
    </row>
    <row r="79" spans="1:30" x14ac:dyDescent="0.25">
      <c r="A79" s="259"/>
      <c r="Q79" s="259"/>
      <c r="R79" s="259"/>
      <c r="S79" s="259"/>
      <c r="T79" s="259"/>
      <c r="U79" s="259"/>
      <c r="V79" s="259"/>
      <c r="W79" s="259"/>
      <c r="X79" s="259"/>
      <c r="Y79" s="259"/>
      <c r="Z79" s="259"/>
      <c r="AA79" s="259"/>
      <c r="AB79" s="259"/>
      <c r="AC79" s="259"/>
      <c r="AD79" s="259"/>
    </row>
    <row r="80" spans="1:30" x14ac:dyDescent="0.25">
      <c r="A80" s="259"/>
      <c r="Q80" s="259"/>
      <c r="R80" s="259"/>
      <c r="S80" s="259"/>
      <c r="T80" s="259"/>
      <c r="U80" s="259"/>
      <c r="V80" s="259"/>
      <c r="W80" s="259"/>
      <c r="X80" s="259"/>
      <c r="Y80" s="259"/>
      <c r="Z80" s="259"/>
      <c r="AA80" s="259"/>
      <c r="AB80" s="259"/>
      <c r="AC80" s="259"/>
      <c r="AD80" s="259"/>
    </row>
    <row r="81" spans="1:30" x14ac:dyDescent="0.25">
      <c r="A81" s="259"/>
      <c r="Q81" s="259"/>
      <c r="R81" s="259"/>
      <c r="S81" s="259"/>
      <c r="T81" s="259"/>
      <c r="U81" s="259"/>
      <c r="V81" s="259"/>
      <c r="W81" s="259"/>
      <c r="X81" s="259"/>
      <c r="Y81" s="259"/>
      <c r="Z81" s="259"/>
      <c r="AA81" s="259"/>
      <c r="AB81" s="259"/>
      <c r="AC81" s="259"/>
      <c r="AD81" s="259"/>
    </row>
    <row r="82" spans="1:30" x14ac:dyDescent="0.25">
      <c r="A82" s="259"/>
      <c r="Q82" s="259"/>
      <c r="R82" s="259"/>
      <c r="S82" s="259"/>
      <c r="T82" s="259"/>
      <c r="U82" s="259"/>
      <c r="V82" s="259"/>
      <c r="W82" s="259"/>
      <c r="X82" s="259"/>
      <c r="Y82" s="259"/>
      <c r="Z82" s="259"/>
      <c r="AA82" s="259"/>
      <c r="AB82" s="259"/>
      <c r="AC82" s="259"/>
      <c r="AD82" s="259"/>
    </row>
    <row r="83" spans="1:30" x14ac:dyDescent="0.25">
      <c r="A83" s="259"/>
      <c r="Q83" s="259"/>
      <c r="R83" s="259"/>
      <c r="S83" s="259"/>
      <c r="T83" s="259"/>
      <c r="U83" s="259"/>
      <c r="V83" s="259"/>
      <c r="W83" s="259"/>
      <c r="X83" s="259"/>
      <c r="Y83" s="259"/>
      <c r="Z83" s="259"/>
      <c r="AA83" s="259"/>
      <c r="AB83" s="259"/>
      <c r="AC83" s="259"/>
      <c r="AD83" s="259"/>
    </row>
    <row r="84" spans="1:30" x14ac:dyDescent="0.25">
      <c r="A84" s="259"/>
      <c r="Q84" s="259"/>
      <c r="R84" s="259"/>
      <c r="S84" s="259"/>
      <c r="T84" s="259"/>
      <c r="U84" s="259"/>
      <c r="V84" s="259"/>
      <c r="W84" s="259"/>
      <c r="X84" s="259"/>
      <c r="Y84" s="259"/>
      <c r="Z84" s="259"/>
      <c r="AA84" s="259"/>
      <c r="AB84" s="259"/>
      <c r="AC84" s="259"/>
      <c r="AD84" s="259"/>
    </row>
    <row r="85" spans="1:30" x14ac:dyDescent="0.25">
      <c r="A85" s="259"/>
      <c r="Q85" s="259"/>
      <c r="R85" s="259"/>
      <c r="S85" s="259"/>
      <c r="T85" s="259"/>
      <c r="U85" s="259"/>
      <c r="V85" s="259"/>
      <c r="W85" s="259"/>
      <c r="X85" s="259"/>
      <c r="Y85" s="259"/>
      <c r="Z85" s="259"/>
      <c r="AA85" s="259"/>
      <c r="AB85" s="259"/>
      <c r="AC85" s="259"/>
      <c r="AD85" s="259"/>
    </row>
    <row r="86" spans="1:30" x14ac:dyDescent="0.25">
      <c r="A86" s="259"/>
      <c r="Q86" s="259"/>
      <c r="R86" s="259"/>
      <c r="S86" s="259"/>
      <c r="T86" s="259"/>
      <c r="U86" s="259"/>
      <c r="V86" s="259"/>
      <c r="W86" s="259"/>
      <c r="X86" s="259"/>
      <c r="Y86" s="259"/>
      <c r="Z86" s="259"/>
      <c r="AA86" s="259"/>
      <c r="AB86" s="259"/>
      <c r="AC86" s="259"/>
      <c r="AD86" s="259"/>
    </row>
    <row r="87" spans="1:30" x14ac:dyDescent="0.25">
      <c r="A87" s="259"/>
      <c r="Q87" s="259"/>
      <c r="R87" s="259"/>
      <c r="S87" s="259"/>
      <c r="T87" s="259"/>
      <c r="U87" s="259"/>
      <c r="V87" s="259"/>
      <c r="W87" s="259"/>
      <c r="X87" s="259"/>
      <c r="Y87" s="259"/>
      <c r="Z87" s="259"/>
      <c r="AA87" s="259"/>
      <c r="AB87" s="259"/>
      <c r="AC87" s="259"/>
      <c r="AD87" s="259"/>
    </row>
    <row r="88" spans="1:30" x14ac:dyDescent="0.25">
      <c r="A88" s="259"/>
      <c r="Q88" s="259"/>
      <c r="R88" s="259"/>
      <c r="S88" s="259"/>
      <c r="T88" s="259"/>
      <c r="U88" s="259"/>
      <c r="V88" s="259"/>
      <c r="W88" s="259"/>
      <c r="X88" s="259"/>
      <c r="Y88" s="259"/>
      <c r="Z88" s="259"/>
      <c r="AA88" s="259"/>
      <c r="AB88" s="259"/>
      <c r="AC88" s="259"/>
      <c r="AD88" s="259"/>
    </row>
    <row r="89" spans="1:30" x14ac:dyDescent="0.25">
      <c r="A89" s="259"/>
      <c r="Q89" s="259"/>
      <c r="R89" s="259"/>
      <c r="S89" s="259"/>
      <c r="T89" s="259"/>
      <c r="U89" s="259"/>
      <c r="V89" s="259"/>
      <c r="W89" s="259"/>
      <c r="X89" s="259"/>
      <c r="Y89" s="259"/>
      <c r="Z89" s="259"/>
      <c r="AA89" s="259"/>
      <c r="AB89" s="259"/>
      <c r="AC89" s="259"/>
      <c r="AD89" s="259"/>
    </row>
    <row r="90" spans="1:30" x14ac:dyDescent="0.25">
      <c r="A90" s="259"/>
      <c r="Q90" s="259"/>
      <c r="R90" s="259"/>
      <c r="S90" s="259"/>
      <c r="T90" s="259"/>
      <c r="U90" s="259"/>
      <c r="V90" s="259"/>
      <c r="W90" s="259"/>
      <c r="X90" s="259"/>
      <c r="Y90" s="259"/>
      <c r="Z90" s="259"/>
      <c r="AA90" s="259"/>
      <c r="AB90" s="259"/>
      <c r="AC90" s="259"/>
      <c r="AD90" s="259"/>
    </row>
    <row r="91" spans="1:30" x14ac:dyDescent="0.25">
      <c r="A91" s="259"/>
      <c r="Q91" s="259"/>
      <c r="R91" s="259"/>
      <c r="S91" s="259"/>
      <c r="T91" s="259"/>
      <c r="U91" s="259"/>
      <c r="V91" s="259"/>
      <c r="W91" s="259"/>
      <c r="X91" s="259"/>
      <c r="Y91" s="259"/>
      <c r="Z91" s="259"/>
      <c r="AA91" s="259"/>
      <c r="AB91" s="259"/>
      <c r="AC91" s="259"/>
      <c r="AD91" s="259"/>
    </row>
    <row r="92" spans="1:30" x14ac:dyDescent="0.25">
      <c r="A92" s="259"/>
      <c r="Q92" s="259"/>
      <c r="R92" s="259"/>
      <c r="S92" s="259"/>
      <c r="T92" s="259"/>
      <c r="U92" s="259"/>
      <c r="V92" s="259"/>
      <c r="W92" s="259"/>
      <c r="X92" s="259"/>
      <c r="Y92" s="259"/>
      <c r="Z92" s="259"/>
      <c r="AA92" s="259"/>
      <c r="AB92" s="259"/>
      <c r="AC92" s="259"/>
      <c r="AD92" s="259"/>
    </row>
    <row r="93" spans="1:30" x14ac:dyDescent="0.25">
      <c r="A93" s="259"/>
      <c r="Q93" s="259"/>
      <c r="R93" s="259"/>
      <c r="S93" s="259"/>
      <c r="T93" s="259"/>
      <c r="U93" s="259"/>
      <c r="V93" s="259"/>
      <c r="W93" s="259"/>
      <c r="X93" s="259"/>
      <c r="Y93" s="259"/>
      <c r="Z93" s="259"/>
      <c r="AA93" s="259"/>
      <c r="AB93" s="259"/>
      <c r="AC93" s="259"/>
      <c r="AD93" s="259"/>
    </row>
    <row r="94" spans="1:30" x14ac:dyDescent="0.25">
      <c r="A94" s="259"/>
      <c r="Q94" s="259"/>
      <c r="R94" s="259"/>
      <c r="S94" s="259"/>
      <c r="T94" s="259"/>
      <c r="U94" s="259"/>
      <c r="V94" s="259"/>
      <c r="W94" s="259"/>
      <c r="X94" s="259"/>
      <c r="Y94" s="259"/>
      <c r="Z94" s="259"/>
      <c r="AA94" s="259"/>
      <c r="AB94" s="259"/>
      <c r="AC94" s="259"/>
      <c r="AD94" s="259"/>
    </row>
    <row r="95" spans="1:30" x14ac:dyDescent="0.25">
      <c r="A95" s="259"/>
      <c r="Q95" s="259"/>
      <c r="R95" s="259"/>
      <c r="S95" s="259"/>
      <c r="T95" s="259"/>
      <c r="U95" s="259"/>
      <c r="V95" s="259"/>
      <c r="W95" s="259"/>
      <c r="X95" s="259"/>
      <c r="Y95" s="259"/>
      <c r="Z95" s="259"/>
      <c r="AA95" s="259"/>
      <c r="AB95" s="259"/>
      <c r="AC95" s="259"/>
      <c r="AD95" s="259"/>
    </row>
    <row r="96" spans="1:30" x14ac:dyDescent="0.25">
      <c r="A96" s="259"/>
      <c r="Q96" s="259"/>
      <c r="R96" s="259"/>
      <c r="S96" s="259"/>
      <c r="T96" s="259"/>
      <c r="U96" s="259"/>
      <c r="V96" s="259"/>
      <c r="W96" s="259"/>
      <c r="X96" s="259"/>
      <c r="Y96" s="259"/>
      <c r="Z96" s="259"/>
      <c r="AA96" s="259"/>
      <c r="AB96" s="259"/>
      <c r="AC96" s="259"/>
      <c r="AD96" s="259"/>
    </row>
    <row r="97" spans="1:30" x14ac:dyDescent="0.25">
      <c r="A97" s="259"/>
      <c r="Q97" s="259"/>
      <c r="R97" s="259"/>
      <c r="S97" s="259"/>
      <c r="T97" s="259"/>
      <c r="U97" s="259"/>
      <c r="V97" s="259"/>
      <c r="W97" s="259"/>
      <c r="X97" s="259"/>
      <c r="Y97" s="259"/>
      <c r="Z97" s="259"/>
      <c r="AA97" s="259"/>
      <c r="AB97" s="259"/>
      <c r="AC97" s="259"/>
      <c r="AD97" s="259"/>
    </row>
    <row r="98" spans="1:30" x14ac:dyDescent="0.25">
      <c r="A98" s="259"/>
      <c r="Q98" s="259"/>
      <c r="R98" s="259"/>
      <c r="S98" s="259"/>
      <c r="T98" s="259"/>
      <c r="U98" s="259"/>
      <c r="V98" s="259"/>
      <c r="W98" s="259"/>
      <c r="X98" s="259"/>
      <c r="Y98" s="259"/>
      <c r="Z98" s="259"/>
      <c r="AA98" s="259"/>
      <c r="AB98" s="259"/>
      <c r="AC98" s="259"/>
      <c r="AD98" s="259"/>
    </row>
    <row r="99" spans="1:30" x14ac:dyDescent="0.25">
      <c r="A99" s="259"/>
      <c r="Q99" s="259"/>
      <c r="R99" s="259"/>
      <c r="S99" s="259"/>
      <c r="T99" s="259"/>
      <c r="U99" s="259"/>
      <c r="V99" s="259"/>
      <c r="W99" s="259"/>
      <c r="X99" s="259"/>
      <c r="Y99" s="259"/>
      <c r="Z99" s="259"/>
      <c r="AA99" s="259"/>
      <c r="AB99" s="259"/>
      <c r="AC99" s="259"/>
      <c r="AD99" s="259"/>
    </row>
    <row r="100" spans="1:30" x14ac:dyDescent="0.25">
      <c r="A100" s="259"/>
      <c r="Q100" s="259"/>
      <c r="R100" s="259"/>
      <c r="S100" s="259"/>
      <c r="T100" s="259"/>
      <c r="U100" s="259"/>
      <c r="V100" s="259"/>
      <c r="W100" s="259"/>
      <c r="X100" s="259"/>
      <c r="Y100" s="259"/>
      <c r="Z100" s="259"/>
      <c r="AA100" s="259"/>
      <c r="AB100" s="259"/>
      <c r="AC100" s="259"/>
      <c r="AD100" s="259"/>
    </row>
    <row r="101" spans="1:30" x14ac:dyDescent="0.25">
      <c r="A101" s="259"/>
      <c r="Q101" s="259"/>
      <c r="R101" s="259"/>
      <c r="S101" s="259"/>
      <c r="T101" s="259"/>
      <c r="U101" s="259"/>
      <c r="V101" s="259"/>
      <c r="W101" s="259"/>
      <c r="X101" s="259"/>
      <c r="Y101" s="259"/>
      <c r="Z101" s="259"/>
      <c r="AA101" s="259"/>
      <c r="AB101" s="259"/>
      <c r="AC101" s="259"/>
      <c r="AD101" s="259"/>
    </row>
    <row r="102" spans="1:30" x14ac:dyDescent="0.25">
      <c r="Q102" s="259"/>
      <c r="R102" s="259"/>
      <c r="S102" s="259"/>
      <c r="T102" s="259"/>
      <c r="U102" s="259"/>
      <c r="V102" s="259"/>
      <c r="W102" s="259"/>
      <c r="X102" s="259"/>
      <c r="Y102" s="259"/>
      <c r="Z102" s="259"/>
      <c r="AA102" s="259"/>
      <c r="AB102" s="259"/>
      <c r="AC102" s="259"/>
      <c r="AD102" s="259"/>
    </row>
    <row r="103" spans="1:30" x14ac:dyDescent="0.25">
      <c r="Q103" s="259"/>
      <c r="R103" s="259"/>
      <c r="S103" s="259"/>
      <c r="T103" s="259"/>
      <c r="U103" s="259"/>
      <c r="V103" s="259"/>
      <c r="W103" s="259"/>
      <c r="X103" s="259"/>
      <c r="Y103" s="259"/>
      <c r="Z103" s="259"/>
      <c r="AA103" s="259"/>
      <c r="AB103" s="259"/>
      <c r="AC103" s="259"/>
      <c r="AD103" s="259"/>
    </row>
    <row r="104" spans="1:30" x14ac:dyDescent="0.25">
      <c r="Q104" s="259"/>
      <c r="R104" s="259"/>
      <c r="S104" s="259"/>
      <c r="T104" s="259"/>
      <c r="U104" s="259"/>
      <c r="V104" s="259"/>
      <c r="W104" s="259"/>
      <c r="X104" s="259"/>
      <c r="Y104" s="259"/>
      <c r="Z104" s="259"/>
      <c r="AA104" s="259"/>
      <c r="AB104" s="259"/>
      <c r="AC104" s="259"/>
      <c r="AD104" s="259"/>
    </row>
    <row r="105" spans="1:30" x14ac:dyDescent="0.25">
      <c r="Q105" s="259"/>
      <c r="R105" s="259"/>
      <c r="S105" s="259"/>
      <c r="T105" s="259"/>
      <c r="U105" s="259"/>
      <c r="V105" s="259"/>
      <c r="W105" s="259"/>
      <c r="X105" s="259"/>
      <c r="Y105" s="259"/>
      <c r="Z105" s="259"/>
      <c r="AA105" s="259"/>
      <c r="AB105" s="259"/>
      <c r="AC105" s="259"/>
      <c r="AD105" s="259"/>
    </row>
    <row r="106" spans="1:30" x14ac:dyDescent="0.25">
      <c r="Q106" s="259"/>
      <c r="R106" s="259"/>
      <c r="S106" s="259"/>
      <c r="T106" s="259"/>
      <c r="U106" s="259"/>
      <c r="V106" s="259"/>
      <c r="W106" s="259"/>
      <c r="X106" s="259"/>
      <c r="Y106" s="259"/>
      <c r="Z106" s="259"/>
      <c r="AA106" s="259"/>
      <c r="AB106" s="259"/>
      <c r="AC106" s="259"/>
      <c r="AD106" s="259"/>
    </row>
    <row r="107" spans="1:30" x14ac:dyDescent="0.25">
      <c r="Q107" s="259"/>
      <c r="R107" s="259"/>
      <c r="S107" s="259"/>
      <c r="T107" s="259"/>
      <c r="U107" s="259"/>
      <c r="V107" s="259"/>
      <c r="W107" s="259"/>
      <c r="X107" s="259"/>
      <c r="Y107" s="259"/>
      <c r="Z107" s="259"/>
      <c r="AA107" s="259"/>
      <c r="AB107" s="259"/>
      <c r="AC107" s="259"/>
      <c r="AD107" s="259"/>
    </row>
    <row r="108" spans="1:30" x14ac:dyDescent="0.25">
      <c r="Q108" s="259"/>
      <c r="R108" s="259"/>
      <c r="S108" s="259"/>
      <c r="T108" s="259"/>
      <c r="U108" s="259"/>
      <c r="V108" s="259"/>
      <c r="W108" s="259"/>
      <c r="X108" s="259"/>
      <c r="Y108" s="259"/>
      <c r="Z108" s="259"/>
      <c r="AA108" s="259"/>
      <c r="AB108" s="259"/>
      <c r="AC108" s="259"/>
      <c r="AD108" s="259"/>
    </row>
    <row r="109" spans="1:30" x14ac:dyDescent="0.25">
      <c r="Q109" s="259"/>
      <c r="R109" s="259"/>
      <c r="S109" s="259"/>
      <c r="T109" s="259"/>
      <c r="U109" s="259"/>
      <c r="V109" s="259"/>
      <c r="W109" s="259"/>
      <c r="X109" s="259"/>
      <c r="Y109" s="259"/>
      <c r="Z109" s="259"/>
      <c r="AA109" s="259"/>
      <c r="AB109" s="259"/>
      <c r="AC109" s="259"/>
      <c r="AD109" s="259"/>
    </row>
    <row r="110" spans="1:30" x14ac:dyDescent="0.25">
      <c r="Q110" s="259"/>
      <c r="R110" s="259"/>
      <c r="S110" s="259"/>
      <c r="T110" s="259"/>
      <c r="U110" s="259"/>
      <c r="V110" s="259"/>
      <c r="W110" s="259"/>
      <c r="X110" s="259"/>
      <c r="Y110" s="259"/>
      <c r="Z110" s="259"/>
      <c r="AA110" s="259"/>
      <c r="AB110" s="259"/>
      <c r="AC110" s="259"/>
      <c r="AD110" s="259"/>
    </row>
    <row r="111" spans="1:30" x14ac:dyDescent="0.25">
      <c r="Q111" s="259"/>
      <c r="R111" s="259"/>
      <c r="S111" s="259"/>
      <c r="T111" s="259"/>
      <c r="U111" s="259"/>
      <c r="V111" s="259"/>
      <c r="W111" s="259"/>
      <c r="X111" s="259"/>
      <c r="Y111" s="259"/>
      <c r="Z111" s="259"/>
      <c r="AA111" s="259"/>
      <c r="AB111" s="259"/>
      <c r="AC111" s="259"/>
      <c r="AD111" s="259"/>
    </row>
    <row r="112" spans="1:30" x14ac:dyDescent="0.25">
      <c r="Q112" s="259"/>
      <c r="R112" s="259"/>
      <c r="S112" s="259"/>
      <c r="T112" s="259"/>
      <c r="U112" s="259"/>
      <c r="V112" s="259"/>
      <c r="W112" s="259"/>
      <c r="X112" s="259"/>
      <c r="Y112" s="259"/>
      <c r="Z112" s="259"/>
      <c r="AA112" s="259"/>
      <c r="AB112" s="259"/>
      <c r="AC112" s="259"/>
      <c r="AD112" s="259"/>
    </row>
    <row r="113" spans="17:30" x14ac:dyDescent="0.25">
      <c r="Q113" s="259"/>
      <c r="R113" s="259"/>
      <c r="S113" s="259"/>
      <c r="T113" s="259"/>
      <c r="U113" s="259"/>
      <c r="V113" s="259"/>
      <c r="W113" s="259"/>
      <c r="X113" s="259"/>
      <c r="Y113" s="259"/>
      <c r="Z113" s="259"/>
      <c r="AA113" s="259"/>
      <c r="AB113" s="259"/>
      <c r="AC113" s="259"/>
      <c r="AD113" s="259"/>
    </row>
    <row r="114" spans="17:30" x14ac:dyDescent="0.25">
      <c r="Q114" s="259"/>
      <c r="R114" s="259"/>
      <c r="S114" s="259"/>
      <c r="T114" s="259"/>
      <c r="U114" s="259"/>
      <c r="V114" s="259"/>
      <c r="W114" s="259"/>
      <c r="X114" s="259"/>
      <c r="Y114" s="259"/>
      <c r="Z114" s="259"/>
      <c r="AA114" s="259"/>
      <c r="AB114" s="259"/>
      <c r="AC114" s="259"/>
      <c r="AD114" s="259"/>
    </row>
    <row r="115" spans="17:30" x14ac:dyDescent="0.25">
      <c r="Q115" s="259"/>
      <c r="R115" s="259"/>
      <c r="S115" s="259"/>
      <c r="T115" s="259"/>
      <c r="U115" s="259"/>
      <c r="V115" s="259"/>
      <c r="W115" s="259"/>
      <c r="X115" s="259"/>
      <c r="Y115" s="259"/>
      <c r="Z115" s="259"/>
      <c r="AA115" s="259"/>
      <c r="AB115" s="259"/>
      <c r="AC115" s="259"/>
      <c r="AD115" s="259"/>
    </row>
    <row r="116" spans="17:30" x14ac:dyDescent="0.25">
      <c r="Q116" s="259"/>
      <c r="R116" s="259"/>
      <c r="S116" s="259"/>
      <c r="T116" s="259"/>
      <c r="U116" s="259"/>
      <c r="V116" s="259"/>
      <c r="W116" s="259"/>
      <c r="X116" s="259"/>
      <c r="Y116" s="259"/>
      <c r="Z116" s="259"/>
      <c r="AA116" s="259"/>
      <c r="AB116" s="259"/>
      <c r="AC116" s="259"/>
      <c r="AD116" s="259"/>
    </row>
    <row r="117" spans="17:30" x14ac:dyDescent="0.25">
      <c r="Q117" s="259"/>
      <c r="R117" s="259"/>
      <c r="S117" s="259"/>
      <c r="T117" s="259"/>
      <c r="U117" s="259"/>
      <c r="V117" s="259"/>
      <c r="W117" s="259"/>
      <c r="X117" s="259"/>
      <c r="Y117" s="259"/>
      <c r="Z117" s="259"/>
      <c r="AA117" s="259"/>
      <c r="AB117" s="259"/>
      <c r="AC117" s="259"/>
      <c r="AD117" s="259"/>
    </row>
    <row r="118" spans="17:30" x14ac:dyDescent="0.25">
      <c r="Q118" s="259"/>
      <c r="R118" s="259"/>
      <c r="S118" s="259"/>
      <c r="T118" s="259"/>
      <c r="U118" s="259"/>
      <c r="V118" s="259"/>
      <c r="W118" s="259"/>
      <c r="X118" s="259"/>
      <c r="Y118" s="259"/>
      <c r="Z118" s="259"/>
      <c r="AA118" s="259"/>
      <c r="AB118" s="259"/>
      <c r="AC118" s="259"/>
      <c r="AD118" s="259"/>
    </row>
    <row r="119" spans="17:30" x14ac:dyDescent="0.25">
      <c r="Q119" s="259"/>
      <c r="R119" s="259"/>
      <c r="S119" s="259"/>
      <c r="T119" s="259"/>
      <c r="U119" s="259"/>
      <c r="V119" s="259"/>
      <c r="W119" s="259"/>
      <c r="X119" s="259"/>
      <c r="Y119" s="259"/>
      <c r="Z119" s="259"/>
      <c r="AA119" s="259"/>
      <c r="AB119" s="259"/>
      <c r="AC119" s="259"/>
      <c r="AD119" s="259"/>
    </row>
    <row r="120" spans="17:30" x14ac:dyDescent="0.25">
      <c r="Q120" s="259"/>
      <c r="R120" s="259"/>
      <c r="S120" s="259"/>
      <c r="T120" s="259"/>
      <c r="U120" s="259"/>
      <c r="V120" s="259"/>
      <c r="W120" s="259"/>
      <c r="X120" s="259"/>
      <c r="Y120" s="259"/>
      <c r="Z120" s="259"/>
      <c r="AA120" s="259"/>
      <c r="AB120" s="259"/>
      <c r="AC120" s="259"/>
      <c r="AD120" s="259"/>
    </row>
    <row r="121" spans="17:30" x14ac:dyDescent="0.25">
      <c r="Q121" s="259"/>
      <c r="R121" s="259"/>
      <c r="S121" s="259"/>
      <c r="T121" s="259"/>
      <c r="U121" s="259"/>
      <c r="V121" s="259"/>
      <c r="W121" s="259"/>
      <c r="X121" s="259"/>
      <c r="Y121" s="259"/>
      <c r="Z121" s="259"/>
      <c r="AA121" s="259"/>
      <c r="AB121" s="259"/>
      <c r="AC121" s="259"/>
      <c r="AD121" s="259"/>
    </row>
    <row r="122" spans="17:30" x14ac:dyDescent="0.25">
      <c r="Q122" s="259"/>
      <c r="R122" s="259"/>
      <c r="S122" s="259"/>
      <c r="T122" s="259"/>
      <c r="U122" s="259"/>
      <c r="V122" s="259"/>
      <c r="W122" s="259"/>
      <c r="X122" s="259"/>
      <c r="Y122" s="259"/>
      <c r="Z122" s="259"/>
      <c r="AA122" s="259"/>
      <c r="AB122" s="259"/>
      <c r="AC122" s="259"/>
      <c r="AD122" s="259"/>
    </row>
    <row r="123" spans="17:30" x14ac:dyDescent="0.25">
      <c r="Q123" s="259"/>
      <c r="R123" s="259"/>
      <c r="S123" s="259"/>
      <c r="T123" s="259"/>
      <c r="U123" s="259"/>
      <c r="V123" s="259"/>
      <c r="W123" s="259"/>
      <c r="X123" s="259"/>
      <c r="Y123" s="259"/>
      <c r="Z123" s="259"/>
      <c r="AA123" s="259"/>
      <c r="AB123" s="259"/>
      <c r="AC123" s="259"/>
      <c r="AD123" s="259"/>
    </row>
    <row r="124" spans="17:30" x14ac:dyDescent="0.25">
      <c r="Q124" s="259"/>
      <c r="R124" s="259"/>
      <c r="S124" s="259"/>
      <c r="T124" s="259"/>
      <c r="U124" s="259"/>
      <c r="V124" s="259"/>
      <c r="W124" s="259"/>
      <c r="X124" s="259"/>
      <c r="Y124" s="259"/>
      <c r="Z124" s="259"/>
      <c r="AA124" s="259"/>
      <c r="AB124" s="259"/>
      <c r="AC124" s="259"/>
      <c r="AD124" s="259"/>
    </row>
    <row r="125" spans="17:30" x14ac:dyDescent="0.25">
      <c r="Q125" s="259"/>
      <c r="R125" s="259"/>
      <c r="S125" s="259"/>
      <c r="T125" s="259"/>
      <c r="U125" s="259"/>
      <c r="V125" s="259"/>
      <c r="W125" s="259"/>
      <c r="X125" s="259"/>
      <c r="Y125" s="259"/>
      <c r="Z125" s="259"/>
      <c r="AA125" s="259"/>
      <c r="AB125" s="259"/>
      <c r="AC125" s="259"/>
      <c r="AD125" s="259"/>
    </row>
    <row r="126" spans="17:30" x14ac:dyDescent="0.25">
      <c r="Q126" s="259"/>
      <c r="R126" s="259"/>
      <c r="S126" s="259"/>
      <c r="T126" s="259"/>
      <c r="U126" s="259"/>
      <c r="V126" s="259"/>
      <c r="W126" s="259"/>
      <c r="X126" s="259"/>
      <c r="Y126" s="259"/>
      <c r="Z126" s="259"/>
      <c r="AA126" s="259"/>
      <c r="AB126" s="259"/>
      <c r="AC126" s="259"/>
      <c r="AD126" s="259"/>
    </row>
    <row r="127" spans="17:30" x14ac:dyDescent="0.25">
      <c r="Q127" s="259"/>
      <c r="R127" s="259"/>
      <c r="S127" s="259"/>
      <c r="T127" s="259"/>
      <c r="U127" s="259"/>
      <c r="V127" s="259"/>
      <c r="W127" s="259"/>
      <c r="X127" s="259"/>
      <c r="Y127" s="259"/>
      <c r="Z127" s="259"/>
      <c r="AA127" s="259"/>
      <c r="AB127" s="259"/>
      <c r="AC127" s="259"/>
      <c r="AD127" s="259"/>
    </row>
    <row r="128" spans="17:30" x14ac:dyDescent="0.25">
      <c r="Q128" s="259"/>
      <c r="R128" s="259"/>
      <c r="S128" s="259"/>
      <c r="T128" s="259"/>
      <c r="U128" s="259"/>
      <c r="V128" s="259"/>
      <c r="W128" s="259"/>
      <c r="X128" s="259"/>
      <c r="Y128" s="259"/>
      <c r="Z128" s="259"/>
      <c r="AA128" s="259"/>
      <c r="AB128" s="259"/>
      <c r="AC128" s="259"/>
      <c r="AD128" s="259"/>
    </row>
    <row r="129" spans="17:30" x14ac:dyDescent="0.25">
      <c r="Q129" s="259"/>
      <c r="R129" s="259"/>
      <c r="S129" s="259"/>
      <c r="T129" s="259"/>
      <c r="U129" s="259"/>
      <c r="V129" s="259"/>
      <c r="W129" s="259"/>
      <c r="X129" s="259"/>
      <c r="Y129" s="259"/>
      <c r="Z129" s="259"/>
      <c r="AA129" s="259"/>
      <c r="AB129" s="259"/>
      <c r="AC129" s="259"/>
      <c r="AD129" s="259"/>
    </row>
    <row r="130" spans="17:30" x14ac:dyDescent="0.25">
      <c r="Q130" s="259"/>
      <c r="R130" s="259"/>
      <c r="S130" s="259"/>
      <c r="T130" s="259"/>
      <c r="U130" s="259"/>
      <c r="V130" s="259"/>
      <c r="W130" s="259"/>
      <c r="X130" s="259"/>
      <c r="Y130" s="259"/>
      <c r="Z130" s="259"/>
      <c r="AA130" s="259"/>
      <c r="AB130" s="259"/>
      <c r="AC130" s="259"/>
      <c r="AD130" s="259"/>
    </row>
    <row r="131" spans="17:30" x14ac:dyDescent="0.25">
      <c r="Q131" s="259"/>
      <c r="R131" s="259"/>
      <c r="S131" s="259"/>
      <c r="T131" s="259"/>
      <c r="U131" s="259"/>
      <c r="V131" s="259"/>
      <c r="W131" s="259"/>
      <c r="X131" s="259"/>
      <c r="Y131" s="259"/>
      <c r="Z131" s="259"/>
      <c r="AA131" s="259"/>
      <c r="AB131" s="259"/>
      <c r="AC131" s="259"/>
      <c r="AD131" s="259"/>
    </row>
    <row r="132" spans="17:30" x14ac:dyDescent="0.25">
      <c r="Q132" s="259"/>
      <c r="R132" s="259"/>
      <c r="S132" s="259"/>
      <c r="T132" s="259"/>
      <c r="U132" s="259"/>
      <c r="V132" s="259"/>
      <c r="W132" s="259"/>
      <c r="X132" s="259"/>
      <c r="Y132" s="259"/>
      <c r="Z132" s="259"/>
      <c r="AA132" s="259"/>
      <c r="AB132" s="259"/>
      <c r="AC132" s="259"/>
      <c r="AD132" s="259"/>
    </row>
    <row r="133" spans="17:30" x14ac:dyDescent="0.25">
      <c r="Q133" s="259"/>
      <c r="R133" s="259"/>
      <c r="S133" s="259"/>
      <c r="T133" s="259"/>
      <c r="U133" s="259"/>
      <c r="V133" s="259"/>
      <c r="W133" s="259"/>
      <c r="X133" s="259"/>
      <c r="Y133" s="259"/>
      <c r="Z133" s="259"/>
      <c r="AA133" s="259"/>
      <c r="AB133" s="259"/>
      <c r="AC133" s="259"/>
      <c r="AD133" s="259"/>
    </row>
    <row r="134" spans="17:30" x14ac:dyDescent="0.25">
      <c r="Q134" s="259"/>
      <c r="R134" s="259"/>
      <c r="S134" s="259"/>
      <c r="T134" s="259"/>
      <c r="U134" s="259"/>
      <c r="V134" s="259"/>
      <c r="W134" s="259"/>
      <c r="X134" s="259"/>
      <c r="Y134" s="259"/>
      <c r="Z134" s="259"/>
      <c r="AA134" s="259"/>
      <c r="AB134" s="259"/>
      <c r="AC134" s="259"/>
      <c r="AD134" s="259"/>
    </row>
    <row r="135" spans="17:30" x14ac:dyDescent="0.25">
      <c r="Q135" s="259"/>
      <c r="R135" s="259"/>
      <c r="S135" s="259"/>
      <c r="T135" s="259"/>
      <c r="U135" s="259"/>
      <c r="V135" s="259"/>
      <c r="W135" s="259"/>
      <c r="X135" s="259"/>
      <c r="Y135" s="259"/>
      <c r="Z135" s="259"/>
      <c r="AA135" s="259"/>
      <c r="AB135" s="259"/>
      <c r="AC135" s="259"/>
      <c r="AD135" s="259"/>
    </row>
    <row r="136" spans="17:30" x14ac:dyDescent="0.25">
      <c r="Q136" s="259"/>
      <c r="R136" s="259"/>
      <c r="S136" s="259"/>
      <c r="T136" s="259"/>
      <c r="U136" s="259"/>
      <c r="V136" s="259"/>
      <c r="W136" s="259"/>
      <c r="X136" s="259"/>
      <c r="Y136" s="259"/>
      <c r="Z136" s="259"/>
      <c r="AA136" s="259"/>
      <c r="AB136" s="259"/>
      <c r="AC136" s="259"/>
      <c r="AD136" s="259"/>
    </row>
    <row r="137" spans="17:30" x14ac:dyDescent="0.25">
      <c r="Q137" s="259"/>
      <c r="R137" s="259"/>
      <c r="S137" s="259"/>
      <c r="T137" s="259"/>
      <c r="U137" s="259"/>
      <c r="V137" s="259"/>
      <c r="W137" s="259"/>
      <c r="X137" s="259"/>
      <c r="Y137" s="259"/>
      <c r="Z137" s="259"/>
      <c r="AA137" s="259"/>
      <c r="AB137" s="259"/>
      <c r="AC137" s="259"/>
      <c r="AD137" s="259"/>
    </row>
    <row r="138" spans="17:30" x14ac:dyDescent="0.25">
      <c r="Q138" s="259"/>
      <c r="R138" s="259"/>
      <c r="S138" s="259"/>
      <c r="T138" s="259"/>
      <c r="U138" s="259"/>
      <c r="V138" s="259"/>
      <c r="W138" s="259"/>
      <c r="X138" s="259"/>
      <c r="Y138" s="259"/>
      <c r="Z138" s="259"/>
      <c r="AA138" s="259"/>
      <c r="AB138" s="259"/>
      <c r="AC138" s="259"/>
      <c r="AD138" s="259"/>
    </row>
    <row r="139" spans="17:30" x14ac:dyDescent="0.25">
      <c r="Q139" s="259"/>
      <c r="R139" s="259"/>
      <c r="S139" s="259"/>
      <c r="T139" s="259"/>
      <c r="U139" s="259"/>
      <c r="V139" s="259"/>
      <c r="W139" s="259"/>
      <c r="X139" s="259"/>
      <c r="Y139" s="259"/>
      <c r="Z139" s="259"/>
      <c r="AA139" s="259"/>
      <c r="AB139" s="259"/>
      <c r="AC139" s="259"/>
      <c r="AD139" s="259"/>
    </row>
    <row r="140" spans="17:30" x14ac:dyDescent="0.25">
      <c r="Q140" s="259"/>
      <c r="R140" s="259"/>
      <c r="S140" s="259"/>
      <c r="T140" s="259"/>
      <c r="U140" s="259"/>
      <c r="V140" s="259"/>
      <c r="W140" s="259"/>
      <c r="X140" s="259"/>
      <c r="Y140" s="259"/>
      <c r="Z140" s="259"/>
      <c r="AA140" s="259"/>
      <c r="AB140" s="259"/>
      <c r="AC140" s="259"/>
      <c r="AD140" s="259"/>
    </row>
    <row r="141" spans="17:30" x14ac:dyDescent="0.25">
      <c r="Q141" s="259"/>
      <c r="R141" s="259"/>
      <c r="S141" s="259"/>
      <c r="T141" s="259"/>
      <c r="U141" s="259"/>
      <c r="V141" s="259"/>
      <c r="W141" s="259"/>
      <c r="X141" s="259"/>
      <c r="Y141" s="259"/>
      <c r="Z141" s="259"/>
      <c r="AA141" s="259"/>
      <c r="AB141" s="259"/>
      <c r="AC141" s="259"/>
      <c r="AD141" s="259"/>
    </row>
    <row r="142" spans="17:30" x14ac:dyDescent="0.25">
      <c r="Q142" s="259"/>
      <c r="R142" s="259"/>
      <c r="S142" s="259"/>
      <c r="T142" s="259"/>
      <c r="U142" s="259"/>
      <c r="V142" s="259"/>
      <c r="W142" s="259"/>
      <c r="X142" s="259"/>
      <c r="Y142" s="259"/>
      <c r="Z142" s="259"/>
      <c r="AA142" s="259"/>
      <c r="AB142" s="259"/>
      <c r="AC142" s="259"/>
      <c r="AD142" s="259"/>
    </row>
    <row r="143" spans="17:30" x14ac:dyDescent="0.25">
      <c r="Q143" s="259"/>
      <c r="R143" s="259"/>
      <c r="S143" s="259"/>
      <c r="T143" s="259"/>
      <c r="U143" s="259"/>
      <c r="V143" s="259"/>
      <c r="W143" s="259"/>
      <c r="X143" s="259"/>
      <c r="Y143" s="259"/>
      <c r="Z143" s="259"/>
      <c r="AA143" s="259"/>
      <c r="AB143" s="259"/>
      <c r="AC143" s="259"/>
      <c r="AD143" s="259"/>
    </row>
    <row r="144" spans="17:30" x14ac:dyDescent="0.25">
      <c r="Q144" s="259"/>
      <c r="R144" s="259"/>
      <c r="S144" s="259"/>
      <c r="T144" s="259"/>
      <c r="U144" s="259"/>
      <c r="V144" s="259"/>
      <c r="W144" s="259"/>
      <c r="X144" s="259"/>
      <c r="Y144" s="259"/>
      <c r="Z144" s="259"/>
      <c r="AA144" s="259"/>
      <c r="AB144" s="259"/>
      <c r="AC144" s="259"/>
      <c r="AD144" s="259"/>
    </row>
    <row r="145" spans="17:30" x14ac:dyDescent="0.25">
      <c r="Q145" s="259"/>
      <c r="R145" s="259"/>
      <c r="S145" s="259"/>
      <c r="T145" s="259"/>
      <c r="U145" s="259"/>
      <c r="V145" s="259"/>
      <c r="W145" s="259"/>
      <c r="X145" s="259"/>
      <c r="Y145" s="259"/>
      <c r="Z145" s="259"/>
      <c r="AA145" s="259"/>
      <c r="AB145" s="259"/>
      <c r="AC145" s="259"/>
      <c r="AD145" s="259"/>
    </row>
    <row r="146" spans="17:30" x14ac:dyDescent="0.25">
      <c r="Q146" s="259"/>
      <c r="R146" s="259"/>
      <c r="S146" s="259"/>
      <c r="T146" s="259"/>
      <c r="U146" s="259"/>
      <c r="V146" s="259"/>
      <c r="W146" s="259"/>
      <c r="X146" s="259"/>
      <c r="Y146" s="259"/>
      <c r="Z146" s="259"/>
      <c r="AA146" s="259"/>
      <c r="AB146" s="259"/>
      <c r="AC146" s="259"/>
      <c r="AD146" s="259"/>
    </row>
    <row r="147" spans="17:30" x14ac:dyDescent="0.25">
      <c r="Q147" s="259"/>
      <c r="R147" s="259"/>
      <c r="S147" s="259"/>
      <c r="T147" s="259"/>
      <c r="U147" s="259"/>
      <c r="V147" s="259"/>
      <c r="W147" s="259"/>
      <c r="X147" s="259"/>
      <c r="Y147" s="259"/>
      <c r="Z147" s="259"/>
      <c r="AA147" s="259"/>
      <c r="AB147" s="259"/>
      <c r="AC147" s="259"/>
      <c r="AD147" s="259"/>
    </row>
    <row r="148" spans="17:30" x14ac:dyDescent="0.25">
      <c r="Q148" s="259"/>
      <c r="R148" s="259"/>
      <c r="S148" s="259"/>
      <c r="T148" s="259"/>
      <c r="U148" s="259"/>
      <c r="V148" s="259"/>
      <c r="W148" s="259"/>
      <c r="X148" s="259"/>
      <c r="Y148" s="259"/>
      <c r="Z148" s="259"/>
      <c r="AA148" s="259"/>
      <c r="AB148" s="259"/>
      <c r="AC148" s="259"/>
      <c r="AD148" s="259"/>
    </row>
    <row r="149" spans="17:30" x14ac:dyDescent="0.25">
      <c r="Q149" s="259"/>
      <c r="R149" s="259"/>
      <c r="S149" s="259"/>
      <c r="T149" s="259"/>
      <c r="U149" s="259"/>
      <c r="V149" s="259"/>
      <c r="W149" s="259"/>
      <c r="X149" s="259"/>
      <c r="Y149" s="259"/>
      <c r="Z149" s="259"/>
      <c r="AA149" s="259"/>
      <c r="AB149" s="259"/>
      <c r="AC149" s="259"/>
      <c r="AD149" s="259"/>
    </row>
    <row r="150" spans="17:30" x14ac:dyDescent="0.25">
      <c r="Q150" s="259"/>
      <c r="R150" s="259"/>
      <c r="S150" s="259"/>
      <c r="T150" s="259"/>
      <c r="U150" s="259"/>
      <c r="V150" s="259"/>
      <c r="W150" s="259"/>
      <c r="X150" s="259"/>
      <c r="Y150" s="259"/>
      <c r="Z150" s="259"/>
      <c r="AA150" s="259"/>
      <c r="AB150" s="259"/>
      <c r="AC150" s="259"/>
      <c r="AD150" s="259"/>
    </row>
    <row r="151" spans="17:30" x14ac:dyDescent="0.25">
      <c r="Q151" s="259"/>
      <c r="R151" s="259"/>
      <c r="S151" s="259"/>
      <c r="T151" s="259"/>
      <c r="U151" s="259"/>
      <c r="V151" s="259"/>
      <c r="W151" s="259"/>
      <c r="X151" s="259"/>
      <c r="Y151" s="259"/>
      <c r="Z151" s="259"/>
      <c r="AA151" s="259"/>
      <c r="AB151" s="259"/>
      <c r="AC151" s="259"/>
      <c r="AD151" s="259"/>
    </row>
    <row r="152" spans="17:30" x14ac:dyDescent="0.25">
      <c r="Q152" s="259"/>
      <c r="R152" s="259"/>
      <c r="S152" s="259"/>
      <c r="T152" s="259"/>
      <c r="U152" s="259"/>
      <c r="V152" s="259"/>
      <c r="W152" s="259"/>
      <c r="X152" s="259"/>
      <c r="Y152" s="259"/>
      <c r="Z152" s="259"/>
      <c r="AA152" s="259"/>
      <c r="AB152" s="259"/>
      <c r="AC152" s="259"/>
      <c r="AD152" s="259"/>
    </row>
    <row r="153" spans="17:30" x14ac:dyDescent="0.25">
      <c r="Q153" s="259"/>
      <c r="R153" s="259"/>
      <c r="S153" s="259"/>
      <c r="T153" s="259"/>
      <c r="U153" s="259"/>
      <c r="V153" s="259"/>
      <c r="W153" s="259"/>
      <c r="X153" s="259"/>
      <c r="Y153" s="259"/>
      <c r="Z153" s="259"/>
      <c r="AA153" s="259"/>
      <c r="AB153" s="259"/>
      <c r="AC153" s="259"/>
      <c r="AD153" s="259"/>
    </row>
    <row r="154" spans="17:30" x14ac:dyDescent="0.25">
      <c r="Q154" s="259"/>
      <c r="R154" s="259"/>
      <c r="S154" s="259"/>
      <c r="T154" s="259"/>
      <c r="U154" s="259"/>
      <c r="V154" s="259"/>
      <c r="W154" s="259"/>
      <c r="X154" s="259"/>
      <c r="Y154" s="259"/>
      <c r="Z154" s="259"/>
      <c r="AA154" s="259"/>
      <c r="AB154" s="259"/>
      <c r="AC154" s="259"/>
      <c r="AD154" s="259"/>
    </row>
    <row r="155" spans="17:30" x14ac:dyDescent="0.25">
      <c r="Q155" s="259"/>
      <c r="R155" s="259"/>
      <c r="S155" s="259"/>
      <c r="T155" s="259"/>
      <c r="U155" s="259"/>
      <c r="V155" s="259"/>
      <c r="W155" s="259"/>
      <c r="X155" s="259"/>
      <c r="Y155" s="259"/>
      <c r="Z155" s="259"/>
      <c r="AA155" s="259"/>
      <c r="AB155" s="259"/>
      <c r="AC155" s="259"/>
      <c r="AD155" s="259"/>
    </row>
    <row r="156" spans="17:30" x14ac:dyDescent="0.25">
      <c r="Q156" s="259"/>
      <c r="R156" s="259"/>
      <c r="S156" s="259"/>
      <c r="T156" s="259"/>
      <c r="U156" s="259"/>
      <c r="V156" s="259"/>
      <c r="W156" s="259"/>
      <c r="X156" s="259"/>
      <c r="Y156" s="259"/>
      <c r="Z156" s="259"/>
      <c r="AA156" s="259"/>
      <c r="AB156" s="259"/>
      <c r="AC156" s="259"/>
      <c r="AD156" s="259"/>
    </row>
    <row r="157" spans="17:30" x14ac:dyDescent="0.25">
      <c r="Q157" s="259"/>
      <c r="R157" s="259"/>
      <c r="S157" s="259"/>
      <c r="T157" s="259"/>
      <c r="U157" s="259"/>
      <c r="V157" s="259"/>
      <c r="W157" s="259"/>
      <c r="X157" s="259"/>
      <c r="Y157" s="259"/>
      <c r="Z157" s="259"/>
      <c r="AA157" s="259"/>
      <c r="AB157" s="259"/>
      <c r="AC157" s="259"/>
      <c r="AD157" s="259"/>
    </row>
    <row r="158" spans="17:30" x14ac:dyDescent="0.25">
      <c r="Q158" s="259"/>
      <c r="R158" s="259"/>
      <c r="S158" s="259"/>
      <c r="T158" s="259"/>
      <c r="U158" s="259"/>
      <c r="V158" s="259"/>
      <c r="W158" s="259"/>
      <c r="X158" s="259"/>
      <c r="Y158" s="259"/>
      <c r="Z158" s="259"/>
      <c r="AA158" s="259"/>
      <c r="AB158" s="259"/>
      <c r="AC158" s="259"/>
      <c r="AD158" s="259"/>
    </row>
    <row r="159" spans="17:30" x14ac:dyDescent="0.25">
      <c r="Q159" s="259"/>
      <c r="R159" s="259"/>
      <c r="S159" s="259"/>
      <c r="T159" s="259"/>
      <c r="U159" s="259"/>
      <c r="V159" s="259"/>
      <c r="W159" s="259"/>
      <c r="X159" s="259"/>
      <c r="Y159" s="259"/>
      <c r="Z159" s="259"/>
      <c r="AA159" s="259"/>
      <c r="AB159" s="259"/>
      <c r="AC159" s="259"/>
      <c r="AD159" s="259"/>
    </row>
    <row r="160" spans="17:30" x14ac:dyDescent="0.25">
      <c r="Q160" s="259"/>
      <c r="R160" s="259"/>
      <c r="S160" s="259"/>
      <c r="T160" s="259"/>
      <c r="U160" s="259"/>
      <c r="V160" s="259"/>
      <c r="W160" s="259"/>
      <c r="X160" s="259"/>
      <c r="Y160" s="259"/>
      <c r="Z160" s="259"/>
      <c r="AA160" s="259"/>
      <c r="AB160" s="259"/>
      <c r="AC160" s="259"/>
      <c r="AD160" s="259"/>
    </row>
    <row r="161" spans="17:30" x14ac:dyDescent="0.25">
      <c r="Q161" s="259"/>
      <c r="R161" s="259"/>
      <c r="S161" s="259"/>
      <c r="T161" s="259"/>
      <c r="U161" s="259"/>
      <c r="V161" s="259"/>
      <c r="W161" s="259"/>
      <c r="X161" s="259"/>
      <c r="Y161" s="259"/>
      <c r="Z161" s="259"/>
      <c r="AA161" s="259"/>
      <c r="AB161" s="259"/>
      <c r="AC161" s="259"/>
      <c r="AD161" s="259"/>
    </row>
    <row r="162" spans="17:30" x14ac:dyDescent="0.25">
      <c r="Q162" s="259"/>
      <c r="R162" s="259"/>
      <c r="S162" s="259"/>
      <c r="T162" s="259"/>
      <c r="U162" s="259"/>
      <c r="V162" s="259"/>
      <c r="W162" s="259"/>
      <c r="X162" s="259"/>
      <c r="Y162" s="259"/>
      <c r="Z162" s="259"/>
      <c r="AA162" s="259"/>
      <c r="AB162" s="259"/>
      <c r="AC162" s="259"/>
      <c r="AD162" s="259"/>
    </row>
    <row r="163" spans="17:30" x14ac:dyDescent="0.25">
      <c r="Q163" s="259"/>
      <c r="R163" s="259"/>
      <c r="S163" s="259"/>
      <c r="T163" s="259"/>
      <c r="U163" s="259"/>
      <c r="V163" s="259"/>
      <c r="W163" s="259"/>
      <c r="X163" s="259"/>
      <c r="Y163" s="259"/>
      <c r="Z163" s="259"/>
      <c r="AA163" s="259"/>
      <c r="AB163" s="259"/>
      <c r="AC163" s="259"/>
      <c r="AD163" s="259"/>
    </row>
    <row r="164" spans="17:30" x14ac:dyDescent="0.25">
      <c r="Q164" s="259"/>
      <c r="R164" s="259"/>
      <c r="S164" s="259"/>
      <c r="T164" s="259"/>
      <c r="U164" s="259"/>
      <c r="V164" s="259"/>
      <c r="W164" s="259"/>
      <c r="X164" s="259"/>
      <c r="Y164" s="259"/>
      <c r="Z164" s="259"/>
      <c r="AA164" s="259"/>
      <c r="AB164" s="259"/>
      <c r="AC164" s="259"/>
      <c r="AD164" s="259"/>
    </row>
    <row r="165" spans="17:30" x14ac:dyDescent="0.25">
      <c r="Q165" s="259"/>
      <c r="R165" s="259"/>
      <c r="S165" s="259"/>
      <c r="T165" s="259"/>
      <c r="U165" s="259"/>
      <c r="V165" s="259"/>
      <c r="W165" s="259"/>
      <c r="X165" s="259"/>
      <c r="Y165" s="259"/>
      <c r="Z165" s="259"/>
      <c r="AA165" s="259"/>
      <c r="AB165" s="259"/>
      <c r="AC165" s="259"/>
      <c r="AD165" s="259"/>
    </row>
    <row r="166" spans="17:30" x14ac:dyDescent="0.25">
      <c r="Q166" s="259"/>
      <c r="R166" s="259"/>
      <c r="S166" s="259"/>
      <c r="T166" s="259"/>
      <c r="U166" s="259"/>
      <c r="V166" s="259"/>
      <c r="W166" s="259"/>
      <c r="X166" s="259"/>
      <c r="Y166" s="259"/>
      <c r="Z166" s="259"/>
      <c r="AA166" s="259"/>
      <c r="AB166" s="259"/>
      <c r="AC166" s="259"/>
      <c r="AD166" s="259"/>
    </row>
    <row r="167" spans="17:30" x14ac:dyDescent="0.25">
      <c r="Q167" s="259"/>
      <c r="R167" s="259"/>
      <c r="S167" s="259"/>
      <c r="T167" s="259"/>
      <c r="U167" s="259"/>
      <c r="V167" s="259"/>
      <c r="W167" s="259"/>
      <c r="X167" s="259"/>
      <c r="Y167" s="259"/>
      <c r="Z167" s="259"/>
      <c r="AA167" s="259"/>
      <c r="AB167" s="259"/>
      <c r="AC167" s="259"/>
      <c r="AD167" s="259"/>
    </row>
    <row r="168" spans="17:30" x14ac:dyDescent="0.25">
      <c r="Q168" s="259"/>
      <c r="R168" s="259"/>
      <c r="S168" s="259"/>
      <c r="T168" s="259"/>
      <c r="U168" s="259"/>
      <c r="V168" s="259"/>
      <c r="W168" s="259"/>
      <c r="X168" s="259"/>
      <c r="Y168" s="259"/>
      <c r="Z168" s="259"/>
      <c r="AA168" s="259"/>
      <c r="AB168" s="259"/>
      <c r="AC168" s="259"/>
      <c r="AD168" s="259"/>
    </row>
    <row r="169" spans="17:30" x14ac:dyDescent="0.25">
      <c r="Q169" s="259"/>
      <c r="R169" s="259"/>
      <c r="S169" s="259"/>
      <c r="T169" s="259"/>
      <c r="U169" s="259"/>
      <c r="V169" s="259"/>
      <c r="W169" s="259"/>
      <c r="X169" s="259"/>
      <c r="Y169" s="259"/>
      <c r="Z169" s="259"/>
      <c r="AA169" s="259"/>
      <c r="AB169" s="259"/>
      <c r="AC169" s="259"/>
      <c r="AD169" s="259"/>
    </row>
    <row r="170" spans="17:30" x14ac:dyDescent="0.25">
      <c r="Q170" s="259"/>
      <c r="R170" s="259"/>
      <c r="S170" s="259"/>
      <c r="T170" s="259"/>
      <c r="U170" s="259"/>
      <c r="V170" s="259"/>
      <c r="W170" s="259"/>
      <c r="X170" s="259"/>
      <c r="Y170" s="259"/>
      <c r="Z170" s="259"/>
      <c r="AA170" s="259"/>
      <c r="AB170" s="259"/>
      <c r="AC170" s="259"/>
      <c r="AD170" s="259"/>
    </row>
    <row r="171" spans="17:30" x14ac:dyDescent="0.25">
      <c r="Q171" s="259"/>
      <c r="R171" s="259"/>
      <c r="S171" s="259"/>
      <c r="T171" s="259"/>
      <c r="U171" s="259"/>
      <c r="V171" s="259"/>
      <c r="W171" s="259"/>
      <c r="X171" s="259"/>
      <c r="Y171" s="259"/>
      <c r="Z171" s="259"/>
      <c r="AA171" s="259"/>
      <c r="AB171" s="259"/>
      <c r="AC171" s="259"/>
      <c r="AD171" s="259"/>
    </row>
    <row r="172" spans="17:30" x14ac:dyDescent="0.25">
      <c r="Q172" s="259"/>
      <c r="R172" s="259"/>
      <c r="S172" s="259"/>
      <c r="T172" s="259"/>
      <c r="U172" s="259"/>
      <c r="V172" s="259"/>
      <c r="W172" s="259"/>
      <c r="X172" s="259"/>
      <c r="Y172" s="259"/>
      <c r="Z172" s="259"/>
      <c r="AA172" s="259"/>
      <c r="AB172" s="259"/>
      <c r="AC172" s="259"/>
      <c r="AD172" s="259"/>
    </row>
    <row r="173" spans="17:30" x14ac:dyDescent="0.25">
      <c r="Q173" s="259"/>
      <c r="R173" s="259"/>
      <c r="S173" s="259"/>
      <c r="T173" s="259"/>
      <c r="U173" s="259"/>
      <c r="V173" s="259"/>
      <c r="W173" s="259"/>
      <c r="X173" s="259"/>
      <c r="Y173" s="259"/>
      <c r="Z173" s="259"/>
      <c r="AA173" s="259"/>
      <c r="AB173" s="259"/>
      <c r="AC173" s="259"/>
      <c r="AD173" s="259"/>
    </row>
    <row r="174" spans="17:30" x14ac:dyDescent="0.25">
      <c r="Q174" s="259"/>
      <c r="R174" s="259"/>
      <c r="S174" s="259"/>
      <c r="T174" s="259"/>
      <c r="U174" s="259"/>
      <c r="V174" s="259"/>
      <c r="W174" s="259"/>
      <c r="X174" s="259"/>
      <c r="Y174" s="259"/>
      <c r="Z174" s="259"/>
      <c r="AA174" s="259"/>
      <c r="AB174" s="259"/>
      <c r="AC174" s="259"/>
      <c r="AD174" s="259"/>
    </row>
    <row r="175" spans="17:30" x14ac:dyDescent="0.25">
      <c r="Q175" s="259"/>
      <c r="R175" s="259"/>
      <c r="S175" s="259"/>
      <c r="T175" s="259"/>
      <c r="U175" s="259"/>
      <c r="V175" s="259"/>
      <c r="W175" s="259"/>
      <c r="X175" s="259"/>
      <c r="Y175" s="259"/>
      <c r="Z175" s="259"/>
      <c r="AA175" s="259"/>
      <c r="AB175" s="259"/>
      <c r="AC175" s="259"/>
      <c r="AD175" s="259"/>
    </row>
    <row r="176" spans="17:30" x14ac:dyDescent="0.25">
      <c r="Q176" s="259"/>
      <c r="R176" s="259"/>
      <c r="S176" s="259"/>
      <c r="T176" s="259"/>
      <c r="U176" s="259"/>
      <c r="V176" s="259"/>
      <c r="W176" s="259"/>
      <c r="X176" s="259"/>
      <c r="Y176" s="259"/>
      <c r="Z176" s="259"/>
      <c r="AA176" s="259"/>
      <c r="AB176" s="259"/>
      <c r="AC176" s="259"/>
      <c r="AD176" s="259"/>
    </row>
    <row r="177" spans="17:30" x14ac:dyDescent="0.25">
      <c r="Q177" s="259"/>
      <c r="R177" s="259"/>
      <c r="S177" s="259"/>
      <c r="T177" s="259"/>
      <c r="U177" s="259"/>
      <c r="V177" s="259"/>
      <c r="W177" s="259"/>
      <c r="X177" s="259"/>
      <c r="Y177" s="259"/>
      <c r="Z177" s="259"/>
      <c r="AA177" s="259"/>
      <c r="AB177" s="259"/>
      <c r="AC177" s="259"/>
      <c r="AD177" s="259"/>
    </row>
    <row r="178" spans="17:30" x14ac:dyDescent="0.25">
      <c r="Q178" s="259"/>
      <c r="R178" s="259"/>
      <c r="S178" s="259"/>
      <c r="T178" s="259"/>
      <c r="U178" s="259"/>
      <c r="V178" s="259"/>
      <c r="W178" s="259"/>
      <c r="X178" s="259"/>
      <c r="Y178" s="259"/>
      <c r="Z178" s="259"/>
      <c r="AA178" s="259"/>
      <c r="AB178" s="259"/>
      <c r="AC178" s="259"/>
      <c r="AD178" s="259"/>
    </row>
    <row r="179" spans="17:30" x14ac:dyDescent="0.25">
      <c r="Q179" s="259"/>
      <c r="R179" s="259"/>
      <c r="S179" s="259"/>
      <c r="T179" s="259"/>
      <c r="U179" s="259"/>
      <c r="V179" s="259"/>
      <c r="W179" s="259"/>
      <c r="X179" s="259"/>
      <c r="Y179" s="259"/>
      <c r="Z179" s="259"/>
      <c r="AA179" s="259"/>
      <c r="AB179" s="259"/>
      <c r="AC179" s="259"/>
      <c r="AD179" s="259"/>
    </row>
    <row r="180" spans="17:30" x14ac:dyDescent="0.25">
      <c r="Q180" s="259"/>
      <c r="R180" s="259"/>
      <c r="S180" s="259"/>
      <c r="T180" s="259"/>
      <c r="U180" s="259"/>
      <c r="V180" s="259"/>
      <c r="W180" s="259"/>
      <c r="X180" s="259"/>
      <c r="Y180" s="259"/>
      <c r="Z180" s="259"/>
      <c r="AA180" s="259"/>
      <c r="AB180" s="259"/>
      <c r="AC180" s="259"/>
      <c r="AD180" s="259"/>
    </row>
    <row r="181" spans="17:30" x14ac:dyDescent="0.25">
      <c r="Q181" s="259"/>
      <c r="R181" s="259"/>
      <c r="S181" s="259"/>
      <c r="T181" s="259"/>
      <c r="U181" s="259"/>
      <c r="V181" s="259"/>
      <c r="W181" s="259"/>
      <c r="X181" s="259"/>
      <c r="Y181" s="259"/>
      <c r="Z181" s="259"/>
      <c r="AA181" s="259"/>
      <c r="AB181" s="259"/>
      <c r="AC181" s="259"/>
      <c r="AD181" s="259"/>
    </row>
    <row r="182" spans="17:30" x14ac:dyDescent="0.25">
      <c r="Q182" s="259"/>
      <c r="R182" s="259"/>
      <c r="S182" s="259"/>
      <c r="T182" s="259"/>
      <c r="U182" s="259"/>
      <c r="V182" s="259"/>
      <c r="W182" s="259"/>
      <c r="X182" s="259"/>
      <c r="Y182" s="259"/>
      <c r="Z182" s="259"/>
      <c r="AA182" s="259"/>
      <c r="AB182" s="259"/>
      <c r="AC182" s="259"/>
      <c r="AD182" s="259"/>
    </row>
    <row r="183" spans="17:30" x14ac:dyDescent="0.25">
      <c r="Q183" s="259"/>
      <c r="R183" s="259"/>
      <c r="S183" s="259"/>
      <c r="T183" s="259"/>
      <c r="U183" s="259"/>
      <c r="V183" s="259"/>
      <c r="W183" s="259"/>
      <c r="X183" s="259"/>
      <c r="Y183" s="259"/>
      <c r="Z183" s="259"/>
      <c r="AA183" s="259"/>
      <c r="AB183" s="259"/>
      <c r="AC183" s="259"/>
      <c r="AD183" s="259"/>
    </row>
    <row r="184" spans="17:30" x14ac:dyDescent="0.25">
      <c r="Q184" s="259"/>
      <c r="R184" s="259"/>
      <c r="S184" s="259"/>
      <c r="T184" s="259"/>
      <c r="U184" s="259"/>
      <c r="V184" s="259"/>
      <c r="W184" s="259"/>
      <c r="X184" s="259"/>
      <c r="Y184" s="259"/>
      <c r="Z184" s="259"/>
      <c r="AA184" s="259"/>
      <c r="AB184" s="259"/>
      <c r="AC184" s="259"/>
      <c r="AD184" s="259"/>
    </row>
    <row r="185" spans="17:30" x14ac:dyDescent="0.25">
      <c r="Q185" s="259"/>
      <c r="R185" s="259"/>
      <c r="S185" s="259"/>
      <c r="T185" s="259"/>
      <c r="U185" s="259"/>
      <c r="V185" s="259"/>
      <c r="W185" s="259"/>
      <c r="X185" s="259"/>
      <c r="Y185" s="259"/>
      <c r="Z185" s="259"/>
      <c r="AA185" s="259"/>
      <c r="AB185" s="259"/>
      <c r="AC185" s="259"/>
      <c r="AD185" s="259"/>
    </row>
    <row r="186" spans="17:30" x14ac:dyDescent="0.25">
      <c r="Q186" s="259"/>
      <c r="R186" s="259"/>
      <c r="S186" s="259"/>
      <c r="T186" s="259"/>
      <c r="U186" s="259"/>
      <c r="V186" s="259"/>
      <c r="W186" s="259"/>
      <c r="X186" s="259"/>
      <c r="Y186" s="259"/>
      <c r="Z186" s="259"/>
      <c r="AA186" s="259"/>
      <c r="AB186" s="259"/>
      <c r="AC186" s="259"/>
      <c r="AD186" s="259"/>
    </row>
    <row r="187" spans="17:30" x14ac:dyDescent="0.25">
      <c r="Q187" s="259"/>
      <c r="R187" s="259"/>
      <c r="S187" s="259"/>
      <c r="T187" s="259"/>
      <c r="U187" s="259"/>
      <c r="V187" s="259"/>
      <c r="W187" s="259"/>
      <c r="X187" s="259"/>
      <c r="Y187" s="259"/>
      <c r="Z187" s="259"/>
      <c r="AA187" s="259"/>
      <c r="AB187" s="259"/>
      <c r="AC187" s="259"/>
      <c r="AD187" s="259"/>
    </row>
    <row r="188" spans="17:30" x14ac:dyDescent="0.25">
      <c r="Q188" s="259"/>
      <c r="R188" s="259"/>
      <c r="S188" s="259"/>
      <c r="T188" s="259"/>
      <c r="U188" s="259"/>
      <c r="V188" s="259"/>
      <c r="W188" s="259"/>
      <c r="X188" s="259"/>
      <c r="Y188" s="259"/>
      <c r="Z188" s="259"/>
      <c r="AA188" s="259"/>
      <c r="AB188" s="259"/>
      <c r="AC188" s="259"/>
      <c r="AD188" s="259"/>
    </row>
    <row r="189" spans="17:30" x14ac:dyDescent="0.25">
      <c r="Q189" s="259"/>
      <c r="R189" s="259"/>
      <c r="S189" s="259"/>
      <c r="T189" s="259"/>
      <c r="U189" s="259"/>
      <c r="V189" s="259"/>
      <c r="W189" s="259"/>
      <c r="X189" s="259"/>
      <c r="Y189" s="259"/>
      <c r="Z189" s="259"/>
      <c r="AA189" s="259"/>
      <c r="AB189" s="259"/>
      <c r="AC189" s="259"/>
      <c r="AD189" s="259"/>
    </row>
    <row r="190" spans="17:30" x14ac:dyDescent="0.25">
      <c r="Q190" s="259"/>
      <c r="R190" s="259"/>
      <c r="S190" s="259"/>
      <c r="T190" s="259"/>
      <c r="U190" s="259"/>
      <c r="V190" s="259"/>
      <c r="W190" s="259"/>
      <c r="X190" s="259"/>
      <c r="Y190" s="259"/>
      <c r="Z190" s="259"/>
      <c r="AA190" s="259"/>
      <c r="AB190" s="259"/>
      <c r="AC190" s="259"/>
      <c r="AD190" s="259"/>
    </row>
    <row r="191" spans="17:30" x14ac:dyDescent="0.25">
      <c r="Q191" s="259"/>
      <c r="R191" s="259"/>
      <c r="S191" s="259"/>
      <c r="T191" s="259"/>
      <c r="U191" s="259"/>
      <c r="V191" s="259"/>
      <c r="W191" s="259"/>
      <c r="X191" s="259"/>
      <c r="Y191" s="259"/>
      <c r="Z191" s="259"/>
      <c r="AA191" s="259"/>
      <c r="AB191" s="259"/>
      <c r="AC191" s="259"/>
      <c r="AD191" s="259"/>
    </row>
    <row r="192" spans="17:30" x14ac:dyDescent="0.25">
      <c r="Q192" s="259"/>
      <c r="R192" s="259"/>
      <c r="S192" s="259"/>
      <c r="T192" s="259"/>
      <c r="U192" s="259"/>
      <c r="V192" s="259"/>
      <c r="W192" s="259"/>
      <c r="X192" s="259"/>
      <c r="Y192" s="259"/>
      <c r="Z192" s="259"/>
      <c r="AA192" s="259"/>
      <c r="AB192" s="259"/>
      <c r="AC192" s="259"/>
      <c r="AD192" s="259"/>
    </row>
    <row r="193" spans="17:30" x14ac:dyDescent="0.25">
      <c r="Q193" s="259"/>
      <c r="R193" s="259"/>
      <c r="S193" s="259"/>
      <c r="T193" s="259"/>
      <c r="U193" s="259"/>
      <c r="V193" s="259"/>
      <c r="W193" s="259"/>
      <c r="X193" s="259"/>
      <c r="Y193" s="259"/>
      <c r="Z193" s="259"/>
      <c r="AA193" s="259"/>
      <c r="AB193" s="259"/>
      <c r="AC193" s="259"/>
      <c r="AD193" s="259"/>
    </row>
    <row r="194" spans="17:30" x14ac:dyDescent="0.25">
      <c r="Q194" s="259"/>
      <c r="R194" s="259"/>
      <c r="S194" s="259"/>
      <c r="T194" s="259"/>
      <c r="U194" s="259"/>
      <c r="V194" s="259"/>
      <c r="W194" s="259"/>
      <c r="X194" s="259"/>
      <c r="Y194" s="259"/>
      <c r="Z194" s="259"/>
      <c r="AA194" s="259"/>
      <c r="AB194" s="259"/>
      <c r="AC194" s="259"/>
      <c r="AD194" s="259"/>
    </row>
    <row r="195" spans="17:30" x14ac:dyDescent="0.25">
      <c r="Q195" s="259"/>
      <c r="R195" s="259"/>
      <c r="S195" s="259"/>
      <c r="T195" s="259"/>
      <c r="U195" s="259"/>
      <c r="V195" s="259"/>
      <c r="W195" s="259"/>
      <c r="X195" s="259"/>
      <c r="Y195" s="259"/>
      <c r="Z195" s="259"/>
      <c r="AA195" s="259"/>
      <c r="AB195" s="259"/>
      <c r="AC195" s="259"/>
      <c r="AD195" s="259"/>
    </row>
    <row r="196" spans="17:30" x14ac:dyDescent="0.25">
      <c r="Q196" s="259"/>
      <c r="R196" s="259"/>
      <c r="S196" s="259"/>
      <c r="T196" s="259"/>
      <c r="U196" s="259"/>
      <c r="V196" s="259"/>
      <c r="W196" s="259"/>
      <c r="X196" s="259"/>
      <c r="Y196" s="259"/>
      <c r="Z196" s="259"/>
      <c r="AA196" s="259"/>
      <c r="AB196" s="259"/>
      <c r="AC196" s="259"/>
      <c r="AD196" s="259"/>
    </row>
    <row r="197" spans="17:30" x14ac:dyDescent="0.25">
      <c r="Q197" s="259"/>
      <c r="R197" s="259"/>
      <c r="S197" s="259"/>
      <c r="T197" s="259"/>
      <c r="U197" s="259"/>
      <c r="V197" s="259"/>
      <c r="W197" s="259"/>
      <c r="X197" s="259"/>
      <c r="Y197" s="259"/>
      <c r="Z197" s="259"/>
      <c r="AA197" s="259"/>
      <c r="AB197" s="259"/>
      <c r="AC197" s="259"/>
      <c r="AD197" s="259"/>
    </row>
    <row r="198" spans="17:30" x14ac:dyDescent="0.25">
      <c r="Q198" s="259"/>
      <c r="R198" s="259"/>
      <c r="S198" s="259"/>
      <c r="T198" s="259"/>
      <c r="U198" s="259"/>
      <c r="V198" s="259"/>
      <c r="W198" s="259"/>
      <c r="X198" s="259"/>
      <c r="Y198" s="259"/>
      <c r="Z198" s="259"/>
      <c r="AA198" s="259"/>
      <c r="AB198" s="259"/>
      <c r="AC198" s="259"/>
      <c r="AD198" s="259"/>
    </row>
    <row r="199" spans="17:30" x14ac:dyDescent="0.25">
      <c r="Q199" s="259"/>
      <c r="R199" s="259"/>
      <c r="S199" s="259"/>
      <c r="T199" s="259"/>
      <c r="U199" s="259"/>
      <c r="V199" s="259"/>
      <c r="W199" s="259"/>
      <c r="X199" s="259"/>
      <c r="Y199" s="259"/>
      <c r="Z199" s="259"/>
      <c r="AA199" s="259"/>
      <c r="AB199" s="259"/>
      <c r="AC199" s="259"/>
      <c r="AD199" s="259"/>
    </row>
    <row r="200" spans="17:30" x14ac:dyDescent="0.25">
      <c r="Q200" s="259"/>
      <c r="R200" s="259"/>
      <c r="S200" s="259"/>
      <c r="T200" s="259"/>
      <c r="U200" s="259"/>
      <c r="V200" s="259"/>
      <c r="W200" s="259"/>
      <c r="X200" s="259"/>
      <c r="Y200" s="259"/>
      <c r="Z200" s="259"/>
      <c r="AA200" s="259"/>
      <c r="AB200" s="259"/>
      <c r="AC200" s="259"/>
      <c r="AD200" s="259"/>
    </row>
    <row r="201" spans="17:30" x14ac:dyDescent="0.25">
      <c r="Q201" s="259"/>
      <c r="R201" s="259"/>
      <c r="S201" s="259"/>
      <c r="T201" s="259"/>
      <c r="U201" s="259"/>
      <c r="V201" s="259"/>
      <c r="W201" s="259"/>
      <c r="X201" s="259"/>
      <c r="Y201" s="259"/>
      <c r="Z201" s="259"/>
      <c r="AA201" s="259"/>
      <c r="AB201" s="259"/>
      <c r="AC201" s="259"/>
      <c r="AD201" s="259"/>
    </row>
    <row r="202" spans="17:30" x14ac:dyDescent="0.25">
      <c r="Q202" s="259"/>
      <c r="R202" s="259"/>
      <c r="S202" s="259"/>
      <c r="T202" s="259"/>
      <c r="U202" s="259"/>
      <c r="V202" s="259"/>
      <c r="W202" s="259"/>
      <c r="X202" s="259"/>
      <c r="Y202" s="259"/>
      <c r="Z202" s="259"/>
      <c r="AA202" s="259"/>
      <c r="AB202" s="259"/>
      <c r="AC202" s="259"/>
      <c r="AD202" s="259"/>
    </row>
    <row r="203" spans="17:30" x14ac:dyDescent="0.25">
      <c r="Q203" s="259"/>
      <c r="R203" s="259"/>
      <c r="S203" s="259"/>
      <c r="T203" s="259"/>
      <c r="U203" s="259"/>
      <c r="V203" s="259"/>
      <c r="W203" s="259"/>
      <c r="X203" s="259"/>
      <c r="Y203" s="259"/>
      <c r="Z203" s="259"/>
      <c r="AA203" s="259"/>
      <c r="AB203" s="259"/>
      <c r="AC203" s="259"/>
      <c r="AD203" s="259"/>
    </row>
    <row r="204" spans="17:30" x14ac:dyDescent="0.25">
      <c r="Q204" s="259"/>
      <c r="R204" s="259"/>
      <c r="S204" s="259"/>
      <c r="T204" s="259"/>
      <c r="U204" s="259"/>
      <c r="V204" s="259"/>
      <c r="W204" s="259"/>
      <c r="X204" s="259"/>
      <c r="Y204" s="259"/>
      <c r="Z204" s="259"/>
      <c r="AA204" s="259"/>
      <c r="AB204" s="259"/>
      <c r="AC204" s="259"/>
      <c r="AD204" s="259"/>
    </row>
    <row r="205" spans="17:30" x14ac:dyDescent="0.25">
      <c r="Q205" s="259"/>
      <c r="R205" s="259"/>
      <c r="S205" s="259"/>
      <c r="T205" s="259"/>
      <c r="U205" s="259"/>
      <c r="V205" s="259"/>
      <c r="W205" s="259"/>
      <c r="X205" s="259"/>
      <c r="Y205" s="259"/>
      <c r="Z205" s="259"/>
      <c r="AA205" s="259"/>
      <c r="AB205" s="259"/>
      <c r="AC205" s="259"/>
      <c r="AD205" s="259"/>
    </row>
    <row r="206" spans="17:30" x14ac:dyDescent="0.25">
      <c r="Q206" s="259"/>
      <c r="R206" s="259"/>
      <c r="S206" s="259"/>
      <c r="T206" s="259"/>
      <c r="U206" s="259"/>
      <c r="V206" s="259"/>
      <c r="W206" s="259"/>
      <c r="X206" s="259"/>
      <c r="Y206" s="259"/>
      <c r="Z206" s="259"/>
      <c r="AA206" s="259"/>
      <c r="AB206" s="259"/>
      <c r="AC206" s="259"/>
      <c r="AD206" s="259"/>
    </row>
    <row r="207" spans="17:30" x14ac:dyDescent="0.25">
      <c r="Q207" s="259"/>
      <c r="R207" s="259"/>
      <c r="S207" s="259"/>
      <c r="T207" s="259"/>
      <c r="U207" s="259"/>
      <c r="V207" s="259"/>
      <c r="W207" s="259"/>
      <c r="X207" s="259"/>
      <c r="Y207" s="259"/>
      <c r="Z207" s="259"/>
      <c r="AA207" s="259"/>
      <c r="AB207" s="259"/>
      <c r="AC207" s="259"/>
      <c r="AD207" s="259"/>
    </row>
    <row r="208" spans="17:30" x14ac:dyDescent="0.25">
      <c r="Q208" s="259"/>
      <c r="R208" s="259"/>
      <c r="S208" s="259"/>
      <c r="T208" s="259"/>
      <c r="U208" s="259"/>
      <c r="V208" s="259"/>
      <c r="W208" s="259"/>
      <c r="X208" s="259"/>
      <c r="Y208" s="259"/>
      <c r="Z208" s="259"/>
      <c r="AA208" s="259"/>
      <c r="AB208" s="259"/>
      <c r="AC208" s="259"/>
      <c r="AD208" s="259"/>
    </row>
    <row r="209" spans="17:30" x14ac:dyDescent="0.25">
      <c r="Q209" s="259"/>
      <c r="R209" s="259"/>
      <c r="S209" s="259"/>
      <c r="T209" s="259"/>
      <c r="U209" s="259"/>
      <c r="V209" s="259"/>
      <c r="W209" s="259"/>
      <c r="X209" s="259"/>
      <c r="Y209" s="259"/>
      <c r="Z209" s="259"/>
      <c r="AA209" s="259"/>
      <c r="AB209" s="259"/>
      <c r="AC209" s="259"/>
      <c r="AD209" s="259"/>
    </row>
    <row r="210" spans="17:30" x14ac:dyDescent="0.25">
      <c r="Q210" s="259"/>
      <c r="R210" s="259"/>
      <c r="S210" s="259"/>
      <c r="T210" s="259"/>
      <c r="U210" s="259"/>
      <c r="V210" s="259"/>
      <c r="W210" s="259"/>
      <c r="X210" s="259"/>
      <c r="Y210" s="259"/>
      <c r="Z210" s="259"/>
      <c r="AA210" s="259"/>
      <c r="AB210" s="259"/>
      <c r="AC210" s="259"/>
      <c r="AD210" s="259"/>
    </row>
    <row r="211" spans="17:30" x14ac:dyDescent="0.25">
      <c r="Q211" s="259"/>
      <c r="R211" s="259"/>
      <c r="S211" s="259"/>
      <c r="T211" s="259"/>
      <c r="U211" s="259"/>
      <c r="V211" s="259"/>
      <c r="W211" s="259"/>
      <c r="X211" s="259"/>
      <c r="Y211" s="259"/>
      <c r="Z211" s="259"/>
      <c r="AA211" s="259"/>
      <c r="AB211" s="259"/>
      <c r="AC211" s="259"/>
      <c r="AD211" s="259"/>
    </row>
    <row r="212" spans="17:30" x14ac:dyDescent="0.25">
      <c r="Q212" s="259"/>
      <c r="R212" s="259"/>
      <c r="S212" s="259"/>
      <c r="T212" s="259"/>
      <c r="U212" s="259"/>
      <c r="V212" s="259"/>
      <c r="W212" s="259"/>
      <c r="X212" s="259"/>
      <c r="Y212" s="259"/>
      <c r="Z212" s="259"/>
      <c r="AA212" s="259"/>
      <c r="AB212" s="259"/>
      <c r="AC212" s="259"/>
      <c r="AD212" s="259"/>
    </row>
    <row r="213" spans="17:30" x14ac:dyDescent="0.25">
      <c r="Q213" s="259"/>
      <c r="R213" s="259"/>
      <c r="S213" s="259"/>
      <c r="T213" s="259"/>
      <c r="U213" s="259"/>
      <c r="V213" s="259"/>
      <c r="W213" s="259"/>
      <c r="X213" s="259"/>
      <c r="Y213" s="259"/>
      <c r="Z213" s="259"/>
      <c r="AA213" s="259"/>
      <c r="AB213" s="259"/>
      <c r="AC213" s="259"/>
      <c r="AD213" s="259"/>
    </row>
    <row r="214" spans="17:30" x14ac:dyDescent="0.25">
      <c r="Q214" s="259"/>
      <c r="R214" s="259"/>
      <c r="S214" s="259"/>
      <c r="T214" s="259"/>
      <c r="U214" s="259"/>
      <c r="V214" s="259"/>
      <c r="W214" s="259"/>
      <c r="X214" s="259"/>
      <c r="Y214" s="259"/>
      <c r="Z214" s="259"/>
      <c r="AA214" s="259"/>
      <c r="AB214" s="259"/>
      <c r="AC214" s="259"/>
      <c r="AD214" s="259"/>
    </row>
    <row r="215" spans="17:30" x14ac:dyDescent="0.25">
      <c r="Q215" s="259"/>
      <c r="R215" s="259"/>
      <c r="S215" s="259"/>
      <c r="T215" s="259"/>
      <c r="U215" s="259"/>
      <c r="V215" s="259"/>
      <c r="W215" s="259"/>
      <c r="X215" s="259"/>
      <c r="Y215" s="259"/>
      <c r="Z215" s="259"/>
      <c r="AA215" s="259"/>
      <c r="AB215" s="259"/>
      <c r="AC215" s="259"/>
      <c r="AD215" s="259"/>
    </row>
    <row r="216" spans="17:30" x14ac:dyDescent="0.25">
      <c r="Q216" s="259"/>
      <c r="R216" s="259"/>
      <c r="S216" s="259"/>
      <c r="T216" s="259"/>
      <c r="U216" s="259"/>
      <c r="V216" s="259"/>
      <c r="W216" s="259"/>
      <c r="X216" s="259"/>
      <c r="Y216" s="259"/>
      <c r="Z216" s="259"/>
      <c r="AA216" s="259"/>
      <c r="AB216" s="259"/>
      <c r="AC216" s="259"/>
      <c r="AD216" s="259"/>
    </row>
    <row r="217" spans="17:30" x14ac:dyDescent="0.25">
      <c r="Q217" s="259"/>
      <c r="R217" s="259"/>
      <c r="S217" s="259"/>
      <c r="T217" s="259"/>
      <c r="U217" s="259"/>
      <c r="V217" s="259"/>
      <c r="W217" s="259"/>
      <c r="X217" s="259"/>
      <c r="Y217" s="259"/>
      <c r="Z217" s="259"/>
      <c r="AA217" s="259"/>
      <c r="AB217" s="259"/>
      <c r="AC217" s="259"/>
      <c r="AD217" s="259"/>
    </row>
    <row r="218" spans="17:30" x14ac:dyDescent="0.25">
      <c r="Q218" s="259"/>
      <c r="R218" s="259"/>
      <c r="S218" s="259"/>
      <c r="T218" s="259"/>
      <c r="U218" s="259"/>
      <c r="V218" s="259"/>
      <c r="W218" s="259"/>
      <c r="X218" s="259"/>
      <c r="Y218" s="259"/>
      <c r="Z218" s="259"/>
      <c r="AA218" s="259"/>
      <c r="AB218" s="259"/>
      <c r="AC218" s="259"/>
      <c r="AD218" s="259"/>
    </row>
    <row r="219" spans="17:30" x14ac:dyDescent="0.25">
      <c r="Q219" s="259"/>
      <c r="R219" s="259"/>
      <c r="S219" s="259"/>
      <c r="T219" s="259"/>
      <c r="U219" s="259"/>
      <c r="V219" s="259"/>
      <c r="W219" s="259"/>
      <c r="X219" s="259"/>
      <c r="Y219" s="259"/>
      <c r="Z219" s="259"/>
      <c r="AA219" s="259"/>
      <c r="AB219" s="259"/>
      <c r="AC219" s="259"/>
      <c r="AD219" s="259"/>
    </row>
    <row r="220" spans="17:30" x14ac:dyDescent="0.25">
      <c r="Q220" s="259"/>
      <c r="R220" s="259"/>
      <c r="S220" s="259"/>
      <c r="T220" s="259"/>
      <c r="U220" s="259"/>
      <c r="V220" s="259"/>
      <c r="W220" s="259"/>
      <c r="X220" s="259"/>
      <c r="Y220" s="259"/>
      <c r="Z220" s="259"/>
      <c r="AA220" s="259"/>
      <c r="AB220" s="259"/>
      <c r="AC220" s="259"/>
      <c r="AD220" s="259"/>
    </row>
    <row r="221" spans="17:30" x14ac:dyDescent="0.25">
      <c r="Q221" s="259"/>
      <c r="R221" s="259"/>
      <c r="S221" s="259"/>
      <c r="T221" s="259"/>
      <c r="U221" s="259"/>
      <c r="V221" s="259"/>
      <c r="W221" s="259"/>
      <c r="X221" s="259"/>
      <c r="Y221" s="259"/>
      <c r="Z221" s="259"/>
      <c r="AA221" s="259"/>
      <c r="AB221" s="259"/>
      <c r="AC221" s="259"/>
      <c r="AD221" s="259"/>
    </row>
    <row r="222" spans="17:30" x14ac:dyDescent="0.25">
      <c r="Q222" s="259"/>
      <c r="R222" s="259"/>
      <c r="S222" s="259"/>
      <c r="T222" s="259"/>
      <c r="U222" s="259"/>
      <c r="V222" s="259"/>
      <c r="W222" s="259"/>
      <c r="X222" s="259"/>
      <c r="Y222" s="259"/>
      <c r="Z222" s="259"/>
      <c r="AA222" s="259"/>
      <c r="AB222" s="259"/>
      <c r="AC222" s="259"/>
      <c r="AD222" s="259"/>
    </row>
    <row r="223" spans="17:30" x14ac:dyDescent="0.25">
      <c r="Q223" s="259"/>
      <c r="R223" s="259"/>
      <c r="S223" s="259"/>
      <c r="T223" s="259"/>
      <c r="U223" s="259"/>
      <c r="V223" s="259"/>
      <c r="W223" s="259"/>
      <c r="X223" s="259"/>
      <c r="Y223" s="259"/>
      <c r="Z223" s="259"/>
      <c r="AA223" s="259"/>
      <c r="AB223" s="259"/>
      <c r="AC223" s="259"/>
      <c r="AD223" s="259"/>
    </row>
    <row r="224" spans="17:30" x14ac:dyDescent="0.25">
      <c r="Q224" s="259"/>
      <c r="R224" s="259"/>
      <c r="S224" s="259"/>
      <c r="T224" s="259"/>
      <c r="U224" s="259"/>
      <c r="V224" s="259"/>
      <c r="W224" s="259"/>
      <c r="X224" s="259"/>
      <c r="Y224" s="259"/>
      <c r="Z224" s="259"/>
      <c r="AA224" s="259"/>
      <c r="AB224" s="259"/>
      <c r="AC224" s="259"/>
      <c r="AD224" s="259"/>
    </row>
    <row r="225" spans="17:30" x14ac:dyDescent="0.25">
      <c r="Q225" s="259"/>
      <c r="R225" s="259"/>
      <c r="S225" s="259"/>
      <c r="T225" s="259"/>
      <c r="U225" s="259"/>
      <c r="V225" s="259"/>
      <c r="W225" s="259"/>
      <c r="X225" s="259"/>
      <c r="Y225" s="259"/>
      <c r="Z225" s="259"/>
      <c r="AA225" s="259"/>
      <c r="AB225" s="259"/>
      <c r="AC225" s="259"/>
      <c r="AD225" s="259"/>
    </row>
    <row r="226" spans="17:30" x14ac:dyDescent="0.25">
      <c r="Q226" s="259"/>
      <c r="R226" s="259"/>
      <c r="S226" s="259"/>
      <c r="T226" s="259"/>
      <c r="U226" s="259"/>
      <c r="V226" s="259"/>
      <c r="W226" s="259"/>
      <c r="X226" s="259"/>
      <c r="Y226" s="259"/>
      <c r="Z226" s="259"/>
      <c r="AA226" s="259"/>
      <c r="AB226" s="259"/>
      <c r="AC226" s="259"/>
      <c r="AD226" s="259"/>
    </row>
    <row r="227" spans="17:30" x14ac:dyDescent="0.25">
      <c r="Q227" s="259"/>
      <c r="R227" s="259"/>
      <c r="S227" s="259"/>
      <c r="T227" s="259"/>
      <c r="U227" s="259"/>
      <c r="V227" s="259"/>
      <c r="W227" s="259"/>
      <c r="X227" s="259"/>
      <c r="Y227" s="259"/>
      <c r="Z227" s="259"/>
      <c r="AA227" s="259"/>
      <c r="AB227" s="259"/>
      <c r="AC227" s="259"/>
      <c r="AD227" s="259"/>
    </row>
    <row r="228" spans="17:30" x14ac:dyDescent="0.25">
      <c r="Q228" s="259"/>
      <c r="R228" s="259"/>
      <c r="S228" s="259"/>
      <c r="T228" s="259"/>
      <c r="U228" s="259"/>
      <c r="V228" s="259"/>
      <c r="W228" s="259"/>
      <c r="X228" s="259"/>
      <c r="Y228" s="259"/>
      <c r="Z228" s="259"/>
      <c r="AA228" s="259"/>
      <c r="AB228" s="259"/>
      <c r="AC228" s="259"/>
      <c r="AD228" s="259"/>
    </row>
    <row r="229" spans="17:30" x14ac:dyDescent="0.25">
      <c r="Q229" s="259"/>
      <c r="R229" s="259"/>
      <c r="S229" s="259"/>
      <c r="T229" s="259"/>
      <c r="U229" s="259"/>
      <c r="V229" s="259"/>
      <c r="W229" s="259"/>
      <c r="X229" s="259"/>
      <c r="Y229" s="259"/>
      <c r="Z229" s="259"/>
      <c r="AA229" s="259"/>
      <c r="AB229" s="259"/>
      <c r="AC229" s="259"/>
      <c r="AD229" s="259"/>
    </row>
    <row r="230" spans="17:30" x14ac:dyDescent="0.25">
      <c r="Q230" s="259"/>
      <c r="R230" s="259"/>
      <c r="S230" s="259"/>
      <c r="T230" s="259"/>
      <c r="U230" s="259"/>
      <c r="V230" s="259"/>
      <c r="W230" s="259"/>
      <c r="X230" s="259"/>
      <c r="Y230" s="259"/>
      <c r="Z230" s="259"/>
      <c r="AA230" s="259"/>
      <c r="AB230" s="259"/>
      <c r="AC230" s="259"/>
      <c r="AD230" s="259"/>
    </row>
    <row r="231" spans="17:30" x14ac:dyDescent="0.25">
      <c r="Q231" s="259"/>
      <c r="R231" s="259"/>
      <c r="S231" s="259"/>
      <c r="T231" s="259"/>
      <c r="U231" s="259"/>
      <c r="V231" s="259"/>
      <c r="W231" s="259"/>
      <c r="X231" s="259"/>
      <c r="Y231" s="259"/>
      <c r="Z231" s="259"/>
      <c r="AA231" s="259"/>
      <c r="AB231" s="259"/>
      <c r="AC231" s="259"/>
      <c r="AD231" s="259"/>
    </row>
    <row r="232" spans="17:30" x14ac:dyDescent="0.25">
      <c r="Q232" s="259"/>
      <c r="R232" s="259"/>
      <c r="S232" s="259"/>
      <c r="T232" s="259"/>
      <c r="U232" s="259"/>
      <c r="V232" s="259"/>
      <c r="W232" s="259"/>
      <c r="X232" s="259"/>
      <c r="Y232" s="259"/>
      <c r="Z232" s="259"/>
      <c r="AA232" s="259"/>
      <c r="AB232" s="259"/>
      <c r="AC232" s="259"/>
      <c r="AD232" s="259"/>
    </row>
    <row r="233" spans="17:30" x14ac:dyDescent="0.25">
      <c r="Q233" s="259"/>
      <c r="R233" s="259"/>
      <c r="S233" s="259"/>
      <c r="T233" s="259"/>
      <c r="U233" s="259"/>
      <c r="V233" s="259"/>
      <c r="W233" s="259"/>
      <c r="X233" s="259"/>
      <c r="Y233" s="259"/>
      <c r="Z233" s="259"/>
      <c r="AA233" s="259"/>
      <c r="AB233" s="259"/>
      <c r="AC233" s="259"/>
      <c r="AD233" s="259"/>
    </row>
    <row r="234" spans="17:30" x14ac:dyDescent="0.25">
      <c r="Q234" s="259"/>
      <c r="R234" s="259"/>
      <c r="S234" s="259"/>
      <c r="T234" s="259"/>
      <c r="U234" s="259"/>
      <c r="V234" s="259"/>
      <c r="W234" s="259"/>
      <c r="X234" s="259"/>
      <c r="Y234" s="259"/>
      <c r="Z234" s="259"/>
      <c r="AA234" s="259"/>
      <c r="AB234" s="259"/>
      <c r="AC234" s="259"/>
      <c r="AD234" s="259"/>
    </row>
    <row r="235" spans="17:30" x14ac:dyDescent="0.25">
      <c r="Q235" s="259"/>
      <c r="R235" s="259"/>
      <c r="S235" s="259"/>
      <c r="T235" s="259"/>
      <c r="U235" s="259"/>
      <c r="V235" s="259"/>
      <c r="W235" s="259"/>
      <c r="X235" s="259"/>
      <c r="Y235" s="259"/>
      <c r="Z235" s="259"/>
      <c r="AA235" s="259"/>
      <c r="AB235" s="259"/>
      <c r="AC235" s="259"/>
      <c r="AD235" s="259"/>
    </row>
    <row r="236" spans="17:30" x14ac:dyDescent="0.25">
      <c r="Q236" s="259"/>
      <c r="R236" s="259"/>
      <c r="S236" s="259"/>
      <c r="T236" s="259"/>
      <c r="U236" s="259"/>
      <c r="V236" s="259"/>
      <c r="W236" s="259"/>
      <c r="X236" s="259"/>
      <c r="Y236" s="259"/>
      <c r="Z236" s="259"/>
      <c r="AA236" s="259"/>
      <c r="AB236" s="259"/>
      <c r="AC236" s="259"/>
      <c r="AD236" s="259"/>
    </row>
    <row r="237" spans="17:30" x14ac:dyDescent="0.25">
      <c r="Q237" s="259"/>
      <c r="R237" s="259"/>
      <c r="S237" s="259"/>
      <c r="T237" s="259"/>
      <c r="U237" s="259"/>
      <c r="V237" s="259"/>
      <c r="W237" s="259"/>
      <c r="X237" s="259"/>
      <c r="Y237" s="259"/>
      <c r="Z237" s="259"/>
      <c r="AA237" s="259"/>
      <c r="AB237" s="259"/>
      <c r="AC237" s="259"/>
      <c r="AD237" s="259"/>
    </row>
    <row r="238" spans="17:30" x14ac:dyDescent="0.25">
      <c r="Q238" s="259"/>
      <c r="R238" s="259"/>
      <c r="S238" s="259"/>
      <c r="T238" s="259"/>
      <c r="U238" s="259"/>
      <c r="V238" s="259"/>
      <c r="W238" s="259"/>
      <c r="X238" s="259"/>
      <c r="Y238" s="259"/>
      <c r="Z238" s="259"/>
      <c r="AA238" s="259"/>
      <c r="AB238" s="259"/>
      <c r="AC238" s="259"/>
      <c r="AD238" s="259"/>
    </row>
    <row r="239" spans="17:30" x14ac:dyDescent="0.25">
      <c r="Q239" s="259"/>
      <c r="R239" s="259"/>
      <c r="S239" s="259"/>
      <c r="T239" s="259"/>
      <c r="U239" s="259"/>
      <c r="V239" s="259"/>
      <c r="W239" s="259"/>
      <c r="X239" s="259"/>
      <c r="Y239" s="259"/>
      <c r="Z239" s="259"/>
      <c r="AA239" s="259"/>
      <c r="AB239" s="259"/>
      <c r="AC239" s="259"/>
      <c r="AD239" s="259"/>
    </row>
    <row r="240" spans="17:30" x14ac:dyDescent="0.25">
      <c r="Q240" s="259"/>
      <c r="R240" s="259"/>
      <c r="S240" s="259"/>
      <c r="T240" s="259"/>
      <c r="U240" s="259"/>
      <c r="V240" s="259"/>
      <c r="W240" s="259"/>
      <c r="X240" s="259"/>
      <c r="Y240" s="259"/>
      <c r="Z240" s="259"/>
      <c r="AA240" s="259"/>
      <c r="AB240" s="259"/>
      <c r="AC240" s="259"/>
      <c r="AD240" s="259"/>
    </row>
    <row r="241" spans="17:30" x14ac:dyDescent="0.25">
      <c r="Q241" s="259"/>
      <c r="R241" s="259"/>
      <c r="S241" s="259"/>
      <c r="T241" s="259"/>
      <c r="U241" s="259"/>
      <c r="V241" s="259"/>
      <c r="W241" s="259"/>
      <c r="X241" s="259"/>
      <c r="Y241" s="259"/>
      <c r="Z241" s="259"/>
      <c r="AA241" s="259"/>
      <c r="AB241" s="259"/>
      <c r="AC241" s="259"/>
      <c r="AD241" s="259"/>
    </row>
    <row r="242" spans="17:30" x14ac:dyDescent="0.25">
      <c r="Q242" s="259"/>
      <c r="R242" s="259"/>
      <c r="S242" s="259"/>
      <c r="T242" s="259"/>
      <c r="U242" s="259"/>
      <c r="V242" s="259"/>
      <c r="W242" s="259"/>
      <c r="X242" s="259"/>
      <c r="Y242" s="259"/>
      <c r="Z242" s="259"/>
      <c r="AA242" s="259"/>
      <c r="AB242" s="259"/>
      <c r="AC242" s="259"/>
      <c r="AD242" s="259"/>
    </row>
    <row r="243" spans="17:30" x14ac:dyDescent="0.25">
      <c r="Q243" s="259"/>
      <c r="R243" s="259"/>
      <c r="S243" s="259"/>
      <c r="T243" s="259"/>
      <c r="U243" s="259"/>
      <c r="V243" s="259"/>
      <c r="W243" s="259"/>
      <c r="X243" s="259"/>
      <c r="Y243" s="259"/>
      <c r="Z243" s="259"/>
      <c r="AA243" s="259"/>
      <c r="AB243" s="259"/>
      <c r="AC243" s="259"/>
      <c r="AD243" s="259"/>
    </row>
    <row r="244" spans="17:30" x14ac:dyDescent="0.25">
      <c r="Q244" s="259"/>
      <c r="R244" s="259"/>
      <c r="S244" s="259"/>
      <c r="T244" s="259"/>
      <c r="U244" s="259"/>
      <c r="V244" s="259"/>
      <c r="W244" s="259"/>
      <c r="X244" s="259"/>
      <c r="Y244" s="259"/>
      <c r="Z244" s="259"/>
      <c r="AA244" s="259"/>
      <c r="AB244" s="259"/>
      <c r="AC244" s="259"/>
      <c r="AD244" s="259"/>
    </row>
    <row r="245" spans="17:30" x14ac:dyDescent="0.25">
      <c r="Q245" s="259"/>
      <c r="R245" s="259"/>
      <c r="S245" s="259"/>
      <c r="T245" s="259"/>
      <c r="U245" s="259"/>
      <c r="V245" s="259"/>
      <c r="W245" s="259"/>
      <c r="X245" s="259"/>
      <c r="Y245" s="259"/>
      <c r="Z245" s="259"/>
      <c r="AA245" s="259"/>
      <c r="AB245" s="259"/>
      <c r="AC245" s="259"/>
      <c r="AD245" s="259"/>
    </row>
    <row r="246" spans="17:30" x14ac:dyDescent="0.25">
      <c r="Q246" s="259"/>
      <c r="R246" s="259"/>
      <c r="S246" s="259"/>
      <c r="T246" s="259"/>
      <c r="U246" s="259"/>
      <c r="V246" s="259"/>
      <c r="W246" s="259"/>
      <c r="X246" s="259"/>
      <c r="Y246" s="259"/>
      <c r="Z246" s="259"/>
      <c r="AA246" s="259"/>
      <c r="AB246" s="259"/>
      <c r="AC246" s="259"/>
      <c r="AD246" s="259"/>
    </row>
    <row r="247" spans="17:30" x14ac:dyDescent="0.25">
      <c r="Q247" s="259"/>
      <c r="R247" s="259"/>
      <c r="S247" s="259"/>
      <c r="T247" s="259"/>
      <c r="U247" s="259"/>
      <c r="V247" s="259"/>
      <c r="W247" s="259"/>
      <c r="X247" s="259"/>
      <c r="Y247" s="259"/>
      <c r="Z247" s="259"/>
      <c r="AA247" s="259"/>
      <c r="AB247" s="259"/>
      <c r="AC247" s="259"/>
      <c r="AD247" s="259"/>
    </row>
    <row r="248" spans="17:30" x14ac:dyDescent="0.25">
      <c r="Q248" s="259"/>
      <c r="R248" s="259"/>
      <c r="S248" s="259"/>
      <c r="T248" s="259"/>
      <c r="U248" s="259"/>
      <c r="V248" s="259"/>
      <c r="W248" s="259"/>
      <c r="X248" s="259"/>
      <c r="Y248" s="259"/>
      <c r="Z248" s="259"/>
      <c r="AA248" s="259"/>
      <c r="AB248" s="259"/>
      <c r="AC248" s="259"/>
      <c r="AD248" s="259"/>
    </row>
    <row r="249" spans="17:30" x14ac:dyDescent="0.25">
      <c r="Q249" s="259"/>
      <c r="R249" s="259"/>
      <c r="S249" s="259"/>
      <c r="T249" s="259"/>
      <c r="U249" s="259"/>
      <c r="V249" s="259"/>
      <c r="W249" s="259"/>
      <c r="X249" s="259"/>
      <c r="Y249" s="259"/>
      <c r="Z249" s="259"/>
      <c r="AA249" s="259"/>
      <c r="AB249" s="259"/>
      <c r="AC249" s="259"/>
      <c r="AD249" s="259"/>
    </row>
    <row r="250" spans="17:30" x14ac:dyDescent="0.25">
      <c r="Q250" s="259"/>
      <c r="R250" s="259"/>
      <c r="S250" s="259"/>
      <c r="T250" s="259"/>
      <c r="U250" s="259"/>
      <c r="V250" s="259"/>
      <c r="W250" s="259"/>
      <c r="X250" s="259"/>
      <c r="Y250" s="259"/>
      <c r="Z250" s="259"/>
      <c r="AA250" s="259"/>
      <c r="AB250" s="259"/>
      <c r="AC250" s="259"/>
      <c r="AD250" s="259"/>
    </row>
    <row r="251" spans="17:30" x14ac:dyDescent="0.25">
      <c r="Q251" s="259"/>
      <c r="R251" s="259"/>
      <c r="S251" s="259"/>
      <c r="T251" s="259"/>
      <c r="U251" s="259"/>
      <c r="V251" s="259"/>
      <c r="W251" s="259"/>
      <c r="X251" s="259"/>
      <c r="Y251" s="259"/>
      <c r="Z251" s="259"/>
      <c r="AA251" s="259"/>
      <c r="AB251" s="259"/>
      <c r="AC251" s="259"/>
      <c r="AD251" s="259"/>
    </row>
    <row r="252" spans="17:30" x14ac:dyDescent="0.25">
      <c r="Q252" s="259"/>
      <c r="R252" s="259"/>
      <c r="S252" s="259"/>
      <c r="T252" s="259"/>
      <c r="U252" s="259"/>
      <c r="V252" s="259"/>
      <c r="W252" s="259"/>
      <c r="X252" s="259"/>
      <c r="Y252" s="259"/>
      <c r="Z252" s="259"/>
      <c r="AA252" s="259"/>
      <c r="AB252" s="259"/>
      <c r="AC252" s="259"/>
      <c r="AD252" s="259"/>
    </row>
    <row r="253" spans="17:30" x14ac:dyDescent="0.25">
      <c r="Q253" s="259"/>
      <c r="R253" s="259"/>
      <c r="S253" s="259"/>
      <c r="T253" s="259"/>
      <c r="U253" s="259"/>
      <c r="V253" s="259"/>
      <c r="W253" s="259"/>
      <c r="X253" s="259"/>
      <c r="Y253" s="259"/>
      <c r="Z253" s="259"/>
      <c r="AA253" s="259"/>
      <c r="AB253" s="259"/>
      <c r="AC253" s="259"/>
      <c r="AD253" s="259"/>
    </row>
    <row r="254" spans="17:30" x14ac:dyDescent="0.25">
      <c r="Q254" s="259"/>
      <c r="R254" s="259"/>
      <c r="S254" s="259"/>
      <c r="T254" s="259"/>
      <c r="U254" s="259"/>
      <c r="V254" s="259"/>
      <c r="W254" s="259"/>
      <c r="X254" s="259"/>
      <c r="Y254" s="259"/>
      <c r="Z254" s="259"/>
      <c r="AA254" s="259"/>
      <c r="AB254" s="259"/>
      <c r="AC254" s="259"/>
      <c r="AD254" s="259"/>
    </row>
    <row r="255" spans="17:30" x14ac:dyDescent="0.25">
      <c r="Q255" s="259"/>
      <c r="R255" s="259"/>
      <c r="S255" s="259"/>
      <c r="T255" s="259"/>
      <c r="U255" s="259"/>
      <c r="V255" s="259"/>
      <c r="W255" s="259"/>
      <c r="X255" s="259"/>
      <c r="Y255" s="259"/>
      <c r="Z255" s="259"/>
      <c r="AA255" s="259"/>
      <c r="AB255" s="259"/>
      <c r="AC255" s="259"/>
      <c r="AD255" s="259"/>
    </row>
    <row r="256" spans="17:30" x14ac:dyDescent="0.25">
      <c r="Q256" s="259"/>
      <c r="R256" s="259"/>
      <c r="S256" s="259"/>
      <c r="T256" s="259"/>
      <c r="U256" s="259"/>
      <c r="V256" s="259"/>
      <c r="W256" s="259"/>
      <c r="X256" s="259"/>
      <c r="Y256" s="259"/>
      <c r="Z256" s="259"/>
      <c r="AA256" s="259"/>
      <c r="AB256" s="259"/>
      <c r="AC256" s="259"/>
      <c r="AD256" s="259"/>
    </row>
    <row r="257" spans="17:30" x14ac:dyDescent="0.25">
      <c r="Q257" s="259"/>
      <c r="R257" s="259"/>
      <c r="S257" s="259"/>
      <c r="T257" s="259"/>
      <c r="U257" s="259"/>
      <c r="V257" s="259"/>
      <c r="W257" s="259"/>
      <c r="X257" s="259"/>
      <c r="Y257" s="259"/>
      <c r="Z257" s="259"/>
      <c r="AA257" s="259"/>
      <c r="AB257" s="259"/>
      <c r="AC257" s="259"/>
      <c r="AD257" s="259"/>
    </row>
    <row r="258" spans="17:30" x14ac:dyDescent="0.25">
      <c r="Q258" s="259"/>
      <c r="R258" s="259"/>
      <c r="S258" s="259"/>
      <c r="T258" s="259"/>
      <c r="U258" s="259"/>
      <c r="V258" s="259"/>
      <c r="W258" s="259"/>
      <c r="X258" s="259"/>
      <c r="Y258" s="259"/>
      <c r="Z258" s="259"/>
      <c r="AA258" s="259"/>
      <c r="AB258" s="259"/>
      <c r="AC258" s="259"/>
      <c r="AD258" s="259"/>
    </row>
    <row r="259" spans="17:30" x14ac:dyDescent="0.25">
      <c r="Q259" s="259"/>
      <c r="R259" s="259"/>
      <c r="S259" s="259"/>
      <c r="T259" s="259"/>
      <c r="U259" s="259"/>
      <c r="V259" s="259"/>
      <c r="W259" s="259"/>
      <c r="X259" s="259"/>
      <c r="Y259" s="259"/>
      <c r="Z259" s="259"/>
      <c r="AA259" s="259"/>
      <c r="AB259" s="259"/>
      <c r="AC259" s="259"/>
      <c r="AD259" s="259"/>
    </row>
    <row r="260" spans="17:30" x14ac:dyDescent="0.25">
      <c r="Q260" s="259"/>
      <c r="R260" s="259"/>
      <c r="S260" s="259"/>
      <c r="T260" s="259"/>
      <c r="U260" s="259"/>
      <c r="V260" s="259"/>
      <c r="W260" s="259"/>
      <c r="X260" s="259"/>
      <c r="Y260" s="259"/>
      <c r="Z260" s="259"/>
      <c r="AA260" s="259"/>
      <c r="AB260" s="259"/>
      <c r="AC260" s="259"/>
      <c r="AD260" s="259"/>
    </row>
    <row r="261" spans="17:30" x14ac:dyDescent="0.25">
      <c r="Q261" s="259"/>
      <c r="R261" s="259"/>
      <c r="S261" s="259"/>
      <c r="T261" s="259"/>
      <c r="U261" s="259"/>
      <c r="V261" s="259"/>
      <c r="W261" s="259"/>
      <c r="X261" s="259"/>
      <c r="Y261" s="259"/>
      <c r="Z261" s="259"/>
      <c r="AA261" s="259"/>
      <c r="AB261" s="259"/>
      <c r="AC261" s="259"/>
      <c r="AD261" s="259"/>
    </row>
    <row r="262" spans="17:30" x14ac:dyDescent="0.25">
      <c r="Q262" s="259"/>
      <c r="R262" s="259"/>
      <c r="S262" s="259"/>
      <c r="T262" s="259"/>
      <c r="U262" s="259"/>
      <c r="V262" s="259"/>
      <c r="W262" s="259"/>
      <c r="X262" s="259"/>
      <c r="Y262" s="259"/>
      <c r="Z262" s="259"/>
      <c r="AA262" s="259"/>
      <c r="AB262" s="259"/>
      <c r="AC262" s="259"/>
      <c r="AD262" s="259"/>
    </row>
    <row r="263" spans="17:30" x14ac:dyDescent="0.25">
      <c r="Q263" s="259"/>
      <c r="R263" s="259"/>
      <c r="S263" s="259"/>
      <c r="T263" s="259"/>
      <c r="U263" s="259"/>
      <c r="V263" s="259"/>
      <c r="W263" s="259"/>
      <c r="X263" s="259"/>
      <c r="Y263" s="259"/>
      <c r="Z263" s="259"/>
      <c r="AA263" s="259"/>
      <c r="AB263" s="259"/>
      <c r="AC263" s="259"/>
      <c r="AD263" s="259"/>
    </row>
    <row r="264" spans="17:30" x14ac:dyDescent="0.25">
      <c r="Q264" s="259"/>
      <c r="R264" s="259"/>
      <c r="S264" s="259"/>
      <c r="T264" s="259"/>
      <c r="U264" s="259"/>
      <c r="V264" s="259"/>
      <c r="W264" s="259"/>
      <c r="X264" s="259"/>
      <c r="Y264" s="259"/>
      <c r="Z264" s="259"/>
      <c r="AA264" s="259"/>
      <c r="AB264" s="259"/>
      <c r="AC264" s="259"/>
      <c r="AD264" s="259"/>
    </row>
    <row r="265" spans="17:30" x14ac:dyDescent="0.25">
      <c r="Q265" s="259"/>
      <c r="R265" s="259"/>
      <c r="S265" s="259"/>
      <c r="T265" s="259"/>
      <c r="U265" s="259"/>
      <c r="V265" s="259"/>
      <c r="W265" s="259"/>
      <c r="X265" s="259"/>
      <c r="Y265" s="259"/>
      <c r="Z265" s="259"/>
      <c r="AA265" s="259"/>
      <c r="AB265" s="259"/>
      <c r="AC265" s="259"/>
      <c r="AD265" s="259"/>
    </row>
    <row r="266" spans="17:30" x14ac:dyDescent="0.25">
      <c r="Q266" s="259"/>
      <c r="R266" s="259"/>
      <c r="S266" s="259"/>
      <c r="T266" s="259"/>
      <c r="U266" s="259"/>
      <c r="V266" s="259"/>
      <c r="W266" s="259"/>
      <c r="X266" s="259"/>
      <c r="Y266" s="259"/>
      <c r="Z266" s="259"/>
      <c r="AA266" s="259"/>
      <c r="AB266" s="259"/>
      <c r="AC266" s="259"/>
      <c r="AD266" s="259"/>
    </row>
    <row r="267" spans="17:30" x14ac:dyDescent="0.25">
      <c r="Q267" s="259"/>
      <c r="R267" s="259"/>
      <c r="S267" s="259"/>
      <c r="T267" s="259"/>
      <c r="U267" s="259"/>
      <c r="V267" s="259"/>
      <c r="W267" s="259"/>
      <c r="X267" s="259"/>
      <c r="Y267" s="259"/>
      <c r="Z267" s="259"/>
      <c r="AA267" s="259"/>
      <c r="AB267" s="259"/>
      <c r="AC267" s="259"/>
      <c r="AD267" s="259"/>
    </row>
    <row r="268" spans="17:30" x14ac:dyDescent="0.25">
      <c r="Q268" s="259"/>
      <c r="R268" s="259"/>
      <c r="S268" s="259"/>
      <c r="T268" s="259"/>
      <c r="U268" s="259"/>
      <c r="V268" s="259"/>
      <c r="W268" s="259"/>
      <c r="X268" s="259"/>
      <c r="Y268" s="259"/>
      <c r="Z268" s="259"/>
      <c r="AA268" s="259"/>
      <c r="AB268" s="259"/>
      <c r="AC268" s="259"/>
      <c r="AD268" s="259"/>
    </row>
    <row r="269" spans="17:30" x14ac:dyDescent="0.25">
      <c r="Q269" s="259"/>
      <c r="R269" s="259"/>
      <c r="S269" s="259"/>
      <c r="T269" s="259"/>
      <c r="U269" s="259"/>
      <c r="V269" s="259"/>
      <c r="W269" s="259"/>
      <c r="X269" s="259"/>
      <c r="Y269" s="259"/>
      <c r="Z269" s="259"/>
      <c r="AA269" s="259"/>
      <c r="AB269" s="259"/>
      <c r="AC269" s="259"/>
      <c r="AD269" s="259"/>
    </row>
    <row r="270" spans="17:30" x14ac:dyDescent="0.25">
      <c r="Q270" s="259"/>
      <c r="R270" s="259"/>
      <c r="S270" s="259"/>
      <c r="T270" s="259"/>
      <c r="U270" s="259"/>
      <c r="V270" s="259"/>
      <c r="W270" s="259"/>
      <c r="X270" s="259"/>
      <c r="Y270" s="259"/>
      <c r="Z270" s="259"/>
      <c r="AA270" s="259"/>
      <c r="AB270" s="259"/>
      <c r="AC270" s="259"/>
      <c r="AD270" s="259"/>
    </row>
    <row r="271" spans="17:30" x14ac:dyDescent="0.25">
      <c r="Q271" s="259"/>
      <c r="R271" s="259"/>
      <c r="S271" s="259"/>
      <c r="T271" s="259"/>
      <c r="U271" s="259"/>
      <c r="V271" s="259"/>
      <c r="W271" s="259"/>
      <c r="X271" s="259"/>
      <c r="Y271" s="259"/>
      <c r="Z271" s="259"/>
      <c r="AA271" s="259"/>
      <c r="AB271" s="259"/>
      <c r="AC271" s="259"/>
      <c r="AD271" s="259"/>
    </row>
    <row r="272" spans="17:30" x14ac:dyDescent="0.25">
      <c r="Q272" s="259"/>
      <c r="R272" s="259"/>
      <c r="S272" s="259"/>
      <c r="T272" s="259"/>
      <c r="U272" s="259"/>
      <c r="V272" s="259"/>
      <c r="W272" s="259"/>
      <c r="X272" s="259"/>
      <c r="Y272" s="259"/>
      <c r="Z272" s="259"/>
      <c r="AA272" s="259"/>
      <c r="AB272" s="259"/>
      <c r="AC272" s="259"/>
      <c r="AD272" s="259"/>
    </row>
    <row r="273" spans="17:30" x14ac:dyDescent="0.25">
      <c r="Q273" s="259"/>
      <c r="R273" s="259"/>
      <c r="S273" s="259"/>
      <c r="T273" s="259"/>
      <c r="U273" s="259"/>
      <c r="V273" s="259"/>
      <c r="W273" s="259"/>
      <c r="X273" s="259"/>
      <c r="Y273" s="259"/>
      <c r="Z273" s="259"/>
      <c r="AA273" s="259"/>
      <c r="AB273" s="259"/>
      <c r="AC273" s="259"/>
      <c r="AD273" s="259"/>
    </row>
    <row r="274" spans="17:30" x14ac:dyDescent="0.25">
      <c r="Q274" s="259"/>
      <c r="R274" s="259"/>
      <c r="S274" s="259"/>
      <c r="T274" s="259"/>
      <c r="U274" s="259"/>
      <c r="V274" s="259"/>
      <c r="W274" s="259"/>
      <c r="X274" s="259"/>
      <c r="Y274" s="259"/>
      <c r="Z274" s="259"/>
      <c r="AA274" s="259"/>
      <c r="AB274" s="259"/>
      <c r="AC274" s="259"/>
      <c r="AD274" s="259"/>
    </row>
    <row r="275" spans="17:30" x14ac:dyDescent="0.25">
      <c r="Q275" s="259"/>
      <c r="R275" s="259"/>
      <c r="S275" s="259"/>
      <c r="T275" s="259"/>
      <c r="U275" s="259"/>
      <c r="V275" s="259"/>
      <c r="W275" s="259"/>
      <c r="X275" s="259"/>
      <c r="Y275" s="259"/>
      <c r="Z275" s="259"/>
      <c r="AA275" s="259"/>
      <c r="AB275" s="259"/>
      <c r="AC275" s="259"/>
      <c r="AD275" s="259"/>
    </row>
    <row r="276" spans="17:30" x14ac:dyDescent="0.25">
      <c r="Q276" s="259"/>
      <c r="R276" s="259"/>
      <c r="S276" s="259"/>
      <c r="T276" s="259"/>
      <c r="U276" s="259"/>
      <c r="V276" s="259"/>
      <c r="W276" s="259"/>
      <c r="X276" s="259"/>
      <c r="Y276" s="259"/>
      <c r="Z276" s="259"/>
      <c r="AA276" s="259"/>
      <c r="AB276" s="259"/>
      <c r="AC276" s="259"/>
      <c r="AD276" s="259"/>
    </row>
    <row r="277" spans="17:30" x14ac:dyDescent="0.25">
      <c r="Q277" s="259"/>
      <c r="R277" s="259"/>
      <c r="S277" s="259"/>
      <c r="T277" s="259"/>
      <c r="U277" s="259"/>
      <c r="V277" s="259"/>
      <c r="W277" s="259"/>
      <c r="X277" s="259"/>
      <c r="Y277" s="259"/>
      <c r="Z277" s="259"/>
      <c r="AA277" s="259"/>
      <c r="AB277" s="259"/>
      <c r="AC277" s="259"/>
      <c r="AD277" s="259"/>
    </row>
    <row r="278" spans="17:30" x14ac:dyDescent="0.25">
      <c r="Q278" s="259"/>
      <c r="R278" s="259"/>
      <c r="S278" s="259"/>
      <c r="T278" s="259"/>
      <c r="U278" s="259"/>
      <c r="V278" s="259"/>
      <c r="W278" s="259"/>
      <c r="X278" s="259"/>
      <c r="Y278" s="259"/>
      <c r="Z278" s="259"/>
      <c r="AA278" s="259"/>
      <c r="AB278" s="259"/>
      <c r="AC278" s="259"/>
      <c r="AD278" s="259"/>
    </row>
    <row r="279" spans="17:30" x14ac:dyDescent="0.25">
      <c r="Q279" s="259"/>
      <c r="R279" s="259"/>
      <c r="S279" s="259"/>
      <c r="T279" s="259"/>
      <c r="U279" s="259"/>
      <c r="V279" s="259"/>
      <c r="W279" s="259"/>
      <c r="X279" s="259"/>
      <c r="Y279" s="259"/>
      <c r="Z279" s="259"/>
      <c r="AA279" s="259"/>
      <c r="AB279" s="259"/>
      <c r="AC279" s="259"/>
      <c r="AD279" s="259"/>
    </row>
    <row r="280" spans="17:30" x14ac:dyDescent="0.25">
      <c r="Q280" s="259"/>
      <c r="R280" s="259"/>
      <c r="S280" s="259"/>
      <c r="T280" s="259"/>
      <c r="U280" s="259"/>
      <c r="V280" s="259"/>
      <c r="W280" s="259"/>
      <c r="X280" s="259"/>
      <c r="Y280" s="259"/>
      <c r="Z280" s="259"/>
      <c r="AA280" s="259"/>
      <c r="AB280" s="259"/>
      <c r="AC280" s="259"/>
      <c r="AD280" s="259"/>
    </row>
    <row r="281" spans="17:30" x14ac:dyDescent="0.25">
      <c r="Q281" s="259"/>
      <c r="R281" s="259"/>
      <c r="S281" s="259"/>
      <c r="T281" s="259"/>
      <c r="U281" s="259"/>
      <c r="V281" s="259"/>
      <c r="W281" s="259"/>
      <c r="X281" s="259"/>
      <c r="Y281" s="259"/>
      <c r="Z281" s="259"/>
      <c r="AA281" s="259"/>
      <c r="AB281" s="259"/>
      <c r="AC281" s="259"/>
      <c r="AD281" s="259"/>
    </row>
    <row r="282" spans="17:30" x14ac:dyDescent="0.25">
      <c r="Q282" s="259"/>
      <c r="R282" s="259"/>
      <c r="S282" s="259"/>
      <c r="T282" s="259"/>
      <c r="U282" s="259"/>
      <c r="V282" s="259"/>
      <c r="W282" s="259"/>
      <c r="X282" s="259"/>
      <c r="Y282" s="259"/>
      <c r="Z282" s="259"/>
      <c r="AA282" s="259"/>
      <c r="AB282" s="259"/>
      <c r="AC282" s="259"/>
      <c r="AD282" s="259"/>
    </row>
    <row r="283" spans="17:30" x14ac:dyDescent="0.25">
      <c r="Q283" s="259"/>
      <c r="R283" s="259"/>
      <c r="S283" s="259"/>
      <c r="T283" s="259"/>
      <c r="U283" s="259"/>
      <c r="V283" s="259"/>
      <c r="W283" s="259"/>
      <c r="X283" s="259"/>
      <c r="Y283" s="259"/>
      <c r="Z283" s="259"/>
      <c r="AA283" s="259"/>
      <c r="AB283" s="259"/>
      <c r="AC283" s="259"/>
      <c r="AD283" s="259"/>
    </row>
    <row r="284" spans="17:30" x14ac:dyDescent="0.25">
      <c r="Q284" s="259"/>
      <c r="R284" s="259"/>
      <c r="S284" s="259"/>
      <c r="T284" s="259"/>
      <c r="U284" s="259"/>
      <c r="V284" s="259"/>
      <c r="W284" s="259"/>
      <c r="X284" s="259"/>
      <c r="Y284" s="259"/>
      <c r="Z284" s="259"/>
      <c r="AA284" s="259"/>
      <c r="AB284" s="259"/>
      <c r="AC284" s="259"/>
      <c r="AD284" s="259"/>
    </row>
    <row r="285" spans="17:30" x14ac:dyDescent="0.25">
      <c r="Q285" s="259"/>
      <c r="R285" s="259"/>
      <c r="S285" s="259"/>
      <c r="T285" s="259"/>
      <c r="U285" s="259"/>
      <c r="V285" s="259"/>
      <c r="W285" s="259"/>
      <c r="X285" s="259"/>
      <c r="Y285" s="259"/>
      <c r="Z285" s="259"/>
      <c r="AA285" s="259"/>
      <c r="AB285" s="259"/>
      <c r="AC285" s="259"/>
      <c r="AD285" s="259"/>
    </row>
    <row r="286" spans="17:30" x14ac:dyDescent="0.25">
      <c r="Q286" s="259"/>
      <c r="R286" s="259"/>
      <c r="S286" s="259"/>
      <c r="T286" s="259"/>
      <c r="U286" s="259"/>
      <c r="V286" s="259"/>
      <c r="W286" s="259"/>
      <c r="X286" s="259"/>
      <c r="Y286" s="259"/>
      <c r="Z286" s="259"/>
      <c r="AA286" s="259"/>
      <c r="AB286" s="259"/>
      <c r="AC286" s="259"/>
      <c r="AD286" s="259"/>
    </row>
    <row r="287" spans="17:30" x14ac:dyDescent="0.25">
      <c r="Q287" s="259"/>
      <c r="R287" s="259"/>
      <c r="S287" s="259"/>
      <c r="T287" s="259"/>
      <c r="U287" s="259"/>
      <c r="V287" s="259"/>
      <c r="W287" s="259"/>
      <c r="X287" s="259"/>
      <c r="Y287" s="259"/>
      <c r="Z287" s="259"/>
      <c r="AA287" s="259"/>
      <c r="AB287" s="259"/>
      <c r="AC287" s="259"/>
      <c r="AD287" s="259"/>
    </row>
    <row r="288" spans="17:30" x14ac:dyDescent="0.25">
      <c r="Q288" s="259"/>
      <c r="R288" s="259"/>
      <c r="S288" s="259"/>
      <c r="T288" s="259"/>
      <c r="U288" s="259"/>
      <c r="V288" s="259"/>
      <c r="W288" s="259"/>
      <c r="X288" s="259"/>
      <c r="Y288" s="259"/>
      <c r="Z288" s="259"/>
      <c r="AA288" s="259"/>
      <c r="AB288" s="259"/>
      <c r="AC288" s="259"/>
      <c r="AD288" s="259"/>
    </row>
    <row r="289" spans="17:30" x14ac:dyDescent="0.25">
      <c r="Q289" s="259"/>
      <c r="R289" s="259"/>
      <c r="S289" s="259"/>
      <c r="T289" s="259"/>
      <c r="U289" s="259"/>
      <c r="V289" s="259"/>
      <c r="W289" s="259"/>
      <c r="X289" s="259"/>
      <c r="Y289" s="259"/>
      <c r="Z289" s="259"/>
      <c r="AA289" s="259"/>
      <c r="AB289" s="259"/>
      <c r="AC289" s="259"/>
      <c r="AD289" s="259"/>
    </row>
    <row r="290" spans="17:30" x14ac:dyDescent="0.25">
      <c r="Q290" s="259"/>
      <c r="R290" s="259"/>
      <c r="S290" s="259"/>
      <c r="T290" s="259"/>
      <c r="U290" s="259"/>
      <c r="V290" s="259"/>
      <c r="W290" s="259"/>
      <c r="X290" s="259"/>
      <c r="Y290" s="259"/>
      <c r="Z290" s="259"/>
      <c r="AA290" s="259"/>
      <c r="AB290" s="259"/>
      <c r="AC290" s="259"/>
      <c r="AD290" s="259"/>
    </row>
    <row r="291" spans="17:30" x14ac:dyDescent="0.25">
      <c r="Q291" s="259"/>
      <c r="R291" s="259"/>
      <c r="S291" s="259"/>
      <c r="T291" s="259"/>
      <c r="U291" s="259"/>
      <c r="V291" s="259"/>
      <c r="W291" s="259"/>
      <c r="X291" s="259"/>
      <c r="Y291" s="259"/>
      <c r="Z291" s="259"/>
      <c r="AA291" s="259"/>
      <c r="AB291" s="259"/>
      <c r="AC291" s="259"/>
      <c r="AD291" s="259"/>
    </row>
    <row r="292" spans="17:30" x14ac:dyDescent="0.25">
      <c r="Q292" s="259"/>
      <c r="R292" s="259"/>
      <c r="S292" s="259"/>
      <c r="T292" s="259"/>
      <c r="U292" s="259"/>
      <c r="V292" s="259"/>
      <c r="W292" s="259"/>
      <c r="X292" s="259"/>
      <c r="Y292" s="259"/>
      <c r="Z292" s="259"/>
      <c r="AA292" s="259"/>
      <c r="AB292" s="259"/>
      <c r="AC292" s="259"/>
      <c r="AD292" s="259"/>
    </row>
    <row r="293" spans="17:30" x14ac:dyDescent="0.25">
      <c r="Q293" s="259"/>
      <c r="R293" s="259"/>
      <c r="S293" s="259"/>
      <c r="T293" s="259"/>
      <c r="U293" s="259"/>
      <c r="V293" s="259"/>
      <c r="W293" s="259"/>
      <c r="X293" s="259"/>
      <c r="Y293" s="259"/>
      <c r="Z293" s="259"/>
      <c r="AA293" s="259"/>
      <c r="AB293" s="259"/>
      <c r="AC293" s="259"/>
      <c r="AD293" s="259"/>
    </row>
    <row r="294" spans="17:30" x14ac:dyDescent="0.25">
      <c r="Q294" s="259"/>
      <c r="R294" s="259"/>
      <c r="S294" s="259"/>
      <c r="T294" s="259"/>
      <c r="U294" s="259"/>
      <c r="V294" s="259"/>
      <c r="W294" s="259"/>
      <c r="X294" s="259"/>
      <c r="Y294" s="259"/>
      <c r="Z294" s="259"/>
      <c r="AA294" s="259"/>
      <c r="AB294" s="259"/>
      <c r="AC294" s="259"/>
      <c r="AD294" s="259"/>
    </row>
    <row r="295" spans="17:30" x14ac:dyDescent="0.25">
      <c r="Q295" s="259"/>
      <c r="R295" s="259"/>
      <c r="S295" s="259"/>
      <c r="T295" s="259"/>
      <c r="U295" s="259"/>
      <c r="V295" s="259"/>
      <c r="W295" s="259"/>
      <c r="X295" s="259"/>
      <c r="Y295" s="259"/>
      <c r="Z295" s="259"/>
      <c r="AA295" s="259"/>
      <c r="AB295" s="259"/>
      <c r="AC295" s="259"/>
      <c r="AD295" s="259"/>
    </row>
    <row r="296" spans="17:30" x14ac:dyDescent="0.25">
      <c r="Q296" s="259"/>
      <c r="R296" s="259"/>
      <c r="S296" s="259"/>
      <c r="T296" s="259"/>
      <c r="U296" s="259"/>
      <c r="V296" s="259"/>
      <c r="W296" s="259"/>
      <c r="X296" s="259"/>
      <c r="Y296" s="259"/>
      <c r="Z296" s="259"/>
      <c r="AA296" s="259"/>
      <c r="AB296" s="259"/>
      <c r="AC296" s="259"/>
      <c r="AD296" s="259"/>
    </row>
    <row r="297" spans="17:30" x14ac:dyDescent="0.25">
      <c r="Q297" s="259"/>
      <c r="R297" s="259"/>
      <c r="S297" s="259"/>
      <c r="T297" s="259"/>
      <c r="U297" s="259"/>
      <c r="V297" s="259"/>
      <c r="W297" s="259"/>
      <c r="X297" s="259"/>
      <c r="Y297" s="259"/>
      <c r="Z297" s="259"/>
      <c r="AA297" s="259"/>
      <c r="AB297" s="259"/>
      <c r="AC297" s="259"/>
      <c r="AD297" s="259"/>
    </row>
    <row r="298" spans="17:30" x14ac:dyDescent="0.25">
      <c r="Q298" s="259"/>
      <c r="R298" s="259"/>
      <c r="S298" s="259"/>
      <c r="T298" s="259"/>
      <c r="U298" s="259"/>
      <c r="V298" s="259"/>
      <c r="W298" s="259"/>
      <c r="X298" s="259"/>
      <c r="Y298" s="259"/>
      <c r="Z298" s="259"/>
      <c r="AA298" s="259"/>
      <c r="AB298" s="259"/>
      <c r="AC298" s="259"/>
      <c r="AD298" s="259"/>
    </row>
    <row r="299" spans="17:30" x14ac:dyDescent="0.25">
      <c r="Q299" s="259"/>
      <c r="R299" s="259"/>
      <c r="S299" s="259"/>
      <c r="T299" s="259"/>
      <c r="U299" s="259"/>
      <c r="V299" s="259"/>
      <c r="W299" s="259"/>
      <c r="X299" s="259"/>
      <c r="Y299" s="259"/>
      <c r="Z299" s="259"/>
      <c r="AA299" s="259"/>
      <c r="AB299" s="259"/>
      <c r="AC299" s="259"/>
      <c r="AD299" s="259"/>
    </row>
    <row r="300" spans="17:30" x14ac:dyDescent="0.25">
      <c r="Q300" s="259"/>
      <c r="R300" s="259"/>
      <c r="S300" s="259"/>
      <c r="T300" s="259"/>
      <c r="U300" s="259"/>
      <c r="V300" s="259"/>
      <c r="W300" s="259"/>
      <c r="X300" s="259"/>
      <c r="Y300" s="259"/>
      <c r="Z300" s="259"/>
      <c r="AA300" s="259"/>
      <c r="AB300" s="259"/>
      <c r="AC300" s="259"/>
      <c r="AD300" s="259"/>
    </row>
    <row r="301" spans="17:30" x14ac:dyDescent="0.25">
      <c r="Q301" s="259"/>
      <c r="R301" s="259"/>
      <c r="S301" s="259"/>
      <c r="T301" s="259"/>
      <c r="U301" s="259"/>
      <c r="V301" s="259"/>
      <c r="W301" s="259"/>
      <c r="X301" s="259"/>
      <c r="Y301" s="259"/>
      <c r="Z301" s="259"/>
      <c r="AA301" s="259"/>
      <c r="AB301" s="259"/>
      <c r="AC301" s="259"/>
      <c r="AD301" s="259"/>
    </row>
    <row r="302" spans="17:30" x14ac:dyDescent="0.25">
      <c r="Q302" s="259"/>
      <c r="R302" s="259"/>
      <c r="S302" s="259"/>
      <c r="T302" s="259"/>
      <c r="U302" s="259"/>
      <c r="V302" s="259"/>
      <c r="W302" s="259"/>
      <c r="X302" s="259"/>
      <c r="Y302" s="259"/>
      <c r="Z302" s="259"/>
      <c r="AA302" s="259"/>
      <c r="AB302" s="259"/>
      <c r="AC302" s="259"/>
      <c r="AD302" s="259"/>
    </row>
    <row r="303" spans="17:30" x14ac:dyDescent="0.25">
      <c r="Q303" s="259"/>
      <c r="R303" s="259"/>
      <c r="S303" s="259"/>
      <c r="T303" s="259"/>
      <c r="U303" s="259"/>
      <c r="V303" s="259"/>
      <c r="W303" s="259"/>
      <c r="X303" s="259"/>
      <c r="Y303" s="259"/>
      <c r="Z303" s="259"/>
      <c r="AA303" s="259"/>
      <c r="AB303" s="259"/>
      <c r="AC303" s="259"/>
      <c r="AD303" s="259"/>
    </row>
  </sheetData>
  <mergeCells count="82">
    <mergeCell ref="C11:AD13"/>
    <mergeCell ref="A7:B9"/>
    <mergeCell ref="C7:C9"/>
    <mergeCell ref="D7:H9"/>
    <mergeCell ref="I7:J9"/>
    <mergeCell ref="O7:P7"/>
    <mergeCell ref="M8:N8"/>
    <mergeCell ref="O8:P8"/>
    <mergeCell ref="M9:N9"/>
    <mergeCell ref="O9:P9"/>
    <mergeCell ref="A11:B13"/>
    <mergeCell ref="AB4:AD4"/>
    <mergeCell ref="B3:AA4"/>
    <mergeCell ref="AB3:AD3"/>
    <mergeCell ref="A1:A4"/>
    <mergeCell ref="B1:AA1"/>
    <mergeCell ref="AB1:AD1"/>
    <mergeCell ref="B2:AA2"/>
    <mergeCell ref="AB2:AD2"/>
    <mergeCell ref="A34:A35"/>
    <mergeCell ref="A28:A29"/>
    <mergeCell ref="B28:C29"/>
    <mergeCell ref="D28:O28"/>
    <mergeCell ref="P28:P29"/>
    <mergeCell ref="A32:A33"/>
    <mergeCell ref="A31:AD31"/>
    <mergeCell ref="D32:P32"/>
    <mergeCell ref="Q32:AD32"/>
    <mergeCell ref="Q33:S33"/>
    <mergeCell ref="T33:V33"/>
    <mergeCell ref="AA33:AD33"/>
    <mergeCell ref="B30:C30"/>
    <mergeCell ref="Q30:AD30"/>
    <mergeCell ref="B34:B35"/>
    <mergeCell ref="B32:B33"/>
    <mergeCell ref="A61:A62"/>
    <mergeCell ref="B61:B62"/>
    <mergeCell ref="A55:A56"/>
    <mergeCell ref="B55:B56"/>
    <mergeCell ref="C55:P55"/>
    <mergeCell ref="A57:A58"/>
    <mergeCell ref="B57:B58"/>
    <mergeCell ref="A59:A60"/>
    <mergeCell ref="B59:B60"/>
    <mergeCell ref="A15:B15"/>
    <mergeCell ref="C16:AB16"/>
    <mergeCell ref="Q28:AD29"/>
    <mergeCell ref="R15:X15"/>
    <mergeCell ref="Y15:Z15"/>
    <mergeCell ref="Q20:AD20"/>
    <mergeCell ref="C15:K15"/>
    <mergeCell ref="A17:B17"/>
    <mergeCell ref="C17:Q17"/>
    <mergeCell ref="A36:A37"/>
    <mergeCell ref="B36:B37"/>
    <mergeCell ref="C36:P36"/>
    <mergeCell ref="A38:A39"/>
    <mergeCell ref="B38:B39"/>
    <mergeCell ref="Q38:AD39"/>
    <mergeCell ref="W33:Z33"/>
    <mergeCell ref="AA34:AD35"/>
    <mergeCell ref="Q34:S35"/>
    <mergeCell ref="T34:V35"/>
    <mergeCell ref="W34:Z35"/>
    <mergeCell ref="Q36:AD36"/>
    <mergeCell ref="Q37:AD37"/>
    <mergeCell ref="C32:C33"/>
    <mergeCell ref="L15:Q15"/>
    <mergeCell ref="K7:L9"/>
    <mergeCell ref="M7:N7"/>
    <mergeCell ref="A25:B25"/>
    <mergeCell ref="A27:AD27"/>
    <mergeCell ref="AA15:AD15"/>
    <mergeCell ref="R17:V17"/>
    <mergeCell ref="W17:X17"/>
    <mergeCell ref="Y17:AB17"/>
    <mergeCell ref="A19:AD19"/>
    <mergeCell ref="C20:P20"/>
    <mergeCell ref="A22:B22"/>
    <mergeCell ref="A23:B23"/>
    <mergeCell ref="A24:B24"/>
    <mergeCell ref="AC17:AD17"/>
  </mergeCells>
  <dataValidations count="4">
    <dataValidation type="textLength" operator="lessThanOrEqual" allowBlank="1" showInputMessage="1" showErrorMessage="1" errorTitle="Máximo 2.000 caracteres" error="Máximo 2.000 caracteres" sqref="Q34" xr:uid="{00000000-0002-0000-0500-000000000000}">
      <formula1>2000</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list" allowBlank="1" showInputMessage="1" showErrorMessage="1" sqref="C7:C9" xr:uid="{00000000-0002-0000-0500-000002000000}">
      <formula1>$C$21:$N$21</formula1>
    </dataValidation>
    <dataValidation type="textLength" operator="lessThanOrEqual" allowBlank="1" showInputMessage="1" showErrorMessage="1" errorTitle="Máximo 2.000 caracteres" error="Máximo 2.000 caracteres" sqref="Q38:AD39" xr:uid="{00000000-0002-0000-0500-000003000000}">
      <formula1>20000</formula1>
    </dataValidation>
  </dataValidations>
  <pageMargins left="0.25" right="0.25" top="1" bottom="1" header="0.3" footer="0.3"/>
  <pageSetup paperSize="9" scale="24"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AO303"/>
  <sheetViews>
    <sheetView showGridLines="0" topLeftCell="Q35" zoomScale="60" zoomScaleNormal="60" workbookViewId="0">
      <selection activeCell="P34" sqref="P34:AF35"/>
    </sheetView>
  </sheetViews>
  <sheetFormatPr baseColWidth="10" defaultColWidth="10.71093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71093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3" ht="32.25" customHeight="1" thickBot="1" x14ac:dyDescent="0.3">
      <c r="A1" s="351"/>
      <c r="B1" s="354" t="s">
        <v>0</v>
      </c>
      <c r="C1" s="355"/>
      <c r="D1" s="355"/>
      <c r="E1" s="355"/>
      <c r="F1" s="355"/>
      <c r="G1" s="355"/>
      <c r="H1" s="355"/>
      <c r="I1" s="355"/>
      <c r="J1" s="355"/>
      <c r="K1" s="355"/>
      <c r="L1" s="355"/>
      <c r="M1" s="355"/>
      <c r="N1" s="355"/>
      <c r="O1" s="355"/>
      <c r="P1" s="355"/>
      <c r="Q1" s="355"/>
      <c r="R1" s="355"/>
      <c r="S1" s="355"/>
      <c r="T1" s="355"/>
      <c r="U1" s="355"/>
      <c r="V1" s="355"/>
      <c r="W1" s="355"/>
      <c r="X1" s="355"/>
      <c r="Y1" s="355"/>
      <c r="Z1" s="355"/>
      <c r="AA1" s="356"/>
      <c r="AB1" s="357" t="s">
        <v>1</v>
      </c>
      <c r="AC1" s="358"/>
      <c r="AD1" s="359"/>
    </row>
    <row r="2" spans="1:33" ht="30.75" customHeight="1" thickBot="1" x14ac:dyDescent="0.3">
      <c r="A2" s="352"/>
      <c r="B2" s="354" t="s">
        <v>2</v>
      </c>
      <c r="C2" s="355"/>
      <c r="D2" s="355"/>
      <c r="E2" s="355"/>
      <c r="F2" s="355"/>
      <c r="G2" s="355"/>
      <c r="H2" s="355"/>
      <c r="I2" s="355"/>
      <c r="J2" s="355"/>
      <c r="K2" s="355"/>
      <c r="L2" s="355"/>
      <c r="M2" s="355"/>
      <c r="N2" s="355"/>
      <c r="O2" s="355"/>
      <c r="P2" s="355"/>
      <c r="Q2" s="355"/>
      <c r="R2" s="355"/>
      <c r="S2" s="355"/>
      <c r="T2" s="355"/>
      <c r="U2" s="355"/>
      <c r="V2" s="355"/>
      <c r="W2" s="355"/>
      <c r="X2" s="355"/>
      <c r="Y2" s="355"/>
      <c r="Z2" s="355"/>
      <c r="AA2" s="356"/>
      <c r="AB2" s="360" t="s">
        <v>3</v>
      </c>
      <c r="AC2" s="361"/>
      <c r="AD2" s="362"/>
    </row>
    <row r="3" spans="1:33" ht="24" customHeight="1" x14ac:dyDescent="0.25">
      <c r="A3" s="352"/>
      <c r="B3" s="535" t="s">
        <v>4</v>
      </c>
      <c r="C3" s="406"/>
      <c r="D3" s="406"/>
      <c r="E3" s="406"/>
      <c r="F3" s="406"/>
      <c r="G3" s="406"/>
      <c r="H3" s="406"/>
      <c r="I3" s="406"/>
      <c r="J3" s="406"/>
      <c r="K3" s="406"/>
      <c r="L3" s="406"/>
      <c r="M3" s="406"/>
      <c r="N3" s="406"/>
      <c r="O3" s="406"/>
      <c r="P3" s="406"/>
      <c r="Q3" s="406"/>
      <c r="R3" s="406"/>
      <c r="S3" s="406"/>
      <c r="T3" s="406"/>
      <c r="U3" s="406"/>
      <c r="V3" s="406"/>
      <c r="W3" s="406"/>
      <c r="X3" s="406"/>
      <c r="Y3" s="406"/>
      <c r="Z3" s="406"/>
      <c r="AA3" s="407"/>
      <c r="AB3" s="360" t="s">
        <v>5</v>
      </c>
      <c r="AC3" s="361"/>
      <c r="AD3" s="362"/>
    </row>
    <row r="4" spans="1:33" ht="21.75" customHeight="1" thickBot="1" x14ac:dyDescent="0.3">
      <c r="A4" s="353"/>
      <c r="B4" s="670"/>
      <c r="C4" s="671"/>
      <c r="D4" s="671"/>
      <c r="E4" s="671"/>
      <c r="F4" s="671"/>
      <c r="G4" s="671"/>
      <c r="H4" s="671"/>
      <c r="I4" s="671"/>
      <c r="J4" s="671"/>
      <c r="K4" s="671"/>
      <c r="L4" s="671"/>
      <c r="M4" s="671"/>
      <c r="N4" s="671"/>
      <c r="O4" s="671"/>
      <c r="P4" s="671"/>
      <c r="Q4" s="671"/>
      <c r="R4" s="671"/>
      <c r="S4" s="671"/>
      <c r="T4" s="671"/>
      <c r="U4" s="671"/>
      <c r="V4" s="671"/>
      <c r="W4" s="671"/>
      <c r="X4" s="671"/>
      <c r="Y4" s="671"/>
      <c r="Z4" s="671"/>
      <c r="AA4" s="672"/>
      <c r="AB4" s="372" t="s">
        <v>6</v>
      </c>
      <c r="AC4" s="373"/>
      <c r="AD4" s="374"/>
    </row>
    <row r="5" spans="1:33" ht="9" customHeight="1" thickBot="1" x14ac:dyDescent="0.3">
      <c r="A5" s="51"/>
      <c r="B5" s="170"/>
      <c r="C5" s="17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3"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3" x14ac:dyDescent="0.25">
      <c r="A7" s="375" t="s">
        <v>7</v>
      </c>
      <c r="B7" s="376"/>
      <c r="C7" s="417" t="s">
        <v>32</v>
      </c>
      <c r="D7" s="381" t="s">
        <v>9</v>
      </c>
      <c r="E7" s="382"/>
      <c r="F7" s="382"/>
      <c r="G7" s="382"/>
      <c r="H7" s="383"/>
      <c r="I7" s="390">
        <v>45083</v>
      </c>
      <c r="J7" s="391"/>
      <c r="K7" s="381" t="s">
        <v>10</v>
      </c>
      <c r="L7" s="383"/>
      <c r="M7" s="415" t="s">
        <v>11</v>
      </c>
      <c r="N7" s="416"/>
      <c r="O7" s="673"/>
      <c r="P7" s="674"/>
      <c r="Q7" s="255"/>
      <c r="R7" s="255"/>
      <c r="S7" s="255"/>
      <c r="T7" s="255"/>
      <c r="U7" s="255"/>
      <c r="V7" s="255"/>
      <c r="W7" s="255"/>
      <c r="X7" s="255"/>
      <c r="Y7" s="255"/>
      <c r="Z7" s="256"/>
      <c r="AA7" s="255"/>
      <c r="AB7" s="255"/>
      <c r="AC7" s="257"/>
      <c r="AD7" s="258"/>
      <c r="AE7" s="259"/>
      <c r="AF7" s="259"/>
      <c r="AG7" s="259"/>
    </row>
    <row r="8" spans="1:33" x14ac:dyDescent="0.25">
      <c r="A8" s="377"/>
      <c r="B8" s="378"/>
      <c r="C8" s="418"/>
      <c r="D8" s="384"/>
      <c r="E8" s="385"/>
      <c r="F8" s="385"/>
      <c r="G8" s="385"/>
      <c r="H8" s="386"/>
      <c r="I8" s="392"/>
      <c r="J8" s="393"/>
      <c r="K8" s="384"/>
      <c r="L8" s="386"/>
      <c r="M8" s="398" t="s">
        <v>12</v>
      </c>
      <c r="N8" s="399"/>
      <c r="O8" s="413"/>
      <c r="P8" s="414"/>
      <c r="Q8" s="255"/>
      <c r="R8" s="255"/>
      <c r="S8" s="255"/>
      <c r="T8" s="255"/>
      <c r="U8" s="255"/>
      <c r="V8" s="255"/>
      <c r="W8" s="255"/>
      <c r="X8" s="255"/>
      <c r="Y8" s="255"/>
      <c r="Z8" s="256"/>
      <c r="AA8" s="255"/>
      <c r="AB8" s="255"/>
      <c r="AC8" s="257"/>
      <c r="AD8" s="258"/>
      <c r="AE8" s="259"/>
      <c r="AF8" s="259"/>
      <c r="AG8" s="259"/>
    </row>
    <row r="9" spans="1:33" ht="15.75" thickBot="1" x14ac:dyDescent="0.3">
      <c r="A9" s="379"/>
      <c r="B9" s="380"/>
      <c r="C9" s="419"/>
      <c r="D9" s="387"/>
      <c r="E9" s="388"/>
      <c r="F9" s="388"/>
      <c r="G9" s="388"/>
      <c r="H9" s="389"/>
      <c r="I9" s="394"/>
      <c r="J9" s="395"/>
      <c r="K9" s="387"/>
      <c r="L9" s="389"/>
      <c r="M9" s="430" t="s">
        <v>13</v>
      </c>
      <c r="N9" s="431"/>
      <c r="O9" s="432" t="s">
        <v>14</v>
      </c>
      <c r="P9" s="433"/>
      <c r="Q9" s="255"/>
      <c r="R9" s="255"/>
      <c r="S9" s="255"/>
      <c r="T9" s="255"/>
      <c r="U9" s="255"/>
      <c r="V9" s="255"/>
      <c r="W9" s="255"/>
      <c r="X9" s="255"/>
      <c r="Y9" s="255"/>
      <c r="Z9" s="256"/>
      <c r="AA9" s="255"/>
      <c r="AB9" s="255"/>
      <c r="AC9" s="257"/>
      <c r="AD9" s="258"/>
      <c r="AE9" s="259"/>
      <c r="AF9" s="259"/>
      <c r="AG9" s="259"/>
    </row>
    <row r="10" spans="1:33" ht="15" customHeight="1" thickBot="1" x14ac:dyDescent="0.3">
      <c r="A10" s="146"/>
      <c r="B10" s="147"/>
      <c r="C10" s="147"/>
      <c r="D10" s="65"/>
      <c r="E10" s="65"/>
      <c r="F10" s="65"/>
      <c r="G10" s="65"/>
      <c r="H10" s="65"/>
      <c r="I10" s="143"/>
      <c r="J10" s="143"/>
      <c r="K10" s="65"/>
      <c r="L10" s="65"/>
      <c r="M10" s="144"/>
      <c r="N10" s="144"/>
      <c r="O10" s="145"/>
      <c r="P10" s="145"/>
      <c r="Q10" s="147"/>
      <c r="R10" s="147"/>
      <c r="S10" s="147"/>
      <c r="T10" s="147"/>
      <c r="U10" s="147"/>
      <c r="V10" s="147"/>
      <c r="W10" s="147"/>
      <c r="X10" s="147"/>
      <c r="Y10" s="147"/>
      <c r="Z10" s="148"/>
      <c r="AA10" s="147"/>
      <c r="AB10" s="147"/>
      <c r="AC10" s="149"/>
      <c r="AD10" s="150"/>
    </row>
    <row r="11" spans="1:33" ht="15" customHeight="1" x14ac:dyDescent="0.25">
      <c r="A11" s="375" t="s">
        <v>15</v>
      </c>
      <c r="B11" s="376"/>
      <c r="C11" s="434" t="s">
        <v>16</v>
      </c>
      <c r="D11" s="435"/>
      <c r="E11" s="435"/>
      <c r="F11" s="435"/>
      <c r="G11" s="435"/>
      <c r="H11" s="435"/>
      <c r="I11" s="435"/>
      <c r="J11" s="435"/>
      <c r="K11" s="435"/>
      <c r="L11" s="435"/>
      <c r="M11" s="435"/>
      <c r="N11" s="435"/>
      <c r="O11" s="435"/>
      <c r="P11" s="435"/>
      <c r="Q11" s="435"/>
      <c r="R11" s="435"/>
      <c r="S11" s="435"/>
      <c r="T11" s="435"/>
      <c r="U11" s="435"/>
      <c r="V11" s="435"/>
      <c r="W11" s="435"/>
      <c r="X11" s="435"/>
      <c r="Y11" s="435"/>
      <c r="Z11" s="435"/>
      <c r="AA11" s="435"/>
      <c r="AB11" s="435"/>
      <c r="AC11" s="435"/>
      <c r="AD11" s="436"/>
    </row>
    <row r="12" spans="1:33" ht="15" customHeight="1" x14ac:dyDescent="0.25">
      <c r="A12" s="377"/>
      <c r="B12" s="378"/>
      <c r="C12" s="437"/>
      <c r="D12" s="438"/>
      <c r="E12" s="438"/>
      <c r="F12" s="438"/>
      <c r="G12" s="438"/>
      <c r="H12" s="438"/>
      <c r="I12" s="438"/>
      <c r="J12" s="438"/>
      <c r="K12" s="438"/>
      <c r="L12" s="438"/>
      <c r="M12" s="438"/>
      <c r="N12" s="438"/>
      <c r="O12" s="438"/>
      <c r="P12" s="438"/>
      <c r="Q12" s="438"/>
      <c r="R12" s="438"/>
      <c r="S12" s="438"/>
      <c r="T12" s="438"/>
      <c r="U12" s="438"/>
      <c r="V12" s="438"/>
      <c r="W12" s="438"/>
      <c r="X12" s="438"/>
      <c r="Y12" s="438"/>
      <c r="Z12" s="438"/>
      <c r="AA12" s="438"/>
      <c r="AB12" s="438"/>
      <c r="AC12" s="438"/>
      <c r="AD12" s="439"/>
    </row>
    <row r="13" spans="1:33" ht="15" customHeight="1" thickBot="1" x14ac:dyDescent="0.3">
      <c r="A13" s="379"/>
      <c r="B13" s="380"/>
      <c r="C13" s="440"/>
      <c r="D13" s="441"/>
      <c r="E13" s="441"/>
      <c r="F13" s="441"/>
      <c r="G13" s="441"/>
      <c r="H13" s="441"/>
      <c r="I13" s="441"/>
      <c r="J13" s="441"/>
      <c r="K13" s="441"/>
      <c r="L13" s="441"/>
      <c r="M13" s="441"/>
      <c r="N13" s="441"/>
      <c r="O13" s="441"/>
      <c r="P13" s="441"/>
      <c r="Q13" s="441"/>
      <c r="R13" s="441"/>
      <c r="S13" s="441"/>
      <c r="T13" s="441"/>
      <c r="U13" s="441"/>
      <c r="V13" s="441"/>
      <c r="W13" s="441"/>
      <c r="X13" s="441"/>
      <c r="Y13" s="441"/>
      <c r="Z13" s="441"/>
      <c r="AA13" s="441"/>
      <c r="AB13" s="441"/>
      <c r="AC13" s="441"/>
      <c r="AD13" s="442"/>
    </row>
    <row r="14" spans="1:3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3" ht="43.35" customHeight="1" thickBot="1" x14ac:dyDescent="0.3">
      <c r="A15" s="428" t="s">
        <v>17</v>
      </c>
      <c r="B15" s="429"/>
      <c r="C15" s="363" t="s">
        <v>18</v>
      </c>
      <c r="D15" s="364"/>
      <c r="E15" s="364"/>
      <c r="F15" s="364"/>
      <c r="G15" s="364"/>
      <c r="H15" s="364"/>
      <c r="I15" s="364"/>
      <c r="J15" s="364"/>
      <c r="K15" s="365"/>
      <c r="L15" s="423" t="s">
        <v>19</v>
      </c>
      <c r="M15" s="427"/>
      <c r="N15" s="427"/>
      <c r="O15" s="427"/>
      <c r="P15" s="427"/>
      <c r="Q15" s="424"/>
      <c r="R15" s="420" t="s">
        <v>20</v>
      </c>
      <c r="S15" s="421"/>
      <c r="T15" s="421"/>
      <c r="U15" s="421"/>
      <c r="V15" s="421"/>
      <c r="W15" s="421"/>
      <c r="X15" s="422"/>
      <c r="Y15" s="423" t="s">
        <v>21</v>
      </c>
      <c r="Z15" s="424"/>
      <c r="AA15" s="456" t="s">
        <v>597</v>
      </c>
      <c r="AB15" s="457"/>
      <c r="AC15" s="457"/>
      <c r="AD15" s="458"/>
    </row>
    <row r="16" spans="1:33" ht="9" customHeight="1" thickBot="1" x14ac:dyDescent="0.3">
      <c r="A16" s="59"/>
      <c r="B16" s="54"/>
      <c r="C16" s="471"/>
      <c r="D16" s="471"/>
      <c r="E16" s="471"/>
      <c r="F16" s="471"/>
      <c r="G16" s="471"/>
      <c r="H16" s="471"/>
      <c r="I16" s="471"/>
      <c r="J16" s="471"/>
      <c r="K16" s="471"/>
      <c r="L16" s="471"/>
      <c r="M16" s="471"/>
      <c r="N16" s="471"/>
      <c r="O16" s="471"/>
      <c r="P16" s="471"/>
      <c r="Q16" s="471"/>
      <c r="R16" s="471"/>
      <c r="S16" s="471"/>
      <c r="T16" s="471"/>
      <c r="U16" s="471"/>
      <c r="V16" s="471"/>
      <c r="W16" s="471"/>
      <c r="X16" s="471"/>
      <c r="Y16" s="471"/>
      <c r="Z16" s="471"/>
      <c r="AA16" s="471"/>
      <c r="AB16" s="471"/>
      <c r="AC16" s="73"/>
      <c r="AD16" s="74"/>
    </row>
    <row r="17" spans="1:41" s="76" customFormat="1" ht="37.5" customHeight="1" thickBot="1" x14ac:dyDescent="0.3">
      <c r="A17" s="428" t="s">
        <v>22</v>
      </c>
      <c r="B17" s="429"/>
      <c r="C17" s="765" t="s">
        <v>138</v>
      </c>
      <c r="D17" s="766"/>
      <c r="E17" s="766"/>
      <c r="F17" s="766"/>
      <c r="G17" s="766"/>
      <c r="H17" s="766"/>
      <c r="I17" s="766"/>
      <c r="J17" s="766"/>
      <c r="K17" s="766"/>
      <c r="L17" s="766"/>
      <c r="M17" s="766"/>
      <c r="N17" s="766"/>
      <c r="O17" s="766"/>
      <c r="P17" s="766"/>
      <c r="Q17" s="767"/>
      <c r="R17" s="423" t="s">
        <v>24</v>
      </c>
      <c r="S17" s="427"/>
      <c r="T17" s="427"/>
      <c r="U17" s="427"/>
      <c r="V17" s="424"/>
      <c r="W17" s="799">
        <v>4</v>
      </c>
      <c r="X17" s="800"/>
      <c r="Y17" s="427" t="s">
        <v>25</v>
      </c>
      <c r="Z17" s="427"/>
      <c r="AA17" s="427"/>
      <c r="AB17" s="424"/>
      <c r="AC17" s="469">
        <v>0.05</v>
      </c>
      <c r="AD17" s="470"/>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23" t="s">
        <v>26</v>
      </c>
      <c r="B19" s="427"/>
      <c r="C19" s="427"/>
      <c r="D19" s="427"/>
      <c r="E19" s="427"/>
      <c r="F19" s="427"/>
      <c r="G19" s="427"/>
      <c r="H19" s="427"/>
      <c r="I19" s="427"/>
      <c r="J19" s="427"/>
      <c r="K19" s="427"/>
      <c r="L19" s="427"/>
      <c r="M19" s="427"/>
      <c r="N19" s="427"/>
      <c r="O19" s="427"/>
      <c r="P19" s="427"/>
      <c r="Q19" s="427"/>
      <c r="R19" s="427"/>
      <c r="S19" s="427"/>
      <c r="T19" s="427"/>
      <c r="U19" s="427"/>
      <c r="V19" s="427"/>
      <c r="W19" s="427"/>
      <c r="X19" s="427"/>
      <c r="Y19" s="427"/>
      <c r="Z19" s="427"/>
      <c r="AA19" s="427"/>
      <c r="AB19" s="427"/>
      <c r="AC19" s="427"/>
      <c r="AD19" s="424"/>
      <c r="AE19" s="83"/>
      <c r="AF19" s="83"/>
    </row>
    <row r="20" spans="1:41" ht="32.1" customHeight="1" thickBot="1" x14ac:dyDescent="0.3">
      <c r="A20" s="82"/>
      <c r="B20" s="60"/>
      <c r="C20" s="447" t="s">
        <v>27</v>
      </c>
      <c r="D20" s="448"/>
      <c r="E20" s="448"/>
      <c r="F20" s="448"/>
      <c r="G20" s="448"/>
      <c r="H20" s="448"/>
      <c r="I20" s="448"/>
      <c r="J20" s="448"/>
      <c r="K20" s="448"/>
      <c r="L20" s="448"/>
      <c r="M20" s="448"/>
      <c r="N20" s="448"/>
      <c r="O20" s="448"/>
      <c r="P20" s="449"/>
      <c r="Q20" s="444" t="s">
        <v>28</v>
      </c>
      <c r="R20" s="445"/>
      <c r="S20" s="445"/>
      <c r="T20" s="445"/>
      <c r="U20" s="445"/>
      <c r="V20" s="445"/>
      <c r="W20" s="445"/>
      <c r="X20" s="445"/>
      <c r="Y20" s="445"/>
      <c r="Z20" s="445"/>
      <c r="AA20" s="445"/>
      <c r="AB20" s="445"/>
      <c r="AC20" s="445"/>
      <c r="AD20" s="446"/>
      <c r="AE20" s="83"/>
      <c r="AF20" s="83"/>
    </row>
    <row r="21" spans="1:41" ht="32.1" customHeight="1" thickBot="1" x14ac:dyDescent="0.3">
      <c r="A21" s="59"/>
      <c r="B21" s="54"/>
      <c r="C21" s="167" t="s">
        <v>29</v>
      </c>
      <c r="D21" s="168" t="s">
        <v>30</v>
      </c>
      <c r="E21" s="168" t="s">
        <v>31</v>
      </c>
      <c r="F21" s="168" t="s">
        <v>8</v>
      </c>
      <c r="G21" s="168" t="s">
        <v>32</v>
      </c>
      <c r="H21" s="168" t="s">
        <v>33</v>
      </c>
      <c r="I21" s="168" t="s">
        <v>34</v>
      </c>
      <c r="J21" s="168" t="s">
        <v>35</v>
      </c>
      <c r="K21" s="168" t="s">
        <v>36</v>
      </c>
      <c r="L21" s="168" t="s">
        <v>37</v>
      </c>
      <c r="M21" s="168" t="s">
        <v>38</v>
      </c>
      <c r="N21" s="168" t="s">
        <v>39</v>
      </c>
      <c r="O21" s="168" t="s">
        <v>40</v>
      </c>
      <c r="P21" s="169" t="s">
        <v>41</v>
      </c>
      <c r="Q21" s="167" t="s">
        <v>29</v>
      </c>
      <c r="R21" s="168" t="s">
        <v>30</v>
      </c>
      <c r="S21" s="168" t="s">
        <v>31</v>
      </c>
      <c r="T21" s="168" t="s">
        <v>8</v>
      </c>
      <c r="U21" s="168" t="s">
        <v>32</v>
      </c>
      <c r="V21" s="168" t="s">
        <v>33</v>
      </c>
      <c r="W21" s="168" t="s">
        <v>34</v>
      </c>
      <c r="X21" s="168" t="s">
        <v>35</v>
      </c>
      <c r="Y21" s="168" t="s">
        <v>36</v>
      </c>
      <c r="Z21" s="168" t="s">
        <v>37</v>
      </c>
      <c r="AA21" s="168" t="s">
        <v>38</v>
      </c>
      <c r="AB21" s="168" t="s">
        <v>39</v>
      </c>
      <c r="AC21" s="168" t="s">
        <v>40</v>
      </c>
      <c r="AD21" s="169" t="s">
        <v>41</v>
      </c>
      <c r="AE21" s="3"/>
      <c r="AF21" s="3"/>
    </row>
    <row r="22" spans="1:41" ht="32.1" customHeight="1" x14ac:dyDescent="0.25">
      <c r="A22" s="408" t="s">
        <v>42</v>
      </c>
      <c r="B22" s="468"/>
      <c r="C22" s="157"/>
      <c r="D22" s="155"/>
      <c r="E22" s="155"/>
      <c r="F22" s="155"/>
      <c r="G22" s="155"/>
      <c r="H22" s="155"/>
      <c r="I22" s="155"/>
      <c r="J22" s="155"/>
      <c r="K22" s="155"/>
      <c r="L22" s="155"/>
      <c r="M22" s="155"/>
      <c r="N22" s="155"/>
      <c r="O22" s="155">
        <f>SUM(C22:N22)</f>
        <v>0</v>
      </c>
      <c r="P22" s="158"/>
      <c r="Q22" s="178">
        <v>251556520</v>
      </c>
      <c r="R22" s="179">
        <v>0</v>
      </c>
      <c r="S22" s="179">
        <v>0</v>
      </c>
      <c r="T22" s="179">
        <v>0</v>
      </c>
      <c r="U22" s="179">
        <v>0</v>
      </c>
      <c r="V22" s="179">
        <v>0</v>
      </c>
      <c r="W22" s="179">
        <v>0</v>
      </c>
      <c r="X22" s="179">
        <v>0</v>
      </c>
      <c r="Y22" s="179">
        <v>0</v>
      </c>
      <c r="Z22" s="179">
        <v>0</v>
      </c>
      <c r="AA22" s="179">
        <v>0</v>
      </c>
      <c r="AB22" s="179">
        <v>0</v>
      </c>
      <c r="AC22" s="155">
        <f>SUM(Q22:AB22)</f>
        <v>251556520</v>
      </c>
      <c r="AD22" s="161"/>
      <c r="AE22" s="3"/>
      <c r="AF22" s="3"/>
    </row>
    <row r="23" spans="1:41" ht="32.1" customHeight="1" x14ac:dyDescent="0.25">
      <c r="A23" s="409" t="s">
        <v>43</v>
      </c>
      <c r="B23" s="443"/>
      <c r="C23" s="152"/>
      <c r="D23" s="151"/>
      <c r="E23" s="151"/>
      <c r="F23" s="151"/>
      <c r="G23" s="151"/>
      <c r="H23" s="151"/>
      <c r="I23" s="151"/>
      <c r="J23" s="151"/>
      <c r="K23" s="151"/>
      <c r="L23" s="151"/>
      <c r="M23" s="151"/>
      <c r="N23" s="151"/>
      <c r="O23" s="151">
        <f>SUM(C23:N23)</f>
        <v>0</v>
      </c>
      <c r="P23" s="162" t="str">
        <f>IFERROR(O23/(SUMIF(C23:N23,"&gt;0",C22:N22))," ")</f>
        <v xml:space="preserve"> </v>
      </c>
      <c r="Q23" s="176">
        <f>203617024</f>
        <v>203617024</v>
      </c>
      <c r="R23" s="177">
        <f>249707464-Q23</f>
        <v>46090440</v>
      </c>
      <c r="S23" s="177">
        <f>247957907-Q23-R23</f>
        <v>-1749557</v>
      </c>
      <c r="T23" s="177">
        <f>246326387-Q23-R23-S23</f>
        <v>-1631520</v>
      </c>
      <c r="U23" s="177">
        <f>246326387-Q23-R23-S23-T23</f>
        <v>0</v>
      </c>
      <c r="V23" s="177"/>
      <c r="W23" s="177"/>
      <c r="X23" s="177"/>
      <c r="Y23" s="177"/>
      <c r="Z23" s="177"/>
      <c r="AA23" s="177"/>
      <c r="AB23" s="177"/>
      <c r="AC23" s="151">
        <f>SUM(Q23:AB23)</f>
        <v>246326387</v>
      </c>
      <c r="AD23" s="160">
        <f>AC23/AC22</f>
        <v>0.97920891495875362</v>
      </c>
      <c r="AE23" s="3"/>
      <c r="AF23" s="3"/>
    </row>
    <row r="24" spans="1:41" ht="32.1" customHeight="1" x14ac:dyDescent="0.25">
      <c r="A24" s="409" t="s">
        <v>44</v>
      </c>
      <c r="B24" s="443"/>
      <c r="C24" s="152"/>
      <c r="D24" s="151">
        <v>1214133</v>
      </c>
      <c r="E24" s="151"/>
      <c r="F24" s="151"/>
      <c r="G24" s="151"/>
      <c r="H24" s="151"/>
      <c r="I24" s="151"/>
      <c r="J24" s="151"/>
      <c r="K24" s="151"/>
      <c r="L24" s="151"/>
      <c r="M24" s="151"/>
      <c r="N24" s="151"/>
      <c r="O24" s="177">
        <f>SUM(C24:N24)</f>
        <v>1214133</v>
      </c>
      <c r="P24" s="156"/>
      <c r="Q24" s="176"/>
      <c r="R24" s="181">
        <v>11708059</v>
      </c>
      <c r="S24" s="180">
        <v>22229470</v>
      </c>
      <c r="T24" s="180">
        <v>22229470</v>
      </c>
      <c r="U24" s="180">
        <v>22229470</v>
      </c>
      <c r="V24" s="180">
        <v>22229470</v>
      </c>
      <c r="W24" s="181">
        <v>22229470</v>
      </c>
      <c r="X24" s="181">
        <v>22229470</v>
      </c>
      <c r="Y24" s="181">
        <v>22229470</v>
      </c>
      <c r="Z24" s="181">
        <v>22229470</v>
      </c>
      <c r="AA24" s="181">
        <v>22229470</v>
      </c>
      <c r="AB24" s="181">
        <v>39783231</v>
      </c>
      <c r="AC24" s="151">
        <f>SUM(Q24:AB24)</f>
        <v>251556520</v>
      </c>
      <c r="AD24" s="160"/>
      <c r="AE24" s="3"/>
      <c r="AF24" s="3"/>
    </row>
    <row r="25" spans="1:41" ht="32.1" customHeight="1" thickBot="1" x14ac:dyDescent="0.3">
      <c r="A25" s="454" t="s">
        <v>45</v>
      </c>
      <c r="B25" s="455"/>
      <c r="C25" s="153"/>
      <c r="D25" s="154">
        <v>1214133</v>
      </c>
      <c r="E25" s="154"/>
      <c r="F25" s="154"/>
      <c r="G25" s="154"/>
      <c r="H25" s="154"/>
      <c r="I25" s="154"/>
      <c r="J25" s="154"/>
      <c r="K25" s="154"/>
      <c r="L25" s="154"/>
      <c r="M25" s="154"/>
      <c r="N25" s="154"/>
      <c r="O25" s="154">
        <f>SUM(C25:N25)</f>
        <v>1214133</v>
      </c>
      <c r="P25" s="159">
        <f>IFERROR(O25/(SUMIF(C25:N25,"&gt;0",C24:N24))," ")</f>
        <v>1</v>
      </c>
      <c r="Q25" s="182"/>
      <c r="R25" s="183">
        <f>6532988</f>
        <v>6532988</v>
      </c>
      <c r="S25" s="183">
        <f>27999588-R25</f>
        <v>21466600</v>
      </c>
      <c r="T25" s="183">
        <f>49874067-R25-S25</f>
        <v>21874479</v>
      </c>
      <c r="U25" s="183">
        <f>71748548-R25-S25-T25</f>
        <v>21874481</v>
      </c>
      <c r="V25" s="183"/>
      <c r="W25" s="183"/>
      <c r="X25" s="183"/>
      <c r="Y25" s="183"/>
      <c r="Z25" s="183"/>
      <c r="AA25" s="183"/>
      <c r="AB25" s="183"/>
      <c r="AC25" s="154">
        <f>SUM(Q25:AB25)</f>
        <v>71748548</v>
      </c>
      <c r="AD25" s="276">
        <f>AC25/AC24</f>
        <v>0.28521839942769123</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50"/>
    </row>
    <row r="27" spans="1:41" ht="33.75" customHeight="1" x14ac:dyDescent="0.25">
      <c r="A27" s="450" t="s">
        <v>46</v>
      </c>
      <c r="B27" s="451"/>
      <c r="C27" s="452"/>
      <c r="D27" s="452"/>
      <c r="E27" s="452"/>
      <c r="F27" s="452"/>
      <c r="G27" s="452"/>
      <c r="H27" s="452"/>
      <c r="I27" s="452"/>
      <c r="J27" s="452"/>
      <c r="K27" s="452"/>
      <c r="L27" s="452"/>
      <c r="M27" s="452"/>
      <c r="N27" s="452"/>
      <c r="O27" s="452"/>
      <c r="P27" s="452"/>
      <c r="Q27" s="452"/>
      <c r="R27" s="452"/>
      <c r="S27" s="452"/>
      <c r="T27" s="452"/>
      <c r="U27" s="452"/>
      <c r="V27" s="452"/>
      <c r="W27" s="452"/>
      <c r="X27" s="452"/>
      <c r="Y27" s="452"/>
      <c r="Z27" s="452"/>
      <c r="AA27" s="452"/>
      <c r="AB27" s="452"/>
      <c r="AC27" s="452"/>
      <c r="AD27" s="453"/>
    </row>
    <row r="28" spans="1:41" ht="15" customHeight="1" x14ac:dyDescent="0.25">
      <c r="A28" s="459" t="s">
        <v>47</v>
      </c>
      <c r="B28" s="461" t="s">
        <v>48</v>
      </c>
      <c r="C28" s="462"/>
      <c r="D28" s="443" t="s">
        <v>49</v>
      </c>
      <c r="E28" s="465"/>
      <c r="F28" s="465"/>
      <c r="G28" s="465"/>
      <c r="H28" s="465"/>
      <c r="I28" s="465"/>
      <c r="J28" s="465"/>
      <c r="K28" s="465"/>
      <c r="L28" s="465"/>
      <c r="M28" s="465"/>
      <c r="N28" s="465"/>
      <c r="O28" s="466"/>
      <c r="P28" s="411" t="s">
        <v>40</v>
      </c>
      <c r="Q28" s="411" t="s">
        <v>50</v>
      </c>
      <c r="R28" s="411"/>
      <c r="S28" s="411"/>
      <c r="T28" s="411"/>
      <c r="U28" s="411"/>
      <c r="V28" s="411"/>
      <c r="W28" s="411"/>
      <c r="X28" s="411"/>
      <c r="Y28" s="411"/>
      <c r="Z28" s="411"/>
      <c r="AA28" s="411"/>
      <c r="AB28" s="411"/>
      <c r="AC28" s="411"/>
      <c r="AD28" s="467"/>
    </row>
    <row r="29" spans="1:41" ht="27" customHeight="1" x14ac:dyDescent="0.25">
      <c r="A29" s="460"/>
      <c r="B29" s="463"/>
      <c r="C29" s="464"/>
      <c r="D29" s="88" t="s">
        <v>29</v>
      </c>
      <c r="E29" s="88" t="s">
        <v>30</v>
      </c>
      <c r="F29" s="88" t="s">
        <v>31</v>
      </c>
      <c r="G29" s="88" t="s">
        <v>8</v>
      </c>
      <c r="H29" s="88" t="s">
        <v>32</v>
      </c>
      <c r="I29" s="88" t="s">
        <v>33</v>
      </c>
      <c r="J29" s="88" t="s">
        <v>34</v>
      </c>
      <c r="K29" s="88" t="s">
        <v>35</v>
      </c>
      <c r="L29" s="88" t="s">
        <v>36</v>
      </c>
      <c r="M29" s="88" t="s">
        <v>37</v>
      </c>
      <c r="N29" s="88" t="s">
        <v>38</v>
      </c>
      <c r="O29" s="88" t="s">
        <v>39</v>
      </c>
      <c r="P29" s="466"/>
      <c r="Q29" s="411"/>
      <c r="R29" s="411"/>
      <c r="S29" s="411"/>
      <c r="T29" s="411"/>
      <c r="U29" s="411"/>
      <c r="V29" s="411"/>
      <c r="W29" s="411"/>
      <c r="X29" s="411"/>
      <c r="Y29" s="411"/>
      <c r="Z29" s="411"/>
      <c r="AA29" s="411"/>
      <c r="AB29" s="411"/>
      <c r="AC29" s="411"/>
      <c r="AD29" s="467"/>
    </row>
    <row r="30" spans="1:41" ht="79.5" customHeight="1" thickBot="1" x14ac:dyDescent="0.3">
      <c r="A30" s="217" t="str">
        <f>C17</f>
        <v xml:space="preserve">Acompañar técnicamente 4 instancias de participación y representación de las mujeres  para fortalecer sus capacidades de liderazgo	</v>
      </c>
      <c r="B30" s="546"/>
      <c r="C30" s="547"/>
      <c r="D30" s="89"/>
      <c r="E30" s="89"/>
      <c r="F30" s="89"/>
      <c r="G30" s="89"/>
      <c r="H30" s="89"/>
      <c r="I30" s="89"/>
      <c r="J30" s="89"/>
      <c r="K30" s="89"/>
      <c r="L30" s="89"/>
      <c r="M30" s="89"/>
      <c r="N30" s="89"/>
      <c r="O30" s="89"/>
      <c r="P30" s="86">
        <f>SUM(D30:O30)</f>
        <v>0</v>
      </c>
      <c r="Q30" s="402"/>
      <c r="R30" s="402"/>
      <c r="S30" s="402"/>
      <c r="T30" s="402"/>
      <c r="U30" s="402"/>
      <c r="V30" s="402"/>
      <c r="W30" s="402"/>
      <c r="X30" s="402"/>
      <c r="Y30" s="402"/>
      <c r="Z30" s="402"/>
      <c r="AA30" s="402"/>
      <c r="AB30" s="402"/>
      <c r="AC30" s="402"/>
      <c r="AD30" s="403"/>
    </row>
    <row r="31" spans="1:41" ht="45" customHeight="1" thickBot="1" x14ac:dyDescent="0.3">
      <c r="A31" s="404" t="s">
        <v>52</v>
      </c>
      <c r="B31" s="405"/>
      <c r="C31" s="405"/>
      <c r="D31" s="405"/>
      <c r="E31" s="405"/>
      <c r="F31" s="405"/>
      <c r="G31" s="405"/>
      <c r="H31" s="405"/>
      <c r="I31" s="405"/>
      <c r="J31" s="405"/>
      <c r="K31" s="405"/>
      <c r="L31" s="405"/>
      <c r="M31" s="405"/>
      <c r="N31" s="405"/>
      <c r="O31" s="405"/>
      <c r="P31" s="405"/>
      <c r="Q31" s="405"/>
      <c r="R31" s="405"/>
      <c r="S31" s="405"/>
      <c r="T31" s="405"/>
      <c r="U31" s="405"/>
      <c r="V31" s="405"/>
      <c r="W31" s="405"/>
      <c r="X31" s="405"/>
      <c r="Y31" s="405"/>
      <c r="Z31" s="405"/>
      <c r="AA31" s="405"/>
      <c r="AB31" s="405"/>
      <c r="AC31" s="405"/>
      <c r="AD31" s="734"/>
    </row>
    <row r="32" spans="1:41" ht="23.1" customHeight="1" x14ac:dyDescent="0.25">
      <c r="A32" s="408" t="s">
        <v>53</v>
      </c>
      <c r="B32" s="410" t="s">
        <v>54</v>
      </c>
      <c r="C32" s="801" t="s">
        <v>48</v>
      </c>
      <c r="D32" s="511" t="s">
        <v>55</v>
      </c>
      <c r="E32" s="512"/>
      <c r="F32" s="512"/>
      <c r="G32" s="512"/>
      <c r="H32" s="512"/>
      <c r="I32" s="512"/>
      <c r="J32" s="512"/>
      <c r="K32" s="512"/>
      <c r="L32" s="512"/>
      <c r="M32" s="512"/>
      <c r="N32" s="512"/>
      <c r="O32" s="512"/>
      <c r="P32" s="513"/>
      <c r="Q32" s="771" t="s">
        <v>56</v>
      </c>
      <c r="R32" s="410"/>
      <c r="S32" s="410"/>
      <c r="T32" s="410"/>
      <c r="U32" s="410"/>
      <c r="V32" s="410"/>
      <c r="W32" s="410"/>
      <c r="X32" s="410"/>
      <c r="Y32" s="410"/>
      <c r="Z32" s="410"/>
      <c r="AA32" s="410"/>
      <c r="AB32" s="410"/>
      <c r="AC32" s="410"/>
      <c r="AD32" s="491"/>
      <c r="AG32" s="87"/>
      <c r="AH32" s="87"/>
      <c r="AI32" s="87"/>
      <c r="AJ32" s="87"/>
      <c r="AK32" s="87"/>
      <c r="AL32" s="87"/>
      <c r="AM32" s="87"/>
      <c r="AN32" s="87"/>
      <c r="AO32" s="87"/>
    </row>
    <row r="33" spans="1:41" ht="27" customHeight="1" x14ac:dyDescent="0.25">
      <c r="A33" s="409"/>
      <c r="B33" s="411"/>
      <c r="C33" s="802"/>
      <c r="D33" s="272" t="s">
        <v>29</v>
      </c>
      <c r="E33" s="88" t="s">
        <v>30</v>
      </c>
      <c r="F33" s="88" t="s">
        <v>31</v>
      </c>
      <c r="G33" s="88" t="s">
        <v>8</v>
      </c>
      <c r="H33" s="88" t="s">
        <v>32</v>
      </c>
      <c r="I33" s="88" t="s">
        <v>33</v>
      </c>
      <c r="J33" s="88" t="s">
        <v>34</v>
      </c>
      <c r="K33" s="88" t="s">
        <v>35</v>
      </c>
      <c r="L33" s="88" t="s">
        <v>36</v>
      </c>
      <c r="M33" s="88" t="s">
        <v>37</v>
      </c>
      <c r="N33" s="88" t="s">
        <v>38</v>
      </c>
      <c r="O33" s="88" t="s">
        <v>39</v>
      </c>
      <c r="P33" s="271" t="s">
        <v>40</v>
      </c>
      <c r="Q33" s="466" t="s">
        <v>57</v>
      </c>
      <c r="R33" s="411"/>
      <c r="S33" s="411"/>
      <c r="T33" s="411" t="s">
        <v>58</v>
      </c>
      <c r="U33" s="411"/>
      <c r="V33" s="411"/>
      <c r="W33" s="463" t="s">
        <v>59</v>
      </c>
      <c r="X33" s="492"/>
      <c r="Y33" s="492"/>
      <c r="Z33" s="464"/>
      <c r="AA33" s="463" t="s">
        <v>60</v>
      </c>
      <c r="AB33" s="492"/>
      <c r="AC33" s="492"/>
      <c r="AD33" s="493"/>
      <c r="AG33" s="87"/>
      <c r="AH33" s="87"/>
      <c r="AI33" s="87"/>
      <c r="AJ33" s="87"/>
      <c r="AK33" s="87"/>
      <c r="AL33" s="87"/>
      <c r="AM33" s="87"/>
      <c r="AN33" s="87"/>
      <c r="AO33" s="87"/>
    </row>
    <row r="34" spans="1:41" ht="111.75" customHeight="1" x14ac:dyDescent="0.25">
      <c r="A34" s="770" t="s">
        <v>138</v>
      </c>
      <c r="B34" s="477">
        <v>0.05</v>
      </c>
      <c r="C34" s="265" t="s">
        <v>61</v>
      </c>
      <c r="D34" s="273">
        <f>D75</f>
        <v>4.0000000000000008E-2</v>
      </c>
      <c r="E34" s="230">
        <f t="shared" ref="E34:O34" si="0">E75</f>
        <v>0.27600000000000002</v>
      </c>
      <c r="F34" s="230">
        <f t="shared" si="0"/>
        <v>0.37600000000000006</v>
      </c>
      <c r="G34" s="230">
        <f t="shared" si="0"/>
        <v>0.34800000000000009</v>
      </c>
      <c r="H34" s="230">
        <f t="shared" si="0"/>
        <v>0.37600000000000006</v>
      </c>
      <c r="I34" s="230">
        <f t="shared" si="0"/>
        <v>0.33600000000000008</v>
      </c>
      <c r="J34" s="230">
        <f t="shared" si="0"/>
        <v>0.38800000000000007</v>
      </c>
      <c r="K34" s="230">
        <f t="shared" si="0"/>
        <v>0.38800000000000007</v>
      </c>
      <c r="L34" s="230">
        <f t="shared" si="0"/>
        <v>0.37200000000000011</v>
      </c>
      <c r="M34" s="230">
        <f t="shared" si="0"/>
        <v>0.38800000000000007</v>
      </c>
      <c r="N34" s="230">
        <f t="shared" si="0"/>
        <v>0.40800000000000008</v>
      </c>
      <c r="O34" s="230">
        <f t="shared" si="0"/>
        <v>0.30399999999999999</v>
      </c>
      <c r="P34" s="234">
        <f>SUM(D34:O34)</f>
        <v>4</v>
      </c>
      <c r="Q34" s="754" t="s">
        <v>539</v>
      </c>
      <c r="R34" s="754"/>
      <c r="S34" s="755"/>
      <c r="T34" s="754" t="s">
        <v>528</v>
      </c>
      <c r="U34" s="754"/>
      <c r="V34" s="755"/>
      <c r="W34" s="803"/>
      <c r="X34" s="754"/>
      <c r="Y34" s="754"/>
      <c r="Z34" s="755"/>
      <c r="AA34" s="803" t="s">
        <v>139</v>
      </c>
      <c r="AB34" s="754"/>
      <c r="AC34" s="754"/>
      <c r="AD34" s="755"/>
      <c r="AG34" s="87"/>
      <c r="AH34" s="87"/>
      <c r="AI34" s="87"/>
      <c r="AJ34" s="87"/>
      <c r="AK34" s="87"/>
      <c r="AL34" s="87"/>
      <c r="AM34" s="87"/>
      <c r="AN34" s="87"/>
      <c r="AO34" s="87"/>
    </row>
    <row r="35" spans="1:41" ht="111.75" customHeight="1" thickBot="1" x14ac:dyDescent="0.3">
      <c r="A35" s="732"/>
      <c r="B35" s="478"/>
      <c r="C35" s="266" t="s">
        <v>62</v>
      </c>
      <c r="D35" s="267">
        <f>D72</f>
        <v>4.0000000000000008E-2</v>
      </c>
      <c r="E35" s="224">
        <f t="shared" ref="E35:O35" si="1">E72</f>
        <v>0.27600000000000002</v>
      </c>
      <c r="F35" s="224">
        <f t="shared" si="1"/>
        <v>0.37600000000000006</v>
      </c>
      <c r="G35" s="224">
        <f t="shared" si="1"/>
        <v>0.34800000000000009</v>
      </c>
      <c r="H35" s="224">
        <f t="shared" si="1"/>
        <v>0.37600000000000006</v>
      </c>
      <c r="I35" s="224">
        <f t="shared" si="1"/>
        <v>0</v>
      </c>
      <c r="J35" s="224">
        <f t="shared" si="1"/>
        <v>0</v>
      </c>
      <c r="K35" s="224">
        <f t="shared" si="1"/>
        <v>0</v>
      </c>
      <c r="L35" s="224">
        <f t="shared" si="1"/>
        <v>0</v>
      </c>
      <c r="M35" s="224">
        <f t="shared" si="1"/>
        <v>0</v>
      </c>
      <c r="N35" s="224">
        <f t="shared" si="1"/>
        <v>0</v>
      </c>
      <c r="O35" s="224">
        <f t="shared" si="1"/>
        <v>0</v>
      </c>
      <c r="P35" s="235">
        <f>SUM(D35:O35)</f>
        <v>1.4160000000000004</v>
      </c>
      <c r="Q35" s="756"/>
      <c r="R35" s="756"/>
      <c r="S35" s="757"/>
      <c r="T35" s="756"/>
      <c r="U35" s="756"/>
      <c r="V35" s="757"/>
      <c r="W35" s="804"/>
      <c r="X35" s="756"/>
      <c r="Y35" s="756"/>
      <c r="Z35" s="757"/>
      <c r="AA35" s="804"/>
      <c r="AB35" s="756"/>
      <c r="AC35" s="756"/>
      <c r="AD35" s="757"/>
      <c r="AE35" s="49"/>
      <c r="AG35" s="87"/>
      <c r="AH35" s="87"/>
      <c r="AI35" s="87"/>
      <c r="AJ35" s="87"/>
      <c r="AK35" s="87"/>
      <c r="AL35" s="87"/>
      <c r="AM35" s="87"/>
      <c r="AN35" s="87"/>
      <c r="AO35" s="87"/>
    </row>
    <row r="36" spans="1:41" ht="26.1" customHeight="1" x14ac:dyDescent="0.25">
      <c r="A36" s="491" t="s">
        <v>63</v>
      </c>
      <c r="B36" s="491" t="s">
        <v>64</v>
      </c>
      <c r="C36" s="408" t="s">
        <v>65</v>
      </c>
      <c r="D36" s="410"/>
      <c r="E36" s="410"/>
      <c r="F36" s="410"/>
      <c r="G36" s="410"/>
      <c r="H36" s="410"/>
      <c r="I36" s="410"/>
      <c r="J36" s="410"/>
      <c r="K36" s="410"/>
      <c r="L36" s="410"/>
      <c r="M36" s="410"/>
      <c r="N36" s="410"/>
      <c r="O36" s="410"/>
      <c r="P36" s="491"/>
      <c r="Q36" s="511" t="s">
        <v>66</v>
      </c>
      <c r="R36" s="512"/>
      <c r="S36" s="512"/>
      <c r="T36" s="512"/>
      <c r="U36" s="512"/>
      <c r="V36" s="512"/>
      <c r="W36" s="512"/>
      <c r="X36" s="512"/>
      <c r="Y36" s="512"/>
      <c r="Z36" s="512"/>
      <c r="AA36" s="512"/>
      <c r="AB36" s="512"/>
      <c r="AC36" s="512"/>
      <c r="AD36" s="513"/>
      <c r="AG36" s="87"/>
      <c r="AH36" s="87"/>
      <c r="AI36" s="87"/>
      <c r="AJ36" s="87"/>
      <c r="AK36" s="87"/>
      <c r="AL36" s="87"/>
      <c r="AM36" s="87"/>
      <c r="AN36" s="87"/>
      <c r="AO36" s="87"/>
    </row>
    <row r="37" spans="1:41" ht="26.1" customHeight="1" x14ac:dyDescent="0.25">
      <c r="A37" s="467"/>
      <c r="B37" s="467"/>
      <c r="C37" s="272" t="s">
        <v>67</v>
      </c>
      <c r="D37" s="88" t="s">
        <v>68</v>
      </c>
      <c r="E37" s="88" t="s">
        <v>69</v>
      </c>
      <c r="F37" s="88" t="s">
        <v>70</v>
      </c>
      <c r="G37" s="88" t="s">
        <v>71</v>
      </c>
      <c r="H37" s="88" t="s">
        <v>72</v>
      </c>
      <c r="I37" s="88" t="s">
        <v>73</v>
      </c>
      <c r="J37" s="88" t="s">
        <v>74</v>
      </c>
      <c r="K37" s="88" t="s">
        <v>75</v>
      </c>
      <c r="L37" s="88" t="s">
        <v>76</v>
      </c>
      <c r="M37" s="88" t="s">
        <v>77</v>
      </c>
      <c r="N37" s="88" t="s">
        <v>78</v>
      </c>
      <c r="O37" s="88" t="s">
        <v>79</v>
      </c>
      <c r="P37" s="271" t="s">
        <v>80</v>
      </c>
      <c r="Q37" s="741" t="s">
        <v>81</v>
      </c>
      <c r="R37" s="465"/>
      <c r="S37" s="465"/>
      <c r="T37" s="465"/>
      <c r="U37" s="465"/>
      <c r="V37" s="465"/>
      <c r="W37" s="465"/>
      <c r="X37" s="465"/>
      <c r="Y37" s="465"/>
      <c r="Z37" s="465"/>
      <c r="AA37" s="465"/>
      <c r="AB37" s="465"/>
      <c r="AC37" s="465"/>
      <c r="AD37" s="588"/>
      <c r="AG37" s="94"/>
      <c r="AH37" s="94"/>
      <c r="AI37" s="94"/>
      <c r="AJ37" s="94"/>
      <c r="AK37" s="94"/>
      <c r="AL37" s="94"/>
      <c r="AM37" s="94"/>
      <c r="AN37" s="94"/>
      <c r="AO37" s="94"/>
    </row>
    <row r="38" spans="1:41" ht="35.25" customHeight="1" x14ac:dyDescent="0.25">
      <c r="A38" s="348" t="s">
        <v>140</v>
      </c>
      <c r="B38" s="791">
        <v>0.01</v>
      </c>
      <c r="C38" s="244" t="s">
        <v>61</v>
      </c>
      <c r="D38" s="103">
        <v>0.05</v>
      </c>
      <c r="E38" s="103">
        <v>0.09</v>
      </c>
      <c r="F38" s="103">
        <v>0.09</v>
      </c>
      <c r="G38" s="103">
        <v>0.09</v>
      </c>
      <c r="H38" s="103">
        <v>0.09</v>
      </c>
      <c r="I38" s="103">
        <v>0.09</v>
      </c>
      <c r="J38" s="103">
        <v>0.09</v>
      </c>
      <c r="K38" s="103">
        <v>0.09</v>
      </c>
      <c r="L38" s="103">
        <v>0.09</v>
      </c>
      <c r="M38" s="103">
        <v>0.09</v>
      </c>
      <c r="N38" s="103">
        <v>0.09</v>
      </c>
      <c r="O38" s="103">
        <v>0.05</v>
      </c>
      <c r="P38" s="236">
        <f t="shared" ref="P38:P51" si="2">SUM(D38:O38)</f>
        <v>0.99999999999999989</v>
      </c>
      <c r="Q38" s="793" t="s">
        <v>534</v>
      </c>
      <c r="R38" s="794"/>
      <c r="S38" s="794"/>
      <c r="T38" s="794"/>
      <c r="U38" s="794"/>
      <c r="V38" s="794"/>
      <c r="W38" s="794"/>
      <c r="X38" s="794"/>
      <c r="Y38" s="794"/>
      <c r="Z38" s="794"/>
      <c r="AA38" s="794"/>
      <c r="AB38" s="794"/>
      <c r="AC38" s="794"/>
      <c r="AD38" s="795"/>
      <c r="AE38" s="97"/>
      <c r="AG38" s="98"/>
      <c r="AH38" s="98"/>
      <c r="AI38" s="98"/>
      <c r="AJ38" s="98"/>
      <c r="AK38" s="98"/>
      <c r="AL38" s="98"/>
      <c r="AM38" s="98"/>
      <c r="AN38" s="98"/>
      <c r="AO38" s="98"/>
    </row>
    <row r="39" spans="1:41" ht="35.25" customHeight="1" x14ac:dyDescent="0.25">
      <c r="A39" s="348"/>
      <c r="B39" s="791"/>
      <c r="C39" s="242" t="s">
        <v>62</v>
      </c>
      <c r="D39" s="100">
        <v>0.05</v>
      </c>
      <c r="E39" s="100">
        <v>0.09</v>
      </c>
      <c r="F39" s="100">
        <v>0.09</v>
      </c>
      <c r="G39" s="100">
        <v>0.09</v>
      </c>
      <c r="H39" s="100">
        <v>0.09</v>
      </c>
      <c r="I39" s="100"/>
      <c r="J39" s="100"/>
      <c r="K39" s="100"/>
      <c r="L39" s="100"/>
      <c r="M39" s="100"/>
      <c r="N39" s="100"/>
      <c r="O39" s="100"/>
      <c r="P39" s="237">
        <f t="shared" si="2"/>
        <v>0.41000000000000003</v>
      </c>
      <c r="Q39" s="805"/>
      <c r="R39" s="806"/>
      <c r="S39" s="806"/>
      <c r="T39" s="806"/>
      <c r="U39" s="806"/>
      <c r="V39" s="806"/>
      <c r="W39" s="806"/>
      <c r="X39" s="806"/>
      <c r="Y39" s="806"/>
      <c r="Z39" s="806"/>
      <c r="AA39" s="806"/>
      <c r="AB39" s="806"/>
      <c r="AC39" s="806"/>
      <c r="AD39" s="807"/>
      <c r="AE39" s="97"/>
    </row>
    <row r="40" spans="1:41" ht="35.25" customHeight="1" x14ac:dyDescent="0.25">
      <c r="A40" s="348" t="s">
        <v>141</v>
      </c>
      <c r="B40" s="791">
        <v>5.0000000000000001E-3</v>
      </c>
      <c r="C40" s="244" t="s">
        <v>61</v>
      </c>
      <c r="D40" s="103">
        <v>0</v>
      </c>
      <c r="E40" s="103">
        <v>0.09</v>
      </c>
      <c r="F40" s="103">
        <v>0.09</v>
      </c>
      <c r="G40" s="103">
        <v>0.09</v>
      </c>
      <c r="H40" s="103">
        <v>0.09</v>
      </c>
      <c r="I40" s="103">
        <v>0.09</v>
      </c>
      <c r="J40" s="103">
        <v>0.09</v>
      </c>
      <c r="K40" s="103">
        <v>0.09</v>
      </c>
      <c r="L40" s="103">
        <v>0.09</v>
      </c>
      <c r="M40" s="103">
        <v>0.09</v>
      </c>
      <c r="N40" s="103">
        <v>0.09</v>
      </c>
      <c r="O40" s="103">
        <v>0.1</v>
      </c>
      <c r="P40" s="237">
        <f t="shared" si="2"/>
        <v>0.99999999999999978</v>
      </c>
      <c r="Q40" s="793" t="s">
        <v>535</v>
      </c>
      <c r="R40" s="794"/>
      <c r="S40" s="794"/>
      <c r="T40" s="794"/>
      <c r="U40" s="794"/>
      <c r="V40" s="794"/>
      <c r="W40" s="794"/>
      <c r="X40" s="794"/>
      <c r="Y40" s="794"/>
      <c r="Z40" s="794"/>
      <c r="AA40" s="794"/>
      <c r="AB40" s="794"/>
      <c r="AC40" s="794"/>
      <c r="AD40" s="795"/>
      <c r="AE40" s="97"/>
    </row>
    <row r="41" spans="1:41" ht="35.25" customHeight="1" x14ac:dyDescent="0.25">
      <c r="A41" s="348"/>
      <c r="B41" s="791"/>
      <c r="C41" s="242" t="s">
        <v>62</v>
      </c>
      <c r="D41" s="100">
        <v>0</v>
      </c>
      <c r="E41" s="100">
        <v>0.09</v>
      </c>
      <c r="F41" s="100">
        <v>0.09</v>
      </c>
      <c r="G41" s="100">
        <v>0.09</v>
      </c>
      <c r="H41" s="100">
        <v>0.09</v>
      </c>
      <c r="I41" s="100"/>
      <c r="J41" s="100"/>
      <c r="K41" s="100"/>
      <c r="L41" s="100"/>
      <c r="M41" s="100"/>
      <c r="N41" s="100"/>
      <c r="O41" s="100"/>
      <c r="P41" s="237">
        <f t="shared" si="2"/>
        <v>0.36</v>
      </c>
      <c r="Q41" s="805"/>
      <c r="R41" s="806"/>
      <c r="S41" s="806"/>
      <c r="T41" s="806"/>
      <c r="U41" s="806"/>
      <c r="V41" s="806"/>
      <c r="W41" s="806"/>
      <c r="X41" s="806"/>
      <c r="Y41" s="806"/>
      <c r="Z41" s="806"/>
      <c r="AA41" s="806"/>
      <c r="AB41" s="806"/>
      <c r="AC41" s="806"/>
      <c r="AD41" s="807"/>
      <c r="AE41" s="97"/>
    </row>
    <row r="42" spans="1:41" ht="35.25" customHeight="1" x14ac:dyDescent="0.25">
      <c r="A42" s="348" t="s">
        <v>142</v>
      </c>
      <c r="B42" s="791">
        <v>0.01</v>
      </c>
      <c r="C42" s="244" t="s">
        <v>61</v>
      </c>
      <c r="D42" s="103">
        <v>0</v>
      </c>
      <c r="E42" s="103">
        <v>0.05</v>
      </c>
      <c r="F42" s="103">
        <v>0.1</v>
      </c>
      <c r="G42" s="103">
        <v>0.1</v>
      </c>
      <c r="H42" s="103">
        <v>0.1</v>
      </c>
      <c r="I42" s="103">
        <v>0.1</v>
      </c>
      <c r="J42" s="103">
        <v>0.1</v>
      </c>
      <c r="K42" s="103">
        <v>0.1</v>
      </c>
      <c r="L42" s="103">
        <v>0.1</v>
      </c>
      <c r="M42" s="103">
        <v>0.1</v>
      </c>
      <c r="N42" s="103">
        <v>0.1</v>
      </c>
      <c r="O42" s="103">
        <v>0.05</v>
      </c>
      <c r="P42" s="237">
        <f t="shared" si="2"/>
        <v>0.99999999999999989</v>
      </c>
      <c r="Q42" s="793" t="s">
        <v>536</v>
      </c>
      <c r="R42" s="794"/>
      <c r="S42" s="794"/>
      <c r="T42" s="794"/>
      <c r="U42" s="794"/>
      <c r="V42" s="794"/>
      <c r="W42" s="794"/>
      <c r="X42" s="794"/>
      <c r="Y42" s="794"/>
      <c r="Z42" s="794"/>
      <c r="AA42" s="794"/>
      <c r="AB42" s="794"/>
      <c r="AC42" s="794"/>
      <c r="AD42" s="795"/>
      <c r="AE42" s="97"/>
    </row>
    <row r="43" spans="1:41" ht="35.25" customHeight="1" x14ac:dyDescent="0.25">
      <c r="A43" s="348"/>
      <c r="B43" s="791"/>
      <c r="C43" s="242" t="s">
        <v>62</v>
      </c>
      <c r="D43" s="100">
        <v>0</v>
      </c>
      <c r="E43" s="100">
        <v>0.05</v>
      </c>
      <c r="F43" s="100">
        <v>0.1</v>
      </c>
      <c r="G43" s="100">
        <v>0.1</v>
      </c>
      <c r="H43" s="100">
        <v>0.1</v>
      </c>
      <c r="I43" s="100"/>
      <c r="J43" s="100"/>
      <c r="K43" s="100"/>
      <c r="L43" s="100"/>
      <c r="M43" s="100"/>
      <c r="N43" s="100"/>
      <c r="O43" s="100"/>
      <c r="P43" s="237">
        <f t="shared" si="2"/>
        <v>0.35</v>
      </c>
      <c r="Q43" s="805"/>
      <c r="R43" s="806"/>
      <c r="S43" s="806"/>
      <c r="T43" s="806"/>
      <c r="U43" s="806"/>
      <c r="V43" s="806"/>
      <c r="W43" s="806"/>
      <c r="X43" s="806"/>
      <c r="Y43" s="806"/>
      <c r="Z43" s="806"/>
      <c r="AA43" s="806"/>
      <c r="AB43" s="806"/>
      <c r="AC43" s="806"/>
      <c r="AD43" s="807"/>
      <c r="AE43" s="97"/>
    </row>
    <row r="44" spans="1:41" ht="35.25" customHeight="1" x14ac:dyDescent="0.25">
      <c r="A44" s="348" t="s">
        <v>143</v>
      </c>
      <c r="B44" s="791">
        <v>0.01</v>
      </c>
      <c r="C44" s="244" t="s">
        <v>61</v>
      </c>
      <c r="D44" s="103">
        <v>0</v>
      </c>
      <c r="E44" s="103">
        <v>0.08</v>
      </c>
      <c r="F44" s="103">
        <v>0.08</v>
      </c>
      <c r="G44" s="103">
        <v>0.08</v>
      </c>
      <c r="H44" s="103">
        <v>0.08</v>
      </c>
      <c r="I44" s="103">
        <v>0.08</v>
      </c>
      <c r="J44" s="103">
        <v>0.1</v>
      </c>
      <c r="K44" s="103">
        <v>0.1</v>
      </c>
      <c r="L44" s="103">
        <v>0.1</v>
      </c>
      <c r="M44" s="103">
        <v>0.1</v>
      </c>
      <c r="N44" s="103">
        <v>0.1</v>
      </c>
      <c r="O44" s="103">
        <v>0.1</v>
      </c>
      <c r="P44" s="237">
        <f t="shared" si="2"/>
        <v>0.99999999999999989</v>
      </c>
      <c r="Q44" s="793" t="s">
        <v>540</v>
      </c>
      <c r="R44" s="794"/>
      <c r="S44" s="794"/>
      <c r="T44" s="794"/>
      <c r="U44" s="794"/>
      <c r="V44" s="794"/>
      <c r="W44" s="794"/>
      <c r="X44" s="794"/>
      <c r="Y44" s="794"/>
      <c r="Z44" s="794"/>
      <c r="AA44" s="794"/>
      <c r="AB44" s="794"/>
      <c r="AC44" s="794"/>
      <c r="AD44" s="795"/>
      <c r="AE44" s="97"/>
    </row>
    <row r="45" spans="1:41" ht="35.25" customHeight="1" thickBot="1" x14ac:dyDescent="0.3">
      <c r="A45" s="348"/>
      <c r="B45" s="791"/>
      <c r="C45" s="242" t="s">
        <v>62</v>
      </c>
      <c r="D45" s="100">
        <v>0</v>
      </c>
      <c r="E45" s="100">
        <v>0.08</v>
      </c>
      <c r="F45" s="100">
        <v>0.08</v>
      </c>
      <c r="G45" s="100">
        <v>0.08</v>
      </c>
      <c r="H45" s="100">
        <v>0.08</v>
      </c>
      <c r="I45" s="100"/>
      <c r="J45" s="100"/>
      <c r="K45" s="100"/>
      <c r="L45" s="100"/>
      <c r="M45" s="100"/>
      <c r="N45" s="100"/>
      <c r="O45" s="100"/>
      <c r="P45" s="237">
        <f t="shared" si="2"/>
        <v>0.32</v>
      </c>
      <c r="Q45" s="796"/>
      <c r="R45" s="797"/>
      <c r="S45" s="797"/>
      <c r="T45" s="797"/>
      <c r="U45" s="797"/>
      <c r="V45" s="797"/>
      <c r="W45" s="797"/>
      <c r="X45" s="797"/>
      <c r="Y45" s="797"/>
      <c r="Z45" s="797"/>
      <c r="AA45" s="797"/>
      <c r="AB45" s="797"/>
      <c r="AC45" s="797"/>
      <c r="AD45" s="798"/>
      <c r="AE45" s="97"/>
    </row>
    <row r="46" spans="1:41" ht="35.25" customHeight="1" x14ac:dyDescent="0.25">
      <c r="A46" s="348" t="s">
        <v>144</v>
      </c>
      <c r="B46" s="791">
        <v>5.0000000000000001E-3</v>
      </c>
      <c r="C46" s="244" t="s">
        <v>61</v>
      </c>
      <c r="D46" s="103">
        <v>0</v>
      </c>
      <c r="E46" s="103">
        <v>0.08</v>
      </c>
      <c r="F46" s="103">
        <v>0.08</v>
      </c>
      <c r="G46" s="103">
        <v>0.08</v>
      </c>
      <c r="H46" s="103">
        <v>0.08</v>
      </c>
      <c r="I46" s="103">
        <v>0.08</v>
      </c>
      <c r="J46" s="103">
        <v>0.1</v>
      </c>
      <c r="K46" s="103">
        <v>0.1</v>
      </c>
      <c r="L46" s="103">
        <v>0.1</v>
      </c>
      <c r="M46" s="103">
        <v>0.1</v>
      </c>
      <c r="N46" s="103">
        <v>0.1</v>
      </c>
      <c r="O46" s="103">
        <v>0.1</v>
      </c>
      <c r="P46" s="237">
        <f t="shared" si="2"/>
        <v>0.99999999999999989</v>
      </c>
      <c r="Q46" s="793" t="s">
        <v>529</v>
      </c>
      <c r="R46" s="794"/>
      <c r="S46" s="794"/>
      <c r="T46" s="794"/>
      <c r="U46" s="794"/>
      <c r="V46" s="794"/>
      <c r="W46" s="794"/>
      <c r="X46" s="794"/>
      <c r="Y46" s="794"/>
      <c r="Z46" s="794"/>
      <c r="AA46" s="794"/>
      <c r="AB46" s="794"/>
      <c r="AC46" s="794"/>
      <c r="AD46" s="795"/>
      <c r="AE46" s="97"/>
    </row>
    <row r="47" spans="1:41" ht="35.25" customHeight="1" thickBot="1" x14ac:dyDescent="0.3">
      <c r="A47" s="348"/>
      <c r="B47" s="791"/>
      <c r="C47" s="242" t="s">
        <v>62</v>
      </c>
      <c r="D47" s="100">
        <v>0</v>
      </c>
      <c r="E47" s="100">
        <v>0.08</v>
      </c>
      <c r="F47" s="100">
        <v>0.08</v>
      </c>
      <c r="G47" s="100">
        <v>0.08</v>
      </c>
      <c r="H47" s="100">
        <v>0.08</v>
      </c>
      <c r="I47" s="100"/>
      <c r="J47" s="100"/>
      <c r="K47" s="100"/>
      <c r="L47" s="100"/>
      <c r="M47" s="100"/>
      <c r="N47" s="100"/>
      <c r="O47" s="100"/>
      <c r="P47" s="237">
        <f t="shared" si="2"/>
        <v>0.32</v>
      </c>
      <c r="Q47" s="796"/>
      <c r="R47" s="797"/>
      <c r="S47" s="797"/>
      <c r="T47" s="797"/>
      <c r="U47" s="797"/>
      <c r="V47" s="797"/>
      <c r="W47" s="797"/>
      <c r="X47" s="797"/>
      <c r="Y47" s="797"/>
      <c r="Z47" s="797"/>
      <c r="AA47" s="797"/>
      <c r="AB47" s="797"/>
      <c r="AC47" s="797"/>
      <c r="AD47" s="798"/>
      <c r="AE47" s="97"/>
    </row>
    <row r="48" spans="1:41" ht="35.25" customHeight="1" x14ac:dyDescent="0.25">
      <c r="A48" s="348" t="s">
        <v>145</v>
      </c>
      <c r="B48" s="791">
        <v>5.0000000000000001E-3</v>
      </c>
      <c r="C48" s="244" t="s">
        <v>61</v>
      </c>
      <c r="D48" s="103">
        <v>0</v>
      </c>
      <c r="E48" s="103">
        <v>0</v>
      </c>
      <c r="F48" s="103">
        <v>0.15</v>
      </c>
      <c r="G48" s="103">
        <v>0.08</v>
      </c>
      <c r="H48" s="103">
        <v>0.15</v>
      </c>
      <c r="I48" s="103">
        <v>0.05</v>
      </c>
      <c r="J48" s="103">
        <v>0.1</v>
      </c>
      <c r="K48" s="103">
        <v>0.1</v>
      </c>
      <c r="L48" s="103">
        <v>0.06</v>
      </c>
      <c r="M48" s="103">
        <v>0.1</v>
      </c>
      <c r="N48" s="103">
        <v>0.15</v>
      </c>
      <c r="O48" s="103">
        <v>0.06</v>
      </c>
      <c r="P48" s="237">
        <f t="shared" si="2"/>
        <v>1</v>
      </c>
      <c r="Q48" s="793" t="s">
        <v>530</v>
      </c>
      <c r="R48" s="794"/>
      <c r="S48" s="794"/>
      <c r="T48" s="794"/>
      <c r="U48" s="794"/>
      <c r="V48" s="794"/>
      <c r="W48" s="794"/>
      <c r="X48" s="794"/>
      <c r="Y48" s="794"/>
      <c r="Z48" s="794"/>
      <c r="AA48" s="794"/>
      <c r="AB48" s="794"/>
      <c r="AC48" s="794"/>
      <c r="AD48" s="795"/>
      <c r="AE48" s="97"/>
    </row>
    <row r="49" spans="1:31" ht="35.25" customHeight="1" thickBot="1" x14ac:dyDescent="0.3">
      <c r="A49" s="348"/>
      <c r="B49" s="791"/>
      <c r="C49" s="242" t="s">
        <v>62</v>
      </c>
      <c r="D49" s="100">
        <v>0</v>
      </c>
      <c r="E49" s="100">
        <v>0</v>
      </c>
      <c r="F49" s="100">
        <v>0.15</v>
      </c>
      <c r="G49" s="100">
        <v>0.08</v>
      </c>
      <c r="H49" s="100">
        <v>0.15</v>
      </c>
      <c r="I49" s="100"/>
      <c r="J49" s="100"/>
      <c r="K49" s="100"/>
      <c r="L49" s="100"/>
      <c r="M49" s="100"/>
      <c r="N49" s="100"/>
      <c r="O49" s="100"/>
      <c r="P49" s="237">
        <f t="shared" si="2"/>
        <v>0.38</v>
      </c>
      <c r="Q49" s="796"/>
      <c r="R49" s="797"/>
      <c r="S49" s="797"/>
      <c r="T49" s="797"/>
      <c r="U49" s="797"/>
      <c r="V49" s="797"/>
      <c r="W49" s="797"/>
      <c r="X49" s="797"/>
      <c r="Y49" s="797"/>
      <c r="Z49" s="797"/>
      <c r="AA49" s="797"/>
      <c r="AB49" s="797"/>
      <c r="AC49" s="797"/>
      <c r="AD49" s="798"/>
      <c r="AE49" s="97"/>
    </row>
    <row r="50" spans="1:31" ht="35.25" customHeight="1" x14ac:dyDescent="0.25">
      <c r="A50" s="348" t="s">
        <v>146</v>
      </c>
      <c r="B50" s="791">
        <v>5.0000000000000001E-3</v>
      </c>
      <c r="C50" s="244" t="s">
        <v>61</v>
      </c>
      <c r="D50" s="103">
        <v>0</v>
      </c>
      <c r="E50" s="103">
        <v>0.08</v>
      </c>
      <c r="F50" s="103">
        <v>0.08</v>
      </c>
      <c r="G50" s="103">
        <v>0.08</v>
      </c>
      <c r="H50" s="103">
        <v>0.08</v>
      </c>
      <c r="I50" s="103">
        <v>0.08</v>
      </c>
      <c r="J50" s="103">
        <v>0.1</v>
      </c>
      <c r="K50" s="103">
        <v>0.1</v>
      </c>
      <c r="L50" s="103">
        <v>0.1</v>
      </c>
      <c r="M50" s="103">
        <v>0.1</v>
      </c>
      <c r="N50" s="103">
        <v>0.1</v>
      </c>
      <c r="O50" s="103">
        <v>0.1</v>
      </c>
      <c r="P50" s="237">
        <f t="shared" si="2"/>
        <v>0.99999999999999989</v>
      </c>
      <c r="Q50" s="793" t="s">
        <v>537</v>
      </c>
      <c r="R50" s="794"/>
      <c r="S50" s="794"/>
      <c r="T50" s="794"/>
      <c r="U50" s="794"/>
      <c r="V50" s="794"/>
      <c r="W50" s="794"/>
      <c r="X50" s="794"/>
      <c r="Y50" s="794"/>
      <c r="Z50" s="794"/>
      <c r="AA50" s="794"/>
      <c r="AB50" s="794"/>
      <c r="AC50" s="794"/>
      <c r="AD50" s="795"/>
      <c r="AE50" s="97"/>
    </row>
    <row r="51" spans="1:31" ht="35.25" customHeight="1" thickBot="1" x14ac:dyDescent="0.3">
      <c r="A51" s="675"/>
      <c r="B51" s="792"/>
      <c r="C51" s="245" t="s">
        <v>62</v>
      </c>
      <c r="D51" s="105">
        <v>0</v>
      </c>
      <c r="E51" s="105">
        <v>0.08</v>
      </c>
      <c r="F51" s="105">
        <v>0.08</v>
      </c>
      <c r="G51" s="105">
        <v>0.08</v>
      </c>
      <c r="H51" s="105">
        <v>0.08</v>
      </c>
      <c r="I51" s="105"/>
      <c r="J51" s="105"/>
      <c r="K51" s="105"/>
      <c r="L51" s="105"/>
      <c r="M51" s="105"/>
      <c r="N51" s="105"/>
      <c r="O51" s="105"/>
      <c r="P51" s="238">
        <f t="shared" si="2"/>
        <v>0.32</v>
      </c>
      <c r="Q51" s="796"/>
      <c r="R51" s="797"/>
      <c r="S51" s="797"/>
      <c r="T51" s="797"/>
      <c r="U51" s="797"/>
      <c r="V51" s="797"/>
      <c r="W51" s="797"/>
      <c r="X51" s="797"/>
      <c r="Y51" s="797"/>
      <c r="Z51" s="797"/>
      <c r="AA51" s="797"/>
      <c r="AB51" s="797"/>
      <c r="AC51" s="797"/>
      <c r="AD51" s="798"/>
      <c r="AE51" s="97"/>
    </row>
    <row r="52" spans="1:31" x14ac:dyDescent="0.25">
      <c r="A52" s="259" t="s">
        <v>88</v>
      </c>
      <c r="Q52" s="259"/>
      <c r="R52" s="259"/>
      <c r="S52" s="259"/>
      <c r="T52" s="259"/>
      <c r="U52" s="259"/>
      <c r="V52" s="259"/>
      <c r="W52" s="259"/>
      <c r="X52" s="259"/>
      <c r="Y52" s="259"/>
      <c r="Z52" s="259"/>
      <c r="AA52" s="259"/>
      <c r="AB52" s="259"/>
      <c r="AC52" s="259"/>
      <c r="AD52" s="259"/>
    </row>
    <row r="53" spans="1:31" x14ac:dyDescent="0.25">
      <c r="A53" s="259"/>
      <c r="Q53" s="259"/>
      <c r="R53" s="259"/>
      <c r="S53" s="259"/>
      <c r="T53" s="259"/>
      <c r="U53" s="259"/>
      <c r="V53" s="259"/>
      <c r="W53" s="259"/>
      <c r="X53" s="259"/>
      <c r="Y53" s="259"/>
      <c r="Z53" s="259"/>
      <c r="AA53" s="259"/>
      <c r="AB53" s="259"/>
      <c r="AC53" s="259"/>
      <c r="AD53" s="259"/>
    </row>
    <row r="54" spans="1:31" x14ac:dyDescent="0.25">
      <c r="A54" s="259"/>
      <c r="Q54" s="259"/>
      <c r="R54" s="259"/>
      <c r="S54" s="259"/>
      <c r="T54" s="259"/>
      <c r="U54" s="259"/>
      <c r="V54" s="259"/>
      <c r="W54" s="259"/>
      <c r="X54" s="259"/>
      <c r="Y54" s="259"/>
      <c r="Z54" s="259"/>
      <c r="AA54" s="259"/>
      <c r="AB54" s="259"/>
      <c r="AC54" s="259"/>
      <c r="AD54" s="259"/>
    </row>
    <row r="55" spans="1:31" hidden="1" x14ac:dyDescent="0.25">
      <c r="A55" s="338" t="s">
        <v>89</v>
      </c>
      <c r="B55" s="340" t="s">
        <v>64</v>
      </c>
      <c r="C55" s="342" t="s">
        <v>65</v>
      </c>
      <c r="D55" s="647"/>
      <c r="E55" s="647"/>
      <c r="F55" s="647"/>
      <c r="G55" s="647"/>
      <c r="H55" s="647"/>
      <c r="I55" s="647"/>
      <c r="J55" s="647"/>
      <c r="K55" s="647"/>
      <c r="L55" s="647"/>
      <c r="M55" s="647"/>
      <c r="N55" s="647"/>
      <c r="O55" s="647"/>
      <c r="P55" s="648"/>
      <c r="Q55" s="260"/>
      <c r="R55" s="260"/>
      <c r="S55" s="259"/>
      <c r="T55" s="259"/>
      <c r="U55" s="259"/>
      <c r="V55" s="259"/>
      <c r="W55" s="259"/>
      <c r="X55" s="259"/>
      <c r="Y55" s="259"/>
      <c r="Z55" s="259"/>
      <c r="AA55" s="259"/>
      <c r="AB55" s="259"/>
      <c r="AC55" s="259"/>
      <c r="AD55" s="259"/>
    </row>
    <row r="56" spans="1:31" ht="21" hidden="1" x14ac:dyDescent="0.25">
      <c r="A56" s="645"/>
      <c r="B56" s="646"/>
      <c r="C56" s="216" t="s">
        <v>67</v>
      </c>
      <c r="D56" s="216" t="s">
        <v>68</v>
      </c>
      <c r="E56" s="216" t="s">
        <v>69</v>
      </c>
      <c r="F56" s="216" t="s">
        <v>70</v>
      </c>
      <c r="G56" s="216" t="s">
        <v>71</v>
      </c>
      <c r="H56" s="216" t="s">
        <v>72</v>
      </c>
      <c r="I56" s="216" t="s">
        <v>73</v>
      </c>
      <c r="J56" s="216" t="s">
        <v>74</v>
      </c>
      <c r="K56" s="216" t="s">
        <v>75</v>
      </c>
      <c r="L56" s="216" t="s">
        <v>76</v>
      </c>
      <c r="M56" s="216" t="s">
        <v>77</v>
      </c>
      <c r="N56" s="216" t="s">
        <v>78</v>
      </c>
      <c r="O56" s="216" t="s">
        <v>79</v>
      </c>
      <c r="P56" s="216" t="s">
        <v>80</v>
      </c>
      <c r="Q56" s="260"/>
      <c r="R56" s="260"/>
      <c r="S56" s="259"/>
      <c r="T56" s="259"/>
      <c r="U56" s="259"/>
      <c r="V56" s="259"/>
      <c r="W56" s="259"/>
      <c r="X56" s="259"/>
      <c r="Y56" s="259"/>
      <c r="Z56" s="259"/>
      <c r="AA56" s="259"/>
      <c r="AB56" s="259"/>
      <c r="AC56" s="259"/>
      <c r="AD56" s="259"/>
    </row>
    <row r="57" spans="1:31" hidden="1" x14ac:dyDescent="0.25">
      <c r="A57" s="326" t="str">
        <f>A38</f>
        <v>25. Acompañar técnica y operativamente el desarrollo de la Mesa coordinadora y el Espacio Ampliado y cuando se solicite por parte del CCM la plenaria del espacio autónomo.</v>
      </c>
      <c r="B57" s="345">
        <f>B38</f>
        <v>0.01</v>
      </c>
      <c r="C57" s="215" t="s">
        <v>61</v>
      </c>
      <c r="D57" s="214">
        <f t="shared" ref="D57:O58" si="3">D38*$B$38/$P$38</f>
        <v>5.0000000000000012E-4</v>
      </c>
      <c r="E57" s="214">
        <f t="shared" si="3"/>
        <v>9.0000000000000008E-4</v>
      </c>
      <c r="F57" s="214">
        <f t="shared" si="3"/>
        <v>9.0000000000000008E-4</v>
      </c>
      <c r="G57" s="214">
        <f t="shared" si="3"/>
        <v>9.0000000000000008E-4</v>
      </c>
      <c r="H57" s="214">
        <f t="shared" si="3"/>
        <v>9.0000000000000008E-4</v>
      </c>
      <c r="I57" s="214">
        <f t="shared" si="3"/>
        <v>9.0000000000000008E-4</v>
      </c>
      <c r="J57" s="214">
        <f t="shared" si="3"/>
        <v>9.0000000000000008E-4</v>
      </c>
      <c r="K57" s="214">
        <f t="shared" si="3"/>
        <v>9.0000000000000008E-4</v>
      </c>
      <c r="L57" s="214">
        <f t="shared" si="3"/>
        <v>9.0000000000000008E-4</v>
      </c>
      <c r="M57" s="214">
        <f t="shared" si="3"/>
        <v>9.0000000000000008E-4</v>
      </c>
      <c r="N57" s="214">
        <f t="shared" si="3"/>
        <v>9.0000000000000008E-4</v>
      </c>
      <c r="O57" s="214">
        <f t="shared" si="3"/>
        <v>5.0000000000000012E-4</v>
      </c>
      <c r="P57" s="213">
        <f t="shared" ref="P57:P70" si="4">SUM(D57:O57)</f>
        <v>0.01</v>
      </c>
      <c r="Q57" s="262">
        <v>0.05</v>
      </c>
      <c r="R57" s="263">
        <f t="shared" ref="R57:R71" si="5">+P57-Q57</f>
        <v>-0.04</v>
      </c>
      <c r="S57" s="259"/>
      <c r="T57" s="259"/>
      <c r="U57" s="259"/>
      <c r="V57" s="259"/>
      <c r="W57" s="259"/>
      <c r="X57" s="259"/>
      <c r="Y57" s="259"/>
      <c r="Z57" s="259"/>
      <c r="AA57" s="259"/>
      <c r="AB57" s="259"/>
      <c r="AC57" s="259"/>
      <c r="AD57" s="259"/>
    </row>
    <row r="58" spans="1:31" hidden="1" x14ac:dyDescent="0.25">
      <c r="A58" s="327"/>
      <c r="B58" s="694"/>
      <c r="C58" s="212" t="s">
        <v>62</v>
      </c>
      <c r="D58" s="211">
        <f t="shared" si="3"/>
        <v>5.0000000000000012E-4</v>
      </c>
      <c r="E58" s="211">
        <f t="shared" si="3"/>
        <v>9.0000000000000008E-4</v>
      </c>
      <c r="F58" s="211">
        <f t="shared" si="3"/>
        <v>9.0000000000000008E-4</v>
      </c>
      <c r="G58" s="211">
        <f t="shared" si="3"/>
        <v>9.0000000000000008E-4</v>
      </c>
      <c r="H58" s="211">
        <f t="shared" si="3"/>
        <v>9.0000000000000008E-4</v>
      </c>
      <c r="I58" s="211">
        <f t="shared" si="3"/>
        <v>0</v>
      </c>
      <c r="J58" s="211">
        <f t="shared" si="3"/>
        <v>0</v>
      </c>
      <c r="K58" s="211">
        <f t="shared" si="3"/>
        <v>0</v>
      </c>
      <c r="L58" s="211">
        <f t="shared" si="3"/>
        <v>0</v>
      </c>
      <c r="M58" s="211">
        <f t="shared" si="3"/>
        <v>0</v>
      </c>
      <c r="N58" s="211">
        <f t="shared" si="3"/>
        <v>0</v>
      </c>
      <c r="O58" s="211">
        <f t="shared" si="3"/>
        <v>0</v>
      </c>
      <c r="P58" s="210">
        <f t="shared" si="4"/>
        <v>4.1000000000000003E-3</v>
      </c>
      <c r="Q58" s="264">
        <f>+P58</f>
        <v>4.1000000000000003E-3</v>
      </c>
      <c r="R58" s="263">
        <f t="shared" si="5"/>
        <v>0</v>
      </c>
      <c r="S58" s="259"/>
      <c r="T58" s="259"/>
      <c r="U58" s="259"/>
      <c r="V58" s="259"/>
      <c r="W58" s="259"/>
      <c r="X58" s="259"/>
      <c r="Y58" s="259"/>
      <c r="Z58" s="259"/>
      <c r="AA58" s="259"/>
      <c r="AB58" s="259"/>
      <c r="AC58" s="259"/>
      <c r="AD58" s="259"/>
    </row>
    <row r="59" spans="1:31" hidden="1" x14ac:dyDescent="0.25">
      <c r="A59" s="326" t="str">
        <f>A40</f>
        <v>26. Acompañar técnicamente el desarrollo de las mesas de trabajo con los sectores de la administración distrital y alcaldias locales, y hacer seguimiento a los compromisos adquiridos por la administración distrital y los alcaldes locales en el marco del Consejo Consultivo de Mujeres.</v>
      </c>
      <c r="B59" s="328">
        <f>B40</f>
        <v>5.0000000000000001E-3</v>
      </c>
      <c r="C59" s="215" t="s">
        <v>61</v>
      </c>
      <c r="D59" s="214">
        <f t="shared" ref="D59:O60" si="6">D40*$B$40/$P$40</f>
        <v>0</v>
      </c>
      <c r="E59" s="214">
        <f t="shared" si="6"/>
        <v>4.500000000000001E-4</v>
      </c>
      <c r="F59" s="214">
        <f t="shared" si="6"/>
        <v>4.500000000000001E-4</v>
      </c>
      <c r="G59" s="214">
        <f t="shared" si="6"/>
        <v>4.500000000000001E-4</v>
      </c>
      <c r="H59" s="214">
        <f t="shared" si="6"/>
        <v>4.500000000000001E-4</v>
      </c>
      <c r="I59" s="214">
        <f t="shared" si="6"/>
        <v>4.500000000000001E-4</v>
      </c>
      <c r="J59" s="214">
        <f t="shared" si="6"/>
        <v>4.500000000000001E-4</v>
      </c>
      <c r="K59" s="214">
        <f t="shared" si="6"/>
        <v>4.500000000000001E-4</v>
      </c>
      <c r="L59" s="214">
        <f t="shared" si="6"/>
        <v>4.500000000000001E-4</v>
      </c>
      <c r="M59" s="214">
        <f t="shared" si="6"/>
        <v>4.500000000000001E-4</v>
      </c>
      <c r="N59" s="214">
        <f t="shared" si="6"/>
        <v>4.500000000000001E-4</v>
      </c>
      <c r="O59" s="214">
        <f t="shared" si="6"/>
        <v>5.0000000000000012E-4</v>
      </c>
      <c r="P59" s="213">
        <f t="shared" si="4"/>
        <v>5.0000000000000001E-3</v>
      </c>
      <c r="Q59" s="262">
        <v>2.5000000000000001E-2</v>
      </c>
      <c r="R59" s="263">
        <f t="shared" si="5"/>
        <v>-0.02</v>
      </c>
      <c r="S59" s="259"/>
      <c r="T59" s="259"/>
      <c r="U59" s="259"/>
      <c r="V59" s="259"/>
      <c r="W59" s="259"/>
      <c r="X59" s="259"/>
      <c r="Y59" s="259"/>
      <c r="Z59" s="259"/>
      <c r="AA59" s="259"/>
      <c r="AB59" s="259"/>
      <c r="AC59" s="259"/>
      <c r="AD59" s="259"/>
    </row>
    <row r="60" spans="1:31" hidden="1" x14ac:dyDescent="0.25">
      <c r="A60" s="718"/>
      <c r="B60" s="684"/>
      <c r="C60" s="212" t="s">
        <v>62</v>
      </c>
      <c r="D60" s="211">
        <f t="shared" si="6"/>
        <v>0</v>
      </c>
      <c r="E60" s="211">
        <f t="shared" si="6"/>
        <v>4.500000000000001E-4</v>
      </c>
      <c r="F60" s="211">
        <f t="shared" si="6"/>
        <v>4.500000000000001E-4</v>
      </c>
      <c r="G60" s="211">
        <f t="shared" si="6"/>
        <v>4.500000000000001E-4</v>
      </c>
      <c r="H60" s="211">
        <f t="shared" si="6"/>
        <v>4.500000000000001E-4</v>
      </c>
      <c r="I60" s="211">
        <f t="shared" si="6"/>
        <v>0</v>
      </c>
      <c r="J60" s="211">
        <f t="shared" si="6"/>
        <v>0</v>
      </c>
      <c r="K60" s="211">
        <f t="shared" si="6"/>
        <v>0</v>
      </c>
      <c r="L60" s="211">
        <f t="shared" si="6"/>
        <v>0</v>
      </c>
      <c r="M60" s="211">
        <f t="shared" si="6"/>
        <v>0</v>
      </c>
      <c r="N60" s="211">
        <f t="shared" si="6"/>
        <v>0</v>
      </c>
      <c r="O60" s="211">
        <f t="shared" si="6"/>
        <v>0</v>
      </c>
      <c r="P60" s="210">
        <f t="shared" si="4"/>
        <v>1.8000000000000004E-3</v>
      </c>
      <c r="Q60" s="264">
        <f>+P60</f>
        <v>1.8000000000000004E-3</v>
      </c>
      <c r="R60" s="263">
        <f t="shared" si="5"/>
        <v>0</v>
      </c>
      <c r="S60" s="259"/>
      <c r="T60" s="259"/>
      <c r="U60" s="259"/>
      <c r="V60" s="259"/>
      <c r="W60" s="259"/>
      <c r="X60" s="259"/>
      <c r="Y60" s="259"/>
      <c r="Z60" s="259"/>
      <c r="AA60" s="259"/>
      <c r="AB60" s="259"/>
      <c r="AC60" s="259"/>
      <c r="AD60" s="259"/>
    </row>
    <row r="61" spans="1:31" hidden="1" x14ac:dyDescent="0.25">
      <c r="A61" s="326" t="str">
        <f>A42</f>
        <v>27. Acompañar técnicamente el desarrollo de comisiones de trabajo del Espacio Autónomo del Consejo Consultivo de Mujeres.</v>
      </c>
      <c r="B61" s="328">
        <f>B42</f>
        <v>0.01</v>
      </c>
      <c r="C61" s="215" t="s">
        <v>61</v>
      </c>
      <c r="D61" s="214">
        <f t="shared" ref="D61:O62" si="7">D42*$B$42/$P$42</f>
        <v>0</v>
      </c>
      <c r="E61" s="214">
        <f t="shared" si="7"/>
        <v>5.0000000000000012E-4</v>
      </c>
      <c r="F61" s="214">
        <f t="shared" si="7"/>
        <v>1.0000000000000002E-3</v>
      </c>
      <c r="G61" s="214">
        <f t="shared" si="7"/>
        <v>1.0000000000000002E-3</v>
      </c>
      <c r="H61" s="214">
        <f t="shared" si="7"/>
        <v>1.0000000000000002E-3</v>
      </c>
      <c r="I61" s="214">
        <f t="shared" si="7"/>
        <v>1.0000000000000002E-3</v>
      </c>
      <c r="J61" s="214">
        <f t="shared" si="7"/>
        <v>1.0000000000000002E-3</v>
      </c>
      <c r="K61" s="214">
        <f t="shared" si="7"/>
        <v>1.0000000000000002E-3</v>
      </c>
      <c r="L61" s="214">
        <f t="shared" si="7"/>
        <v>1.0000000000000002E-3</v>
      </c>
      <c r="M61" s="214">
        <f t="shared" si="7"/>
        <v>1.0000000000000002E-3</v>
      </c>
      <c r="N61" s="214">
        <f t="shared" si="7"/>
        <v>1.0000000000000002E-3</v>
      </c>
      <c r="O61" s="214">
        <f t="shared" si="7"/>
        <v>5.0000000000000012E-4</v>
      </c>
      <c r="P61" s="213">
        <f t="shared" si="4"/>
        <v>1.0000000000000002E-2</v>
      </c>
      <c r="Q61" s="262">
        <v>2.5000000000000001E-2</v>
      </c>
      <c r="R61" s="263">
        <f t="shared" si="5"/>
        <v>-1.4999999999999999E-2</v>
      </c>
      <c r="S61" s="259"/>
      <c r="T61" s="259"/>
      <c r="U61" s="259"/>
      <c r="V61" s="259"/>
      <c r="W61" s="259"/>
      <c r="X61" s="259"/>
      <c r="Y61" s="259"/>
      <c r="Z61" s="259"/>
      <c r="AA61" s="259"/>
      <c r="AB61" s="259"/>
      <c r="AC61" s="259"/>
      <c r="AD61" s="259"/>
    </row>
    <row r="62" spans="1:31" hidden="1" x14ac:dyDescent="0.25">
      <c r="A62" s="718"/>
      <c r="B62" s="684"/>
      <c r="C62" s="212" t="s">
        <v>62</v>
      </c>
      <c r="D62" s="211">
        <f t="shared" si="7"/>
        <v>0</v>
      </c>
      <c r="E62" s="211">
        <f t="shared" si="7"/>
        <v>5.0000000000000012E-4</v>
      </c>
      <c r="F62" s="211">
        <f t="shared" si="7"/>
        <v>1.0000000000000002E-3</v>
      </c>
      <c r="G62" s="211">
        <f t="shared" si="7"/>
        <v>1.0000000000000002E-3</v>
      </c>
      <c r="H62" s="211">
        <f t="shared" si="7"/>
        <v>1.0000000000000002E-3</v>
      </c>
      <c r="I62" s="211">
        <f t="shared" si="7"/>
        <v>0</v>
      </c>
      <c r="J62" s="211">
        <f t="shared" si="7"/>
        <v>0</v>
      </c>
      <c r="K62" s="211">
        <f t="shared" si="7"/>
        <v>0</v>
      </c>
      <c r="L62" s="211">
        <f t="shared" si="7"/>
        <v>0</v>
      </c>
      <c r="M62" s="211">
        <f t="shared" si="7"/>
        <v>0</v>
      </c>
      <c r="N62" s="211">
        <f t="shared" si="7"/>
        <v>0</v>
      </c>
      <c r="O62" s="211">
        <f t="shared" si="7"/>
        <v>0</v>
      </c>
      <c r="P62" s="210">
        <f t="shared" si="4"/>
        <v>3.5000000000000005E-3</v>
      </c>
      <c r="Q62" s="264">
        <f>+P62</f>
        <v>3.5000000000000005E-3</v>
      </c>
      <c r="R62" s="263">
        <f t="shared" si="5"/>
        <v>0</v>
      </c>
      <c r="S62" s="259"/>
      <c r="T62" s="259"/>
      <c r="U62" s="259"/>
      <c r="V62" s="259"/>
      <c r="W62" s="259"/>
      <c r="X62" s="259"/>
      <c r="Y62" s="259"/>
      <c r="Z62" s="259"/>
      <c r="AA62" s="259"/>
      <c r="AB62" s="259"/>
      <c r="AC62" s="259"/>
      <c r="AD62" s="259"/>
    </row>
    <row r="63" spans="1:31" hidden="1" x14ac:dyDescent="0.25">
      <c r="A63" s="326" t="str">
        <f>A44</f>
        <v>28. Acompañar técnicamente la transversalización del enfoque de género en el Concejo de Bogotá, con énfasis en las bancadas de mujeres de este órgano</v>
      </c>
      <c r="B63" s="328">
        <f>B44</f>
        <v>0.01</v>
      </c>
      <c r="C63" s="215" t="s">
        <v>61</v>
      </c>
      <c r="D63" s="214">
        <f t="shared" ref="D63:O64" si="8">D44*$B$44/$P$44</f>
        <v>0</v>
      </c>
      <c r="E63" s="214">
        <f t="shared" si="8"/>
        <v>8.0000000000000015E-4</v>
      </c>
      <c r="F63" s="214">
        <f t="shared" si="8"/>
        <v>8.0000000000000015E-4</v>
      </c>
      <c r="G63" s="214">
        <f t="shared" si="8"/>
        <v>8.0000000000000015E-4</v>
      </c>
      <c r="H63" s="214">
        <f t="shared" si="8"/>
        <v>8.0000000000000015E-4</v>
      </c>
      <c r="I63" s="214">
        <f t="shared" si="8"/>
        <v>8.0000000000000015E-4</v>
      </c>
      <c r="J63" s="214">
        <f t="shared" si="8"/>
        <v>1.0000000000000002E-3</v>
      </c>
      <c r="K63" s="214">
        <f t="shared" si="8"/>
        <v>1.0000000000000002E-3</v>
      </c>
      <c r="L63" s="214">
        <f t="shared" si="8"/>
        <v>1.0000000000000002E-3</v>
      </c>
      <c r="M63" s="214">
        <f t="shared" si="8"/>
        <v>1.0000000000000002E-3</v>
      </c>
      <c r="N63" s="214">
        <f t="shared" si="8"/>
        <v>1.0000000000000002E-3</v>
      </c>
      <c r="O63" s="214">
        <f t="shared" si="8"/>
        <v>1.0000000000000002E-3</v>
      </c>
      <c r="P63" s="213">
        <f t="shared" si="4"/>
        <v>1.0000000000000004E-2</v>
      </c>
      <c r="Q63" s="262">
        <v>0.02</v>
      </c>
      <c r="R63" s="263">
        <f t="shared" si="5"/>
        <v>-9.9999999999999967E-3</v>
      </c>
      <c r="S63" s="259"/>
      <c r="T63" s="259"/>
      <c r="U63" s="259"/>
      <c r="V63" s="259"/>
      <c r="W63" s="259"/>
      <c r="X63" s="259"/>
      <c r="Y63" s="259"/>
      <c r="Z63" s="259"/>
      <c r="AA63" s="259"/>
      <c r="AB63" s="259"/>
      <c r="AC63" s="259"/>
      <c r="AD63" s="259"/>
    </row>
    <row r="64" spans="1:31" hidden="1" x14ac:dyDescent="0.25">
      <c r="A64" s="718"/>
      <c r="B64" s="684"/>
      <c r="C64" s="212" t="s">
        <v>62</v>
      </c>
      <c r="D64" s="211">
        <f t="shared" si="8"/>
        <v>0</v>
      </c>
      <c r="E64" s="211">
        <f t="shared" si="8"/>
        <v>8.0000000000000015E-4</v>
      </c>
      <c r="F64" s="211">
        <f t="shared" si="8"/>
        <v>8.0000000000000015E-4</v>
      </c>
      <c r="G64" s="211">
        <f t="shared" si="8"/>
        <v>8.0000000000000015E-4</v>
      </c>
      <c r="H64" s="211">
        <f t="shared" si="8"/>
        <v>8.0000000000000015E-4</v>
      </c>
      <c r="I64" s="211">
        <f t="shared" si="8"/>
        <v>0</v>
      </c>
      <c r="J64" s="211">
        <f t="shared" si="8"/>
        <v>0</v>
      </c>
      <c r="K64" s="211">
        <f t="shared" si="8"/>
        <v>0</v>
      </c>
      <c r="L64" s="211">
        <f t="shared" si="8"/>
        <v>0</v>
      </c>
      <c r="M64" s="211">
        <f t="shared" si="8"/>
        <v>0</v>
      </c>
      <c r="N64" s="211">
        <f t="shared" si="8"/>
        <v>0</v>
      </c>
      <c r="O64" s="211">
        <f t="shared" si="8"/>
        <v>0</v>
      </c>
      <c r="P64" s="210">
        <f t="shared" si="4"/>
        <v>3.2000000000000006E-3</v>
      </c>
      <c r="Q64" s="264">
        <f>+P64</f>
        <v>3.2000000000000006E-3</v>
      </c>
      <c r="R64" s="263">
        <f t="shared" si="5"/>
        <v>0</v>
      </c>
      <c r="S64" s="259"/>
      <c r="T64" s="259"/>
      <c r="U64" s="259"/>
      <c r="V64" s="259"/>
      <c r="W64" s="259"/>
      <c r="X64" s="259"/>
      <c r="Y64" s="259"/>
      <c r="Z64" s="259"/>
      <c r="AA64" s="259"/>
      <c r="AB64" s="259"/>
      <c r="AC64" s="259"/>
      <c r="AD64" s="259"/>
    </row>
    <row r="65" spans="1:30" hidden="1" x14ac:dyDescent="0.25">
      <c r="A65" s="326" t="str">
        <f>A46</f>
        <v>29. Acompañar técnicamente, gestionar y coordinar las reuniones con la Submesa para la garantía y seguimiento de los derechos de las mujeres, diversidades, disidencias sexuales y de Género.</v>
      </c>
      <c r="B65" s="328">
        <f>B46</f>
        <v>5.0000000000000001E-3</v>
      </c>
      <c r="C65" s="215" t="s">
        <v>61</v>
      </c>
      <c r="D65" s="214">
        <f t="shared" ref="D65:O66" si="9">D46*$B$46/$P$46</f>
        <v>0</v>
      </c>
      <c r="E65" s="214">
        <f t="shared" si="9"/>
        <v>4.0000000000000007E-4</v>
      </c>
      <c r="F65" s="214">
        <f t="shared" si="9"/>
        <v>4.0000000000000007E-4</v>
      </c>
      <c r="G65" s="214">
        <f t="shared" si="9"/>
        <v>4.0000000000000007E-4</v>
      </c>
      <c r="H65" s="214">
        <f t="shared" si="9"/>
        <v>4.0000000000000007E-4</v>
      </c>
      <c r="I65" s="214">
        <f t="shared" si="9"/>
        <v>4.0000000000000007E-4</v>
      </c>
      <c r="J65" s="214">
        <f t="shared" si="9"/>
        <v>5.0000000000000012E-4</v>
      </c>
      <c r="K65" s="214">
        <f t="shared" si="9"/>
        <v>5.0000000000000012E-4</v>
      </c>
      <c r="L65" s="214">
        <f t="shared" si="9"/>
        <v>5.0000000000000012E-4</v>
      </c>
      <c r="M65" s="214">
        <f t="shared" si="9"/>
        <v>5.0000000000000012E-4</v>
      </c>
      <c r="N65" s="214">
        <f t="shared" si="9"/>
        <v>5.0000000000000012E-4</v>
      </c>
      <c r="O65" s="214">
        <f t="shared" si="9"/>
        <v>5.0000000000000012E-4</v>
      </c>
      <c r="P65" s="213">
        <f t="shared" si="4"/>
        <v>5.0000000000000018E-3</v>
      </c>
      <c r="Q65" s="262">
        <v>0.02</v>
      </c>
      <c r="R65" s="263">
        <f t="shared" si="5"/>
        <v>-1.4999999999999999E-2</v>
      </c>
      <c r="S65" s="259"/>
      <c r="T65" s="259"/>
      <c r="U65" s="259"/>
      <c r="V65" s="259"/>
      <c r="W65" s="259"/>
      <c r="X65" s="259"/>
      <c r="Y65" s="259"/>
      <c r="Z65" s="259"/>
      <c r="AA65" s="259"/>
      <c r="AB65" s="259"/>
      <c r="AC65" s="259"/>
      <c r="AD65" s="259"/>
    </row>
    <row r="66" spans="1:30" hidden="1" x14ac:dyDescent="0.25">
      <c r="A66" s="718"/>
      <c r="B66" s="684"/>
      <c r="C66" s="212" t="s">
        <v>62</v>
      </c>
      <c r="D66" s="211">
        <f t="shared" si="9"/>
        <v>0</v>
      </c>
      <c r="E66" s="211">
        <f t="shared" si="9"/>
        <v>4.0000000000000007E-4</v>
      </c>
      <c r="F66" s="211">
        <f t="shared" si="9"/>
        <v>4.0000000000000007E-4</v>
      </c>
      <c r="G66" s="211">
        <f t="shared" si="9"/>
        <v>4.0000000000000007E-4</v>
      </c>
      <c r="H66" s="211">
        <f t="shared" si="9"/>
        <v>4.0000000000000007E-4</v>
      </c>
      <c r="I66" s="211">
        <f t="shared" si="9"/>
        <v>0</v>
      </c>
      <c r="J66" s="211">
        <f t="shared" si="9"/>
        <v>0</v>
      </c>
      <c r="K66" s="211">
        <f t="shared" si="9"/>
        <v>0</v>
      </c>
      <c r="L66" s="211">
        <f t="shared" si="9"/>
        <v>0</v>
      </c>
      <c r="M66" s="211">
        <f t="shared" si="9"/>
        <v>0</v>
      </c>
      <c r="N66" s="211">
        <f t="shared" si="9"/>
        <v>0</v>
      </c>
      <c r="O66" s="211">
        <f t="shared" si="9"/>
        <v>0</v>
      </c>
      <c r="P66" s="210">
        <f t="shared" si="4"/>
        <v>1.6000000000000003E-3</v>
      </c>
      <c r="Q66" s="264">
        <f>+P66</f>
        <v>1.6000000000000003E-3</v>
      </c>
      <c r="R66" s="263">
        <f t="shared" si="5"/>
        <v>0</v>
      </c>
      <c r="S66" s="259"/>
      <c r="T66" s="259"/>
      <c r="U66" s="259"/>
      <c r="V66" s="259"/>
      <c r="W66" s="259"/>
      <c r="X66" s="259"/>
      <c r="Y66" s="259"/>
      <c r="Z66" s="259"/>
      <c r="AA66" s="259"/>
      <c r="AB66" s="259"/>
      <c r="AC66" s="259"/>
      <c r="AD66" s="259"/>
    </row>
    <row r="67" spans="1:30" hidden="1" x14ac:dyDescent="0.25">
      <c r="A67" s="326" t="str">
        <f>A48</f>
        <v>30. Realizar Acompañamiento técnico al Puesto de mando Unificado (PMU) durante las movilizaciones y protesta social que se realicen y a las cuales se convoque a la SDMujer.</v>
      </c>
      <c r="B67" s="328">
        <f>B48</f>
        <v>5.0000000000000001E-3</v>
      </c>
      <c r="C67" s="215" t="s">
        <v>61</v>
      </c>
      <c r="D67" s="214">
        <f t="shared" ref="D67:O68" si="10">D48*$B$48/$P$48</f>
        <v>0</v>
      </c>
      <c r="E67" s="214">
        <f t="shared" si="10"/>
        <v>0</v>
      </c>
      <c r="F67" s="214">
        <f t="shared" si="10"/>
        <v>7.5000000000000002E-4</v>
      </c>
      <c r="G67" s="214">
        <f t="shared" si="10"/>
        <v>4.0000000000000002E-4</v>
      </c>
      <c r="H67" s="214">
        <f t="shared" si="10"/>
        <v>7.5000000000000002E-4</v>
      </c>
      <c r="I67" s="214">
        <f t="shared" si="10"/>
        <v>2.5000000000000001E-4</v>
      </c>
      <c r="J67" s="214">
        <f t="shared" si="10"/>
        <v>5.0000000000000001E-4</v>
      </c>
      <c r="K67" s="214">
        <f t="shared" si="10"/>
        <v>5.0000000000000001E-4</v>
      </c>
      <c r="L67" s="214">
        <f t="shared" si="10"/>
        <v>2.9999999999999997E-4</v>
      </c>
      <c r="M67" s="214">
        <f t="shared" si="10"/>
        <v>5.0000000000000001E-4</v>
      </c>
      <c r="N67" s="214">
        <f t="shared" si="10"/>
        <v>7.5000000000000002E-4</v>
      </c>
      <c r="O67" s="214">
        <f t="shared" si="10"/>
        <v>2.9999999999999997E-4</v>
      </c>
      <c r="P67" s="213">
        <f t="shared" si="4"/>
        <v>5.0000000000000001E-3</v>
      </c>
      <c r="Q67" s="262">
        <v>0.02</v>
      </c>
      <c r="R67" s="263">
        <f t="shared" si="5"/>
        <v>-1.4999999999999999E-2</v>
      </c>
      <c r="S67" s="259"/>
      <c r="T67" s="259"/>
      <c r="U67" s="259"/>
      <c r="V67" s="259"/>
      <c r="W67" s="259"/>
      <c r="X67" s="259"/>
      <c r="Y67" s="259"/>
      <c r="Z67" s="259"/>
      <c r="AA67" s="259"/>
      <c r="AB67" s="259"/>
      <c r="AC67" s="259"/>
      <c r="AD67" s="259"/>
    </row>
    <row r="68" spans="1:30" hidden="1" x14ac:dyDescent="0.25">
      <c r="A68" s="718"/>
      <c r="B68" s="684"/>
      <c r="C68" s="212" t="s">
        <v>62</v>
      </c>
      <c r="D68" s="211">
        <f t="shared" si="10"/>
        <v>0</v>
      </c>
      <c r="E68" s="211">
        <f t="shared" si="10"/>
        <v>0</v>
      </c>
      <c r="F68" s="211">
        <f t="shared" si="10"/>
        <v>7.5000000000000002E-4</v>
      </c>
      <c r="G68" s="211">
        <f t="shared" si="10"/>
        <v>4.0000000000000002E-4</v>
      </c>
      <c r="H68" s="211">
        <f t="shared" si="10"/>
        <v>7.5000000000000002E-4</v>
      </c>
      <c r="I68" s="211">
        <f t="shared" si="10"/>
        <v>0</v>
      </c>
      <c r="J68" s="211">
        <f t="shared" si="10"/>
        <v>0</v>
      </c>
      <c r="K68" s="211">
        <f t="shared" si="10"/>
        <v>0</v>
      </c>
      <c r="L68" s="211">
        <f t="shared" si="10"/>
        <v>0</v>
      </c>
      <c r="M68" s="211">
        <f t="shared" si="10"/>
        <v>0</v>
      </c>
      <c r="N68" s="211">
        <f t="shared" si="10"/>
        <v>0</v>
      </c>
      <c r="O68" s="211">
        <f t="shared" si="10"/>
        <v>0</v>
      </c>
      <c r="P68" s="210">
        <f t="shared" si="4"/>
        <v>1.9E-3</v>
      </c>
      <c r="Q68" s="264">
        <f>+P68</f>
        <v>1.9E-3</v>
      </c>
      <c r="R68" s="263">
        <f t="shared" si="5"/>
        <v>0</v>
      </c>
      <c r="S68" s="259"/>
      <c r="T68" s="259"/>
      <c r="U68" s="259"/>
      <c r="V68" s="259"/>
      <c r="W68" s="259"/>
      <c r="X68" s="259"/>
      <c r="Y68" s="259"/>
      <c r="Z68" s="259"/>
      <c r="AA68" s="259"/>
      <c r="AB68" s="259"/>
      <c r="AC68" s="259"/>
      <c r="AD68" s="259"/>
    </row>
    <row r="69" spans="1:30" hidden="1" x14ac:dyDescent="0.25">
      <c r="A69" s="326" t="str">
        <f>A50</f>
        <v>31. Acompañar técnicamente a las consejeras del sector mujeres del Consejo Distrital de jóvenes</v>
      </c>
      <c r="B69" s="328">
        <f>B50</f>
        <v>5.0000000000000001E-3</v>
      </c>
      <c r="C69" s="215" t="s">
        <v>61</v>
      </c>
      <c r="D69" s="214">
        <f t="shared" ref="D69:O70" si="11">D50*$B$50/$P$50</f>
        <v>0</v>
      </c>
      <c r="E69" s="214">
        <f t="shared" si="11"/>
        <v>4.0000000000000007E-4</v>
      </c>
      <c r="F69" s="214">
        <f t="shared" si="11"/>
        <v>4.0000000000000007E-4</v>
      </c>
      <c r="G69" s="214">
        <f t="shared" si="11"/>
        <v>4.0000000000000007E-4</v>
      </c>
      <c r="H69" s="214">
        <f t="shared" si="11"/>
        <v>4.0000000000000007E-4</v>
      </c>
      <c r="I69" s="214">
        <f t="shared" si="11"/>
        <v>4.0000000000000007E-4</v>
      </c>
      <c r="J69" s="214">
        <f t="shared" si="11"/>
        <v>5.0000000000000012E-4</v>
      </c>
      <c r="K69" s="214">
        <f t="shared" si="11"/>
        <v>5.0000000000000012E-4</v>
      </c>
      <c r="L69" s="214">
        <f t="shared" si="11"/>
        <v>5.0000000000000012E-4</v>
      </c>
      <c r="M69" s="214">
        <f t="shared" si="11"/>
        <v>5.0000000000000012E-4</v>
      </c>
      <c r="N69" s="214">
        <f t="shared" si="11"/>
        <v>5.0000000000000012E-4</v>
      </c>
      <c r="O69" s="214">
        <f t="shared" si="11"/>
        <v>5.0000000000000012E-4</v>
      </c>
      <c r="P69" s="213">
        <f t="shared" si="4"/>
        <v>5.0000000000000018E-3</v>
      </c>
      <c r="Q69" s="262">
        <v>0.02</v>
      </c>
      <c r="R69" s="263">
        <f t="shared" si="5"/>
        <v>-1.4999999999999999E-2</v>
      </c>
      <c r="S69" s="259"/>
      <c r="T69" s="259"/>
      <c r="U69" s="259"/>
      <c r="V69" s="259"/>
      <c r="W69" s="259"/>
      <c r="X69" s="259"/>
      <c r="Y69" s="259"/>
      <c r="Z69" s="259"/>
      <c r="AA69" s="259"/>
      <c r="AB69" s="259"/>
      <c r="AC69" s="259"/>
      <c r="AD69" s="259"/>
    </row>
    <row r="70" spans="1:30" hidden="1" x14ac:dyDescent="0.25">
      <c r="A70" s="718"/>
      <c r="B70" s="684"/>
      <c r="C70" s="212" t="s">
        <v>62</v>
      </c>
      <c r="D70" s="211">
        <f t="shared" si="11"/>
        <v>0</v>
      </c>
      <c r="E70" s="211">
        <f t="shared" si="11"/>
        <v>4.0000000000000007E-4</v>
      </c>
      <c r="F70" s="211">
        <f t="shared" si="11"/>
        <v>4.0000000000000007E-4</v>
      </c>
      <c r="G70" s="211">
        <f t="shared" si="11"/>
        <v>4.0000000000000007E-4</v>
      </c>
      <c r="H70" s="211">
        <f t="shared" si="11"/>
        <v>4.0000000000000007E-4</v>
      </c>
      <c r="I70" s="211">
        <f t="shared" si="11"/>
        <v>0</v>
      </c>
      <c r="J70" s="211">
        <f t="shared" si="11"/>
        <v>0</v>
      </c>
      <c r="K70" s="211">
        <f t="shared" si="11"/>
        <v>0</v>
      </c>
      <c r="L70" s="211">
        <f t="shared" si="11"/>
        <v>0</v>
      </c>
      <c r="M70" s="211">
        <f t="shared" si="11"/>
        <v>0</v>
      </c>
      <c r="N70" s="211">
        <f t="shared" si="11"/>
        <v>0</v>
      </c>
      <c r="O70" s="211">
        <f t="shared" si="11"/>
        <v>0</v>
      </c>
      <c r="P70" s="210">
        <f t="shared" si="4"/>
        <v>1.6000000000000003E-3</v>
      </c>
      <c r="Q70" s="264">
        <f>+P70</f>
        <v>1.6000000000000003E-3</v>
      </c>
      <c r="R70" s="263">
        <f t="shared" si="5"/>
        <v>0</v>
      </c>
      <c r="S70" s="259"/>
      <c r="T70" s="259"/>
      <c r="U70" s="259"/>
      <c r="V70" s="259"/>
      <c r="W70" s="259"/>
      <c r="X70" s="259"/>
      <c r="Y70" s="259"/>
      <c r="Z70" s="259"/>
      <c r="AA70" s="259"/>
      <c r="AB70" s="259"/>
      <c r="AC70" s="259"/>
      <c r="AD70" s="259"/>
    </row>
    <row r="71" spans="1:30" hidden="1" x14ac:dyDescent="0.25">
      <c r="A71" s="260"/>
      <c r="B71" s="208"/>
      <c r="C71" s="209"/>
      <c r="D71" s="204">
        <f t="shared" ref="D71:P71" si="12">D58+D60+D62+D64+D66+D68+D70</f>
        <v>5.0000000000000012E-4</v>
      </c>
      <c r="E71" s="204">
        <f t="shared" si="12"/>
        <v>3.4500000000000008E-3</v>
      </c>
      <c r="F71" s="204">
        <f t="shared" si="12"/>
        <v>4.7000000000000011E-3</v>
      </c>
      <c r="G71" s="204">
        <f t="shared" si="12"/>
        <v>4.3500000000000014E-3</v>
      </c>
      <c r="H71" s="204">
        <f t="shared" si="12"/>
        <v>4.7000000000000011E-3</v>
      </c>
      <c r="I71" s="204">
        <f t="shared" si="12"/>
        <v>0</v>
      </c>
      <c r="J71" s="204">
        <f t="shared" si="12"/>
        <v>0</v>
      </c>
      <c r="K71" s="204">
        <f t="shared" si="12"/>
        <v>0</v>
      </c>
      <c r="L71" s="204">
        <f t="shared" si="12"/>
        <v>0</v>
      </c>
      <c r="M71" s="204">
        <f t="shared" si="12"/>
        <v>0</v>
      </c>
      <c r="N71" s="204">
        <f t="shared" si="12"/>
        <v>0</v>
      </c>
      <c r="O71" s="204">
        <f t="shared" si="12"/>
        <v>0</v>
      </c>
      <c r="P71" s="204">
        <f t="shared" si="12"/>
        <v>1.7700000000000004E-2</v>
      </c>
      <c r="Q71" s="260"/>
      <c r="R71" s="263">
        <f t="shared" si="5"/>
        <v>1.7700000000000004E-2</v>
      </c>
      <c r="S71" s="259"/>
      <c r="T71" s="259"/>
      <c r="U71" s="259"/>
      <c r="V71" s="259"/>
      <c r="W71" s="259"/>
      <c r="X71" s="259"/>
      <c r="Y71" s="259"/>
      <c r="Z71" s="259"/>
      <c r="AA71" s="259"/>
      <c r="AB71" s="259"/>
      <c r="AC71" s="259"/>
      <c r="AD71" s="259"/>
    </row>
    <row r="72" spans="1:30" hidden="1" x14ac:dyDescent="0.25">
      <c r="A72" s="260"/>
      <c r="B72" s="206"/>
      <c r="C72" s="203" t="s">
        <v>62</v>
      </c>
      <c r="D72" s="202">
        <f t="shared" ref="D72:O72" si="13">D71*$W$17/$B$34</f>
        <v>4.0000000000000008E-2</v>
      </c>
      <c r="E72" s="202">
        <f t="shared" si="13"/>
        <v>0.27600000000000002</v>
      </c>
      <c r="F72" s="202">
        <f t="shared" si="13"/>
        <v>0.37600000000000006</v>
      </c>
      <c r="G72" s="202">
        <f t="shared" si="13"/>
        <v>0.34800000000000009</v>
      </c>
      <c r="H72" s="202">
        <f t="shared" si="13"/>
        <v>0.37600000000000006</v>
      </c>
      <c r="I72" s="202">
        <f t="shared" si="13"/>
        <v>0</v>
      </c>
      <c r="J72" s="202">
        <f t="shared" si="13"/>
        <v>0</v>
      </c>
      <c r="K72" s="202">
        <f t="shared" si="13"/>
        <v>0</v>
      </c>
      <c r="L72" s="202">
        <f t="shared" si="13"/>
        <v>0</v>
      </c>
      <c r="M72" s="202">
        <f t="shared" si="13"/>
        <v>0</v>
      </c>
      <c r="N72" s="202">
        <f t="shared" si="13"/>
        <v>0</v>
      </c>
      <c r="O72" s="202">
        <f t="shared" si="13"/>
        <v>0</v>
      </c>
      <c r="P72" s="201">
        <f>SUM(D72:O72)</f>
        <v>1.4160000000000004</v>
      </c>
      <c r="Q72" s="261"/>
      <c r="R72" s="260"/>
      <c r="S72" s="259"/>
      <c r="T72" s="259"/>
      <c r="U72" s="259"/>
      <c r="V72" s="259"/>
      <c r="W72" s="259"/>
      <c r="X72" s="259"/>
      <c r="Y72" s="259"/>
      <c r="Z72" s="259"/>
      <c r="AA72" s="259"/>
      <c r="AB72" s="259"/>
      <c r="AC72" s="259"/>
      <c r="AD72" s="259"/>
    </row>
    <row r="73" spans="1:30" hidden="1" x14ac:dyDescent="0.25">
      <c r="A73" s="261"/>
      <c r="B73" s="205"/>
      <c r="C73" s="205"/>
      <c r="D73" s="205"/>
      <c r="E73" s="205"/>
      <c r="F73" s="205"/>
      <c r="G73" s="205"/>
      <c r="H73" s="205"/>
      <c r="I73" s="205"/>
      <c r="J73" s="205"/>
      <c r="K73" s="205"/>
      <c r="L73" s="205"/>
      <c r="M73" s="205"/>
      <c r="N73" s="205"/>
      <c r="O73" s="205"/>
      <c r="P73" s="205"/>
      <c r="Q73" s="261"/>
      <c r="R73" s="261"/>
      <c r="S73" s="259"/>
      <c r="T73" s="259"/>
      <c r="U73" s="259"/>
      <c r="V73" s="259"/>
      <c r="W73" s="259"/>
      <c r="X73" s="259"/>
      <c r="Y73" s="259"/>
      <c r="Z73" s="259"/>
      <c r="AA73" s="259"/>
      <c r="AB73" s="259"/>
      <c r="AC73" s="259"/>
      <c r="AD73" s="259"/>
    </row>
    <row r="74" spans="1:30" hidden="1" x14ac:dyDescent="0.25">
      <c r="A74" s="262"/>
      <c r="B74" s="108"/>
      <c r="C74" s="108"/>
      <c r="D74" s="204">
        <f t="shared" ref="D74:O74" si="14">+D57+D59+D61+D63+D65+D67+D69</f>
        <v>5.0000000000000012E-4</v>
      </c>
      <c r="E74" s="204">
        <f t="shared" si="14"/>
        <v>3.4500000000000008E-3</v>
      </c>
      <c r="F74" s="204">
        <f t="shared" si="14"/>
        <v>4.7000000000000011E-3</v>
      </c>
      <c r="G74" s="204">
        <f t="shared" si="14"/>
        <v>4.3500000000000014E-3</v>
      </c>
      <c r="H74" s="204">
        <f t="shared" si="14"/>
        <v>4.7000000000000011E-3</v>
      </c>
      <c r="I74" s="204">
        <f t="shared" si="14"/>
        <v>4.2000000000000015E-3</v>
      </c>
      <c r="J74" s="204">
        <f t="shared" si="14"/>
        <v>4.850000000000001E-3</v>
      </c>
      <c r="K74" s="204">
        <f t="shared" si="14"/>
        <v>4.850000000000001E-3</v>
      </c>
      <c r="L74" s="204">
        <f t="shared" si="14"/>
        <v>4.6500000000000014E-3</v>
      </c>
      <c r="M74" s="204">
        <f t="shared" si="14"/>
        <v>4.850000000000001E-3</v>
      </c>
      <c r="N74" s="204">
        <f t="shared" si="14"/>
        <v>5.1000000000000012E-3</v>
      </c>
      <c r="O74" s="204">
        <f t="shared" si="14"/>
        <v>3.8000000000000004E-3</v>
      </c>
      <c r="P74" s="204">
        <f>SUM(D74:O74)</f>
        <v>5.000000000000001E-2</v>
      </c>
      <c r="Q74" s="262"/>
      <c r="R74" s="262"/>
      <c r="S74" s="259"/>
      <c r="T74" s="259"/>
      <c r="U74" s="259"/>
      <c r="V74" s="259"/>
      <c r="W74" s="259"/>
      <c r="X74" s="259"/>
      <c r="Y74" s="259"/>
      <c r="Z74" s="259"/>
      <c r="AA74" s="259"/>
      <c r="AB74" s="259"/>
      <c r="AC74" s="259"/>
      <c r="AD74" s="259"/>
    </row>
    <row r="75" spans="1:30" hidden="1" x14ac:dyDescent="0.25">
      <c r="A75" s="262"/>
      <c r="B75" s="108"/>
      <c r="C75" s="203" t="s">
        <v>61</v>
      </c>
      <c r="D75" s="202">
        <f t="shared" ref="D75:O75" si="15">D74*$W$17/$B$34</f>
        <v>4.0000000000000008E-2</v>
      </c>
      <c r="E75" s="202">
        <f t="shared" si="15"/>
        <v>0.27600000000000002</v>
      </c>
      <c r="F75" s="202">
        <f t="shared" si="15"/>
        <v>0.37600000000000006</v>
      </c>
      <c r="G75" s="202">
        <f t="shared" si="15"/>
        <v>0.34800000000000009</v>
      </c>
      <c r="H75" s="202">
        <f t="shared" si="15"/>
        <v>0.37600000000000006</v>
      </c>
      <c r="I75" s="202">
        <f t="shared" si="15"/>
        <v>0.33600000000000008</v>
      </c>
      <c r="J75" s="202">
        <f t="shared" si="15"/>
        <v>0.38800000000000007</v>
      </c>
      <c r="K75" s="202">
        <f t="shared" si="15"/>
        <v>0.38800000000000007</v>
      </c>
      <c r="L75" s="202">
        <f t="shared" si="15"/>
        <v>0.37200000000000011</v>
      </c>
      <c r="M75" s="202">
        <f t="shared" si="15"/>
        <v>0.38800000000000007</v>
      </c>
      <c r="N75" s="202">
        <f t="shared" si="15"/>
        <v>0.40800000000000008</v>
      </c>
      <c r="O75" s="202">
        <f t="shared" si="15"/>
        <v>0.30399999999999999</v>
      </c>
      <c r="P75" s="201">
        <f>SUM(D75:O75)</f>
        <v>4</v>
      </c>
      <c r="Q75" s="262"/>
      <c r="R75" s="262"/>
      <c r="S75" s="259"/>
      <c r="T75" s="259"/>
      <c r="U75" s="259"/>
      <c r="V75" s="259"/>
      <c r="W75" s="259"/>
      <c r="X75" s="259"/>
      <c r="Y75" s="259"/>
      <c r="Z75" s="259"/>
      <c r="AA75" s="259"/>
      <c r="AB75" s="259"/>
      <c r="AC75" s="259"/>
      <c r="AD75" s="259"/>
    </row>
    <row r="76" spans="1:30" hidden="1" x14ac:dyDescent="0.25">
      <c r="A76" s="259"/>
      <c r="Q76" s="259"/>
      <c r="R76" s="259"/>
      <c r="S76" s="259"/>
      <c r="T76" s="259"/>
      <c r="U76" s="259"/>
      <c r="V76" s="259"/>
      <c r="W76" s="259"/>
      <c r="X76" s="259"/>
      <c r="Y76" s="259"/>
      <c r="Z76" s="259"/>
      <c r="AA76" s="259"/>
      <c r="AB76" s="259"/>
      <c r="AC76" s="259"/>
      <c r="AD76" s="259"/>
    </row>
    <row r="77" spans="1:30" hidden="1" x14ac:dyDescent="0.25">
      <c r="A77" s="259"/>
      <c r="Q77" s="259"/>
      <c r="R77" s="259"/>
      <c r="S77" s="259"/>
      <c r="T77" s="259"/>
      <c r="U77" s="259"/>
      <c r="V77" s="259"/>
      <c r="W77" s="259"/>
      <c r="X77" s="259"/>
      <c r="Y77" s="259"/>
      <c r="Z77" s="259"/>
      <c r="AA77" s="259"/>
      <c r="AB77" s="259"/>
      <c r="AC77" s="259"/>
      <c r="AD77" s="259"/>
    </row>
    <row r="78" spans="1:30" hidden="1" x14ac:dyDescent="0.25">
      <c r="A78" s="259"/>
      <c r="Q78" s="259"/>
      <c r="R78" s="259"/>
      <c r="S78" s="259"/>
      <c r="T78" s="259"/>
      <c r="U78" s="259"/>
      <c r="V78" s="259"/>
      <c r="W78" s="259"/>
      <c r="X78" s="259"/>
      <c r="Y78" s="259"/>
      <c r="Z78" s="259"/>
      <c r="AA78" s="259"/>
      <c r="AB78" s="259"/>
      <c r="AC78" s="259"/>
      <c r="AD78" s="259"/>
    </row>
    <row r="79" spans="1:30" hidden="1" x14ac:dyDescent="0.25">
      <c r="A79" s="259"/>
      <c r="Q79" s="259"/>
      <c r="R79" s="259"/>
      <c r="S79" s="259"/>
      <c r="T79" s="259"/>
      <c r="U79" s="259"/>
      <c r="V79" s="259"/>
      <c r="W79" s="259"/>
      <c r="X79" s="259"/>
      <c r="Y79" s="259"/>
      <c r="Z79" s="259"/>
      <c r="AA79" s="259"/>
      <c r="AB79" s="259"/>
      <c r="AC79" s="259"/>
      <c r="AD79" s="259"/>
    </row>
    <row r="80" spans="1:30" hidden="1" x14ac:dyDescent="0.25">
      <c r="A80" s="259"/>
      <c r="Q80" s="259"/>
      <c r="R80" s="259"/>
      <c r="S80" s="259"/>
      <c r="T80" s="259"/>
      <c r="U80" s="259"/>
      <c r="V80" s="259"/>
      <c r="W80" s="259"/>
      <c r="X80" s="259"/>
      <c r="Y80" s="259"/>
      <c r="Z80" s="259"/>
      <c r="AA80" s="259"/>
      <c r="AB80" s="259"/>
      <c r="AC80" s="259"/>
      <c r="AD80" s="259"/>
    </row>
    <row r="81" spans="1:30" hidden="1" x14ac:dyDescent="0.25">
      <c r="A81" s="259"/>
      <c r="Q81" s="259"/>
      <c r="R81" s="259"/>
      <c r="S81" s="259"/>
      <c r="T81" s="259"/>
      <c r="U81" s="259"/>
      <c r="V81" s="259"/>
      <c r="W81" s="259"/>
      <c r="X81" s="259"/>
      <c r="Y81" s="259"/>
      <c r="Z81" s="259"/>
      <c r="AA81" s="259"/>
      <c r="AB81" s="259"/>
      <c r="AC81" s="259"/>
      <c r="AD81" s="259"/>
    </row>
    <row r="82" spans="1:30" hidden="1" x14ac:dyDescent="0.25">
      <c r="A82" s="259"/>
      <c r="Q82" s="259"/>
      <c r="R82" s="259"/>
      <c r="S82" s="259"/>
      <c r="T82" s="259"/>
      <c r="U82" s="259"/>
      <c r="V82" s="259"/>
      <c r="W82" s="259"/>
      <c r="X82" s="259"/>
      <c r="Y82" s="259"/>
      <c r="Z82" s="259"/>
      <c r="AA82" s="259"/>
      <c r="AB82" s="259"/>
      <c r="AC82" s="259"/>
      <c r="AD82" s="259"/>
    </row>
    <row r="83" spans="1:30" hidden="1" x14ac:dyDescent="0.25">
      <c r="A83" s="259"/>
      <c r="Q83" s="259"/>
      <c r="R83" s="259"/>
      <c r="S83" s="259"/>
      <c r="T83" s="259"/>
      <c r="U83" s="259"/>
      <c r="V83" s="259"/>
      <c r="W83" s="259"/>
      <c r="X83" s="259"/>
      <c r="Y83" s="259"/>
      <c r="Z83" s="259"/>
      <c r="AA83" s="259"/>
      <c r="AB83" s="259"/>
      <c r="AC83" s="259"/>
      <c r="AD83" s="259"/>
    </row>
    <row r="84" spans="1:30" hidden="1" x14ac:dyDescent="0.25">
      <c r="A84" s="259"/>
      <c r="Q84" s="259"/>
      <c r="R84" s="259"/>
      <c r="S84" s="259"/>
      <c r="T84" s="259"/>
      <c r="U84" s="259"/>
      <c r="V84" s="259"/>
      <c r="W84" s="259"/>
      <c r="X84" s="259"/>
      <c r="Y84" s="259"/>
      <c r="Z84" s="259"/>
      <c r="AA84" s="259"/>
      <c r="AB84" s="259"/>
      <c r="AC84" s="259"/>
      <c r="AD84" s="259"/>
    </row>
    <row r="85" spans="1:30" hidden="1" x14ac:dyDescent="0.25">
      <c r="A85" s="259"/>
      <c r="Q85" s="259"/>
      <c r="R85" s="259"/>
      <c r="S85" s="259"/>
      <c r="T85" s="259"/>
      <c r="U85" s="259"/>
      <c r="V85" s="259"/>
      <c r="W85" s="259"/>
      <c r="X85" s="259"/>
      <c r="Y85" s="259"/>
      <c r="Z85" s="259"/>
      <c r="AA85" s="259"/>
      <c r="AB85" s="259"/>
      <c r="AC85" s="259"/>
      <c r="AD85" s="259"/>
    </row>
    <row r="86" spans="1:30" hidden="1" x14ac:dyDescent="0.25">
      <c r="A86" s="259"/>
      <c r="Q86" s="259"/>
      <c r="R86" s="259"/>
      <c r="S86" s="259"/>
      <c r="T86" s="259"/>
      <c r="U86" s="259"/>
      <c r="V86" s="259"/>
      <c r="W86" s="259"/>
      <c r="X86" s="259"/>
      <c r="Y86" s="259"/>
      <c r="Z86" s="259"/>
      <c r="AA86" s="259"/>
      <c r="AB86" s="259"/>
      <c r="AC86" s="259"/>
      <c r="AD86" s="259"/>
    </row>
    <row r="87" spans="1:30" hidden="1" x14ac:dyDescent="0.25">
      <c r="A87" s="259"/>
      <c r="Q87" s="259"/>
      <c r="R87" s="259"/>
      <c r="S87" s="259"/>
      <c r="T87" s="259"/>
      <c r="U87" s="259"/>
      <c r="V87" s="259"/>
      <c r="W87" s="259"/>
      <c r="X87" s="259"/>
      <c r="Y87" s="259"/>
      <c r="Z87" s="259"/>
      <c r="AA87" s="259"/>
      <c r="AB87" s="259"/>
      <c r="AC87" s="259"/>
      <c r="AD87" s="259"/>
    </row>
    <row r="88" spans="1:30" hidden="1" x14ac:dyDescent="0.25">
      <c r="A88" s="259"/>
      <c r="Q88" s="259"/>
      <c r="R88" s="259"/>
      <c r="S88" s="259"/>
      <c r="T88" s="259"/>
      <c r="U88" s="259"/>
      <c r="V88" s="259"/>
      <c r="W88" s="259"/>
      <c r="X88" s="259"/>
      <c r="Y88" s="259"/>
      <c r="Z88" s="259"/>
      <c r="AA88" s="259"/>
      <c r="AB88" s="259"/>
      <c r="AC88" s="259"/>
      <c r="AD88" s="259"/>
    </row>
    <row r="89" spans="1:30" hidden="1" x14ac:dyDescent="0.25">
      <c r="A89" s="259"/>
      <c r="Q89" s="259"/>
      <c r="R89" s="259"/>
      <c r="S89" s="259"/>
      <c r="T89" s="259"/>
      <c r="U89" s="259"/>
      <c r="V89" s="259"/>
      <c r="W89" s="259"/>
      <c r="X89" s="259"/>
      <c r="Y89" s="259"/>
      <c r="Z89" s="259"/>
      <c r="AA89" s="259"/>
      <c r="AB89" s="259"/>
      <c r="AC89" s="259"/>
      <c r="AD89" s="259"/>
    </row>
    <row r="90" spans="1:30" x14ac:dyDescent="0.25">
      <c r="A90" s="259"/>
      <c r="Q90" s="259"/>
      <c r="R90" s="259"/>
      <c r="S90" s="259"/>
      <c r="T90" s="259"/>
      <c r="U90" s="259"/>
      <c r="V90" s="259"/>
      <c r="W90" s="259"/>
      <c r="X90" s="259"/>
      <c r="Y90" s="259"/>
      <c r="Z90" s="259"/>
      <c r="AA90" s="259"/>
      <c r="AB90" s="259"/>
      <c r="AC90" s="259"/>
      <c r="AD90" s="259"/>
    </row>
    <row r="91" spans="1:30" x14ac:dyDescent="0.25">
      <c r="A91" s="259"/>
      <c r="Q91" s="259"/>
      <c r="R91" s="259"/>
      <c r="S91" s="259"/>
      <c r="T91" s="259"/>
      <c r="U91" s="259"/>
      <c r="V91" s="259"/>
      <c r="W91" s="259"/>
      <c r="X91" s="259"/>
      <c r="Y91" s="259"/>
      <c r="Z91" s="259"/>
      <c r="AA91" s="259"/>
      <c r="AB91" s="259"/>
      <c r="AC91" s="259"/>
      <c r="AD91" s="259"/>
    </row>
    <row r="92" spans="1:30" x14ac:dyDescent="0.25">
      <c r="A92" s="259"/>
      <c r="Q92" s="259"/>
      <c r="R92" s="259"/>
      <c r="S92" s="259"/>
      <c r="T92" s="259"/>
      <c r="U92" s="259"/>
      <c r="V92" s="259"/>
      <c r="W92" s="259"/>
      <c r="X92" s="259"/>
      <c r="Y92" s="259"/>
      <c r="Z92" s="259"/>
      <c r="AA92" s="259"/>
      <c r="AB92" s="259"/>
      <c r="AC92" s="259"/>
      <c r="AD92" s="259"/>
    </row>
    <row r="93" spans="1:30" x14ac:dyDescent="0.25">
      <c r="A93" s="259"/>
      <c r="Q93" s="259"/>
      <c r="R93" s="259"/>
      <c r="S93" s="259"/>
      <c r="T93" s="259"/>
      <c r="U93" s="259"/>
      <c r="V93" s="259"/>
      <c r="W93" s="259"/>
      <c r="X93" s="259"/>
      <c r="Y93" s="259"/>
      <c r="Z93" s="259"/>
      <c r="AA93" s="259"/>
      <c r="AB93" s="259"/>
      <c r="AC93" s="259"/>
      <c r="AD93" s="259"/>
    </row>
    <row r="94" spans="1:30" x14ac:dyDescent="0.25">
      <c r="A94" s="259"/>
      <c r="Q94" s="259"/>
      <c r="R94" s="259"/>
      <c r="S94" s="259"/>
      <c r="T94" s="259"/>
      <c r="U94" s="259"/>
      <c r="V94" s="259"/>
      <c r="W94" s="259"/>
      <c r="X94" s="259"/>
      <c r="Y94" s="259"/>
      <c r="Z94" s="259"/>
      <c r="AA94" s="259"/>
      <c r="AB94" s="259"/>
      <c r="AC94" s="259"/>
      <c r="AD94" s="259"/>
    </row>
    <row r="95" spans="1:30" x14ac:dyDescent="0.25">
      <c r="A95" s="259"/>
      <c r="Q95" s="259"/>
      <c r="R95" s="259"/>
      <c r="S95" s="259"/>
      <c r="T95" s="259"/>
      <c r="U95" s="259"/>
      <c r="V95" s="259"/>
      <c r="W95" s="259"/>
      <c r="X95" s="259"/>
      <c r="Y95" s="259"/>
      <c r="Z95" s="259"/>
      <c r="AA95" s="259"/>
      <c r="AB95" s="259"/>
      <c r="AC95" s="259"/>
      <c r="AD95" s="259"/>
    </row>
    <row r="96" spans="1:30" x14ac:dyDescent="0.25">
      <c r="A96" s="259"/>
      <c r="Q96" s="259"/>
      <c r="R96" s="259"/>
      <c r="S96" s="259"/>
      <c r="T96" s="259"/>
      <c r="U96" s="259"/>
      <c r="V96" s="259"/>
      <c r="W96" s="259"/>
      <c r="X96" s="259"/>
      <c r="Y96" s="259"/>
      <c r="Z96" s="259"/>
      <c r="AA96" s="259"/>
      <c r="AB96" s="259"/>
      <c r="AC96" s="259"/>
      <c r="AD96" s="259"/>
    </row>
    <row r="97" spans="1:30" x14ac:dyDescent="0.25">
      <c r="A97" s="259"/>
      <c r="Q97" s="259"/>
      <c r="R97" s="259"/>
      <c r="S97" s="259"/>
      <c r="T97" s="259"/>
      <c r="U97" s="259"/>
      <c r="V97" s="259"/>
      <c r="W97" s="259"/>
      <c r="X97" s="259"/>
      <c r="Y97" s="259"/>
      <c r="Z97" s="259"/>
      <c r="AA97" s="259"/>
      <c r="AB97" s="259"/>
      <c r="AC97" s="259"/>
      <c r="AD97" s="259"/>
    </row>
    <row r="98" spans="1:30" x14ac:dyDescent="0.25">
      <c r="A98" s="259"/>
      <c r="Q98" s="259"/>
      <c r="R98" s="259"/>
      <c r="S98" s="259"/>
      <c r="T98" s="259"/>
      <c r="U98" s="259"/>
      <c r="V98" s="259"/>
      <c r="W98" s="259"/>
      <c r="X98" s="259"/>
      <c r="Y98" s="259"/>
      <c r="Z98" s="259"/>
      <c r="AA98" s="259"/>
      <c r="AB98" s="259"/>
      <c r="AC98" s="259"/>
      <c r="AD98" s="259"/>
    </row>
    <row r="99" spans="1:30" x14ac:dyDescent="0.25">
      <c r="A99" s="259"/>
      <c r="Q99" s="259"/>
      <c r="R99" s="259"/>
      <c r="S99" s="259"/>
      <c r="T99" s="259"/>
      <c r="U99" s="259"/>
      <c r="V99" s="259"/>
      <c r="W99" s="259"/>
      <c r="X99" s="259"/>
      <c r="Y99" s="259"/>
      <c r="Z99" s="259"/>
      <c r="AA99" s="259"/>
      <c r="AB99" s="259"/>
      <c r="AC99" s="259"/>
      <c r="AD99" s="259"/>
    </row>
    <row r="100" spans="1:30" x14ac:dyDescent="0.25">
      <c r="A100" s="259"/>
      <c r="Q100" s="259"/>
      <c r="R100" s="259"/>
      <c r="S100" s="259"/>
      <c r="T100" s="259"/>
      <c r="U100" s="259"/>
      <c r="V100" s="259"/>
      <c r="W100" s="259"/>
      <c r="X100" s="259"/>
      <c r="Y100" s="259"/>
      <c r="Z100" s="259"/>
      <c r="AA100" s="259"/>
      <c r="AB100" s="259"/>
      <c r="AC100" s="259"/>
      <c r="AD100" s="259"/>
    </row>
    <row r="101" spans="1:30" x14ac:dyDescent="0.25">
      <c r="A101" s="259"/>
      <c r="Q101" s="259"/>
      <c r="R101" s="259"/>
      <c r="S101" s="259"/>
      <c r="T101" s="259"/>
      <c r="U101" s="259"/>
      <c r="V101" s="259"/>
      <c r="W101" s="259"/>
      <c r="X101" s="259"/>
      <c r="Y101" s="259"/>
      <c r="Z101" s="259"/>
      <c r="AA101" s="259"/>
      <c r="AB101" s="259"/>
      <c r="AC101" s="259"/>
      <c r="AD101" s="259"/>
    </row>
    <row r="102" spans="1:30" x14ac:dyDescent="0.25">
      <c r="Q102" s="259"/>
      <c r="R102" s="259"/>
      <c r="S102" s="259"/>
      <c r="T102" s="259"/>
      <c r="U102" s="259"/>
      <c r="V102" s="259"/>
      <c r="W102" s="259"/>
      <c r="X102" s="259"/>
      <c r="Y102" s="259"/>
      <c r="Z102" s="259"/>
      <c r="AA102" s="259"/>
      <c r="AB102" s="259"/>
      <c r="AC102" s="259"/>
      <c r="AD102" s="259"/>
    </row>
    <row r="103" spans="1:30" x14ac:dyDescent="0.25">
      <c r="Q103" s="259"/>
      <c r="R103" s="259"/>
      <c r="S103" s="259"/>
      <c r="T103" s="259"/>
      <c r="U103" s="259"/>
      <c r="V103" s="259"/>
      <c r="W103" s="259"/>
      <c r="X103" s="259"/>
      <c r="Y103" s="259"/>
      <c r="Z103" s="259"/>
      <c r="AA103" s="259"/>
      <c r="AB103" s="259"/>
      <c r="AC103" s="259"/>
      <c r="AD103" s="259"/>
    </row>
    <row r="104" spans="1:30" x14ac:dyDescent="0.25">
      <c r="Q104" s="259"/>
      <c r="R104" s="259"/>
      <c r="S104" s="259"/>
      <c r="T104" s="259"/>
      <c r="U104" s="259"/>
      <c r="V104" s="259"/>
      <c r="W104" s="259"/>
      <c r="X104" s="259"/>
      <c r="Y104" s="259"/>
      <c r="Z104" s="259"/>
      <c r="AA104" s="259"/>
      <c r="AB104" s="259"/>
      <c r="AC104" s="259"/>
      <c r="AD104" s="259"/>
    </row>
    <row r="105" spans="1:30" x14ac:dyDescent="0.25">
      <c r="Q105" s="259"/>
      <c r="R105" s="259"/>
      <c r="S105" s="259"/>
      <c r="T105" s="259"/>
      <c r="U105" s="259"/>
      <c r="V105" s="259"/>
      <c r="W105" s="259"/>
      <c r="X105" s="259"/>
      <c r="Y105" s="259"/>
      <c r="Z105" s="259"/>
      <c r="AA105" s="259"/>
      <c r="AB105" s="259"/>
      <c r="AC105" s="259"/>
      <c r="AD105" s="259"/>
    </row>
    <row r="106" spans="1:30" x14ac:dyDescent="0.25">
      <c r="Q106" s="259"/>
      <c r="R106" s="259"/>
      <c r="S106" s="259"/>
      <c r="T106" s="259"/>
      <c r="U106" s="259"/>
      <c r="V106" s="259"/>
      <c r="W106" s="259"/>
      <c r="X106" s="259"/>
      <c r="Y106" s="259"/>
      <c r="Z106" s="259"/>
      <c r="AA106" s="259"/>
      <c r="AB106" s="259"/>
      <c r="AC106" s="259"/>
      <c r="AD106" s="259"/>
    </row>
    <row r="107" spans="1:30" x14ac:dyDescent="0.25">
      <c r="Q107" s="259"/>
      <c r="R107" s="259"/>
      <c r="S107" s="259"/>
      <c r="T107" s="259"/>
      <c r="U107" s="259"/>
      <c r="V107" s="259"/>
      <c r="W107" s="259"/>
      <c r="X107" s="259"/>
      <c r="Y107" s="259"/>
      <c r="Z107" s="259"/>
      <c r="AA107" s="259"/>
      <c r="AB107" s="259"/>
      <c r="AC107" s="259"/>
      <c r="AD107" s="259"/>
    </row>
    <row r="108" spans="1:30" x14ac:dyDescent="0.25">
      <c r="Q108" s="259"/>
      <c r="R108" s="259"/>
      <c r="S108" s="259"/>
      <c r="T108" s="259"/>
      <c r="U108" s="259"/>
      <c r="V108" s="259"/>
      <c r="W108" s="259"/>
      <c r="X108" s="259"/>
      <c r="Y108" s="259"/>
      <c r="Z108" s="259"/>
      <c r="AA108" s="259"/>
      <c r="AB108" s="259"/>
      <c r="AC108" s="259"/>
      <c r="AD108" s="259"/>
    </row>
    <row r="109" spans="1:30" x14ac:dyDescent="0.25">
      <c r="Q109" s="259"/>
      <c r="R109" s="259"/>
      <c r="S109" s="259"/>
      <c r="T109" s="259"/>
      <c r="U109" s="259"/>
      <c r="V109" s="259"/>
      <c r="W109" s="259"/>
      <c r="X109" s="259"/>
      <c r="Y109" s="259"/>
      <c r="Z109" s="259"/>
      <c r="AA109" s="259"/>
      <c r="AB109" s="259"/>
      <c r="AC109" s="259"/>
      <c r="AD109" s="259"/>
    </row>
    <row r="110" spans="1:30" x14ac:dyDescent="0.25">
      <c r="Q110" s="259"/>
      <c r="R110" s="259"/>
      <c r="S110" s="259"/>
      <c r="T110" s="259"/>
      <c r="U110" s="259"/>
      <c r="V110" s="259"/>
      <c r="W110" s="259"/>
      <c r="X110" s="259"/>
      <c r="Y110" s="259"/>
      <c r="Z110" s="259"/>
      <c r="AA110" s="259"/>
      <c r="AB110" s="259"/>
      <c r="AC110" s="259"/>
      <c r="AD110" s="259"/>
    </row>
    <row r="111" spans="1:30" x14ac:dyDescent="0.25">
      <c r="Q111" s="259"/>
      <c r="R111" s="259"/>
      <c r="S111" s="259"/>
      <c r="T111" s="259"/>
      <c r="U111" s="259"/>
      <c r="V111" s="259"/>
      <c r="W111" s="259"/>
      <c r="X111" s="259"/>
      <c r="Y111" s="259"/>
      <c r="Z111" s="259"/>
      <c r="AA111" s="259"/>
      <c r="AB111" s="259"/>
      <c r="AC111" s="259"/>
      <c r="AD111" s="259"/>
    </row>
    <row r="112" spans="1:30" x14ac:dyDescent="0.25">
      <c r="Q112" s="259"/>
      <c r="R112" s="259"/>
      <c r="S112" s="259"/>
      <c r="T112" s="259"/>
      <c r="U112" s="259"/>
      <c r="V112" s="259"/>
      <c r="W112" s="259"/>
      <c r="X112" s="259"/>
      <c r="Y112" s="259"/>
      <c r="Z112" s="259"/>
      <c r="AA112" s="259"/>
      <c r="AB112" s="259"/>
      <c r="AC112" s="259"/>
      <c r="AD112" s="259"/>
    </row>
    <row r="113" spans="17:30" x14ac:dyDescent="0.25">
      <c r="Q113" s="259"/>
      <c r="R113" s="259"/>
      <c r="S113" s="259"/>
      <c r="T113" s="259"/>
      <c r="U113" s="259"/>
      <c r="V113" s="259"/>
      <c r="W113" s="259"/>
      <c r="X113" s="259"/>
      <c r="Y113" s="259"/>
      <c r="Z113" s="259"/>
      <c r="AA113" s="259"/>
      <c r="AB113" s="259"/>
      <c r="AC113" s="259"/>
      <c r="AD113" s="259"/>
    </row>
    <row r="114" spans="17:30" x14ac:dyDescent="0.25">
      <c r="Q114" s="259"/>
      <c r="R114" s="259"/>
      <c r="S114" s="259"/>
      <c r="T114" s="259"/>
      <c r="U114" s="259"/>
      <c r="V114" s="259"/>
      <c r="W114" s="259"/>
      <c r="X114" s="259"/>
      <c r="Y114" s="259"/>
      <c r="Z114" s="259"/>
      <c r="AA114" s="259"/>
      <c r="AB114" s="259"/>
      <c r="AC114" s="259"/>
      <c r="AD114" s="259"/>
    </row>
    <row r="115" spans="17:30" x14ac:dyDescent="0.25">
      <c r="Q115" s="259"/>
      <c r="R115" s="259"/>
      <c r="S115" s="259"/>
      <c r="T115" s="259"/>
      <c r="U115" s="259"/>
      <c r="V115" s="259"/>
      <c r="W115" s="259"/>
      <c r="X115" s="259"/>
      <c r="Y115" s="259"/>
      <c r="Z115" s="259"/>
      <c r="AA115" s="259"/>
      <c r="AB115" s="259"/>
      <c r="AC115" s="259"/>
      <c r="AD115" s="259"/>
    </row>
    <row r="116" spans="17:30" x14ac:dyDescent="0.25">
      <c r="Q116" s="259"/>
      <c r="R116" s="259"/>
      <c r="S116" s="259"/>
      <c r="T116" s="259"/>
      <c r="U116" s="259"/>
      <c r="V116" s="259"/>
      <c r="W116" s="259"/>
      <c r="X116" s="259"/>
      <c r="Y116" s="259"/>
      <c r="Z116" s="259"/>
      <c r="AA116" s="259"/>
      <c r="AB116" s="259"/>
      <c r="AC116" s="259"/>
      <c r="AD116" s="259"/>
    </row>
    <row r="117" spans="17:30" x14ac:dyDescent="0.25">
      <c r="Q117" s="259"/>
      <c r="R117" s="259"/>
      <c r="S117" s="259"/>
      <c r="T117" s="259"/>
      <c r="U117" s="259"/>
      <c r="V117" s="259"/>
      <c r="W117" s="259"/>
      <c r="X117" s="259"/>
      <c r="Y117" s="259"/>
      <c r="Z117" s="259"/>
      <c r="AA117" s="259"/>
      <c r="AB117" s="259"/>
      <c r="AC117" s="259"/>
      <c r="AD117" s="259"/>
    </row>
    <row r="118" spans="17:30" x14ac:dyDescent="0.25">
      <c r="Q118" s="259"/>
      <c r="R118" s="259"/>
      <c r="S118" s="259"/>
      <c r="T118" s="259"/>
      <c r="U118" s="259"/>
      <c r="V118" s="259"/>
      <c r="W118" s="259"/>
      <c r="X118" s="259"/>
      <c r="Y118" s="259"/>
      <c r="Z118" s="259"/>
      <c r="AA118" s="259"/>
      <c r="AB118" s="259"/>
      <c r="AC118" s="259"/>
      <c r="AD118" s="259"/>
    </row>
    <row r="119" spans="17:30" x14ac:dyDescent="0.25">
      <c r="Q119" s="259"/>
      <c r="R119" s="259"/>
      <c r="S119" s="259"/>
      <c r="T119" s="259"/>
      <c r="U119" s="259"/>
      <c r="V119" s="259"/>
      <c r="W119" s="259"/>
      <c r="X119" s="259"/>
      <c r="Y119" s="259"/>
      <c r="Z119" s="259"/>
      <c r="AA119" s="259"/>
      <c r="AB119" s="259"/>
      <c r="AC119" s="259"/>
      <c r="AD119" s="259"/>
    </row>
    <row r="120" spans="17:30" x14ac:dyDescent="0.25">
      <c r="Q120" s="259"/>
      <c r="R120" s="259"/>
      <c r="S120" s="259"/>
      <c r="T120" s="259"/>
      <c r="U120" s="259"/>
      <c r="V120" s="259"/>
      <c r="W120" s="259"/>
      <c r="X120" s="259"/>
      <c r="Y120" s="259"/>
      <c r="Z120" s="259"/>
      <c r="AA120" s="259"/>
      <c r="AB120" s="259"/>
      <c r="AC120" s="259"/>
      <c r="AD120" s="259"/>
    </row>
    <row r="121" spans="17:30" x14ac:dyDescent="0.25">
      <c r="Q121" s="259"/>
      <c r="R121" s="259"/>
      <c r="S121" s="259"/>
      <c r="T121" s="259"/>
      <c r="U121" s="259"/>
      <c r="V121" s="259"/>
      <c r="W121" s="259"/>
      <c r="X121" s="259"/>
      <c r="Y121" s="259"/>
      <c r="Z121" s="259"/>
      <c r="AA121" s="259"/>
      <c r="AB121" s="259"/>
      <c r="AC121" s="259"/>
      <c r="AD121" s="259"/>
    </row>
    <row r="122" spans="17:30" x14ac:dyDescent="0.25">
      <c r="Q122" s="259"/>
      <c r="R122" s="259"/>
      <c r="S122" s="259"/>
      <c r="T122" s="259"/>
      <c r="U122" s="259"/>
      <c r="V122" s="259"/>
      <c r="W122" s="259"/>
      <c r="X122" s="259"/>
      <c r="Y122" s="259"/>
      <c r="Z122" s="259"/>
      <c r="AA122" s="259"/>
      <c r="AB122" s="259"/>
      <c r="AC122" s="259"/>
      <c r="AD122" s="259"/>
    </row>
    <row r="123" spans="17:30" x14ac:dyDescent="0.25">
      <c r="Q123" s="259"/>
      <c r="R123" s="259"/>
      <c r="S123" s="259"/>
      <c r="T123" s="259"/>
      <c r="U123" s="259"/>
      <c r="V123" s="259"/>
      <c r="W123" s="259"/>
      <c r="X123" s="259"/>
      <c r="Y123" s="259"/>
      <c r="Z123" s="259"/>
      <c r="AA123" s="259"/>
      <c r="AB123" s="259"/>
      <c r="AC123" s="259"/>
      <c r="AD123" s="259"/>
    </row>
    <row r="124" spans="17:30" x14ac:dyDescent="0.25">
      <c r="Q124" s="259"/>
      <c r="R124" s="259"/>
      <c r="S124" s="259"/>
      <c r="T124" s="259"/>
      <c r="U124" s="259"/>
      <c r="V124" s="259"/>
      <c r="W124" s="259"/>
      <c r="X124" s="259"/>
      <c r="Y124" s="259"/>
      <c r="Z124" s="259"/>
      <c r="AA124" s="259"/>
      <c r="AB124" s="259"/>
      <c r="AC124" s="259"/>
      <c r="AD124" s="259"/>
    </row>
    <row r="125" spans="17:30" x14ac:dyDescent="0.25">
      <c r="Q125" s="259"/>
      <c r="R125" s="259"/>
      <c r="S125" s="259"/>
      <c r="T125" s="259"/>
      <c r="U125" s="259"/>
      <c r="V125" s="259"/>
      <c r="W125" s="259"/>
      <c r="X125" s="259"/>
      <c r="Y125" s="259"/>
      <c r="Z125" s="259"/>
      <c r="AA125" s="259"/>
      <c r="AB125" s="259"/>
      <c r="AC125" s="259"/>
      <c r="AD125" s="259"/>
    </row>
    <row r="126" spans="17:30" x14ac:dyDescent="0.25">
      <c r="Q126" s="259"/>
      <c r="R126" s="259"/>
      <c r="S126" s="259"/>
      <c r="T126" s="259"/>
      <c r="U126" s="259"/>
      <c r="V126" s="259"/>
      <c r="W126" s="259"/>
      <c r="X126" s="259"/>
      <c r="Y126" s="259"/>
      <c r="Z126" s="259"/>
      <c r="AA126" s="259"/>
      <c r="AB126" s="259"/>
      <c r="AC126" s="259"/>
      <c r="AD126" s="259"/>
    </row>
    <row r="127" spans="17:30" x14ac:dyDescent="0.25">
      <c r="Q127" s="259"/>
      <c r="R127" s="259"/>
      <c r="S127" s="259"/>
      <c r="T127" s="259"/>
      <c r="U127" s="259"/>
      <c r="V127" s="259"/>
      <c r="W127" s="259"/>
      <c r="X127" s="259"/>
      <c r="Y127" s="259"/>
      <c r="Z127" s="259"/>
      <c r="AA127" s="259"/>
      <c r="AB127" s="259"/>
      <c r="AC127" s="259"/>
      <c r="AD127" s="259"/>
    </row>
    <row r="128" spans="17:30" x14ac:dyDescent="0.25">
      <c r="Q128" s="259"/>
      <c r="R128" s="259"/>
      <c r="S128" s="259"/>
      <c r="T128" s="259"/>
      <c r="U128" s="259"/>
      <c r="V128" s="259"/>
      <c r="W128" s="259"/>
      <c r="X128" s="259"/>
      <c r="Y128" s="259"/>
      <c r="Z128" s="259"/>
      <c r="AA128" s="259"/>
      <c r="AB128" s="259"/>
      <c r="AC128" s="259"/>
      <c r="AD128" s="259"/>
    </row>
    <row r="129" spans="17:30" x14ac:dyDescent="0.25">
      <c r="Q129" s="259"/>
      <c r="R129" s="259"/>
      <c r="S129" s="259"/>
      <c r="T129" s="259"/>
      <c r="U129" s="259"/>
      <c r="V129" s="259"/>
      <c r="W129" s="259"/>
      <c r="X129" s="259"/>
      <c r="Y129" s="259"/>
      <c r="Z129" s="259"/>
      <c r="AA129" s="259"/>
      <c r="AB129" s="259"/>
      <c r="AC129" s="259"/>
      <c r="AD129" s="259"/>
    </row>
    <row r="130" spans="17:30" x14ac:dyDescent="0.25">
      <c r="Q130" s="259"/>
      <c r="R130" s="259"/>
      <c r="S130" s="259"/>
      <c r="T130" s="259"/>
      <c r="U130" s="259"/>
      <c r="V130" s="259"/>
      <c r="W130" s="259"/>
      <c r="X130" s="259"/>
      <c r="Y130" s="259"/>
      <c r="Z130" s="259"/>
      <c r="AA130" s="259"/>
      <c r="AB130" s="259"/>
      <c r="AC130" s="259"/>
      <c r="AD130" s="259"/>
    </row>
    <row r="131" spans="17:30" x14ac:dyDescent="0.25">
      <c r="Q131" s="259"/>
      <c r="R131" s="259"/>
      <c r="S131" s="259"/>
      <c r="T131" s="259"/>
      <c r="U131" s="259"/>
      <c r="V131" s="259"/>
      <c r="W131" s="259"/>
      <c r="X131" s="259"/>
      <c r="Y131" s="259"/>
      <c r="Z131" s="259"/>
      <c r="AA131" s="259"/>
      <c r="AB131" s="259"/>
      <c r="AC131" s="259"/>
      <c r="AD131" s="259"/>
    </row>
    <row r="132" spans="17:30" x14ac:dyDescent="0.25">
      <c r="Q132" s="259"/>
      <c r="R132" s="259"/>
      <c r="S132" s="259"/>
      <c r="T132" s="259"/>
      <c r="U132" s="259"/>
      <c r="V132" s="259"/>
      <c r="W132" s="259"/>
      <c r="X132" s="259"/>
      <c r="Y132" s="259"/>
      <c r="Z132" s="259"/>
      <c r="AA132" s="259"/>
      <c r="AB132" s="259"/>
      <c r="AC132" s="259"/>
      <c r="AD132" s="259"/>
    </row>
    <row r="133" spans="17:30" x14ac:dyDescent="0.25">
      <c r="Q133" s="259"/>
      <c r="R133" s="259"/>
      <c r="S133" s="259"/>
      <c r="T133" s="259"/>
      <c r="U133" s="259"/>
      <c r="V133" s="259"/>
      <c r="W133" s="259"/>
      <c r="X133" s="259"/>
      <c r="Y133" s="259"/>
      <c r="Z133" s="259"/>
      <c r="AA133" s="259"/>
      <c r="AB133" s="259"/>
      <c r="AC133" s="259"/>
      <c r="AD133" s="259"/>
    </row>
    <row r="134" spans="17:30" x14ac:dyDescent="0.25">
      <c r="Q134" s="259"/>
      <c r="R134" s="259"/>
      <c r="S134" s="259"/>
      <c r="T134" s="259"/>
      <c r="U134" s="259"/>
      <c r="V134" s="259"/>
      <c r="W134" s="259"/>
      <c r="X134" s="259"/>
      <c r="Y134" s="259"/>
      <c r="Z134" s="259"/>
      <c r="AA134" s="259"/>
      <c r="AB134" s="259"/>
      <c r="AC134" s="259"/>
      <c r="AD134" s="259"/>
    </row>
    <row r="135" spans="17:30" x14ac:dyDescent="0.25">
      <c r="Q135" s="259"/>
      <c r="R135" s="259"/>
      <c r="S135" s="259"/>
      <c r="T135" s="259"/>
      <c r="U135" s="259"/>
      <c r="V135" s="259"/>
      <c r="W135" s="259"/>
      <c r="X135" s="259"/>
      <c r="Y135" s="259"/>
      <c r="Z135" s="259"/>
      <c r="AA135" s="259"/>
      <c r="AB135" s="259"/>
      <c r="AC135" s="259"/>
      <c r="AD135" s="259"/>
    </row>
    <row r="136" spans="17:30" x14ac:dyDescent="0.25">
      <c r="Q136" s="259"/>
      <c r="R136" s="259"/>
      <c r="S136" s="259"/>
      <c r="T136" s="259"/>
      <c r="U136" s="259"/>
      <c r="V136" s="259"/>
      <c r="W136" s="259"/>
      <c r="X136" s="259"/>
      <c r="Y136" s="259"/>
      <c r="Z136" s="259"/>
      <c r="AA136" s="259"/>
      <c r="AB136" s="259"/>
      <c r="AC136" s="259"/>
      <c r="AD136" s="259"/>
    </row>
    <row r="137" spans="17:30" x14ac:dyDescent="0.25">
      <c r="Q137" s="259"/>
      <c r="R137" s="259"/>
      <c r="S137" s="259"/>
      <c r="T137" s="259"/>
      <c r="U137" s="259"/>
      <c r="V137" s="259"/>
      <c r="W137" s="259"/>
      <c r="X137" s="259"/>
      <c r="Y137" s="259"/>
      <c r="Z137" s="259"/>
      <c r="AA137" s="259"/>
      <c r="AB137" s="259"/>
      <c r="AC137" s="259"/>
      <c r="AD137" s="259"/>
    </row>
    <row r="138" spans="17:30" x14ac:dyDescent="0.25">
      <c r="Q138" s="259"/>
      <c r="R138" s="259"/>
      <c r="S138" s="259"/>
      <c r="T138" s="259"/>
      <c r="U138" s="259"/>
      <c r="V138" s="259"/>
      <c r="W138" s="259"/>
      <c r="X138" s="259"/>
      <c r="Y138" s="259"/>
      <c r="Z138" s="259"/>
      <c r="AA138" s="259"/>
      <c r="AB138" s="259"/>
      <c r="AC138" s="259"/>
      <c r="AD138" s="259"/>
    </row>
    <row r="139" spans="17:30" x14ac:dyDescent="0.25">
      <c r="Q139" s="259"/>
      <c r="R139" s="259"/>
      <c r="S139" s="259"/>
      <c r="T139" s="259"/>
      <c r="U139" s="259"/>
      <c r="V139" s="259"/>
      <c r="W139" s="259"/>
      <c r="X139" s="259"/>
      <c r="Y139" s="259"/>
      <c r="Z139" s="259"/>
      <c r="AA139" s="259"/>
      <c r="AB139" s="259"/>
      <c r="AC139" s="259"/>
      <c r="AD139" s="259"/>
    </row>
    <row r="140" spans="17:30" x14ac:dyDescent="0.25">
      <c r="Q140" s="259"/>
      <c r="R140" s="259"/>
      <c r="S140" s="259"/>
      <c r="T140" s="259"/>
      <c r="U140" s="259"/>
      <c r="V140" s="259"/>
      <c r="W140" s="259"/>
      <c r="X140" s="259"/>
      <c r="Y140" s="259"/>
      <c r="Z140" s="259"/>
      <c r="AA140" s="259"/>
      <c r="AB140" s="259"/>
      <c r="AC140" s="259"/>
      <c r="AD140" s="259"/>
    </row>
    <row r="141" spans="17:30" x14ac:dyDescent="0.25">
      <c r="Q141" s="259"/>
      <c r="R141" s="259"/>
      <c r="S141" s="259"/>
      <c r="T141" s="259"/>
      <c r="U141" s="259"/>
      <c r="V141" s="259"/>
      <c r="W141" s="259"/>
      <c r="X141" s="259"/>
      <c r="Y141" s="259"/>
      <c r="Z141" s="259"/>
      <c r="AA141" s="259"/>
      <c r="AB141" s="259"/>
      <c r="AC141" s="259"/>
      <c r="AD141" s="259"/>
    </row>
    <row r="142" spans="17:30" x14ac:dyDescent="0.25">
      <c r="Q142" s="259"/>
      <c r="R142" s="259"/>
      <c r="S142" s="259"/>
      <c r="T142" s="259"/>
      <c r="U142" s="259"/>
      <c r="V142" s="259"/>
      <c r="W142" s="259"/>
      <c r="X142" s="259"/>
      <c r="Y142" s="259"/>
      <c r="Z142" s="259"/>
      <c r="AA142" s="259"/>
      <c r="AB142" s="259"/>
      <c r="AC142" s="259"/>
      <c r="AD142" s="259"/>
    </row>
    <row r="143" spans="17:30" x14ac:dyDescent="0.25">
      <c r="Q143" s="259"/>
      <c r="R143" s="259"/>
      <c r="S143" s="259"/>
      <c r="T143" s="259"/>
      <c r="U143" s="259"/>
      <c r="V143" s="259"/>
      <c r="W143" s="259"/>
      <c r="X143" s="259"/>
      <c r="Y143" s="259"/>
      <c r="Z143" s="259"/>
      <c r="AA143" s="259"/>
      <c r="AB143" s="259"/>
      <c r="AC143" s="259"/>
      <c r="AD143" s="259"/>
    </row>
    <row r="144" spans="17:30" x14ac:dyDescent="0.25">
      <c r="Q144" s="259"/>
      <c r="R144" s="259"/>
      <c r="S144" s="259"/>
      <c r="T144" s="259"/>
      <c r="U144" s="259"/>
      <c r="V144" s="259"/>
      <c r="W144" s="259"/>
      <c r="X144" s="259"/>
      <c r="Y144" s="259"/>
      <c r="Z144" s="259"/>
      <c r="AA144" s="259"/>
      <c r="AB144" s="259"/>
      <c r="AC144" s="259"/>
      <c r="AD144" s="259"/>
    </row>
    <row r="145" spans="17:30" x14ac:dyDescent="0.25">
      <c r="Q145" s="259"/>
      <c r="R145" s="259"/>
      <c r="S145" s="259"/>
      <c r="T145" s="259"/>
      <c r="U145" s="259"/>
      <c r="V145" s="259"/>
      <c r="W145" s="259"/>
      <c r="X145" s="259"/>
      <c r="Y145" s="259"/>
      <c r="Z145" s="259"/>
      <c r="AA145" s="259"/>
      <c r="AB145" s="259"/>
      <c r="AC145" s="259"/>
      <c r="AD145" s="259"/>
    </row>
    <row r="146" spans="17:30" x14ac:dyDescent="0.25">
      <c r="Q146" s="259"/>
      <c r="R146" s="259"/>
      <c r="S146" s="259"/>
      <c r="T146" s="259"/>
      <c r="U146" s="259"/>
      <c r="V146" s="259"/>
      <c r="W146" s="259"/>
      <c r="X146" s="259"/>
      <c r="Y146" s="259"/>
      <c r="Z146" s="259"/>
      <c r="AA146" s="259"/>
      <c r="AB146" s="259"/>
      <c r="AC146" s="259"/>
      <c r="AD146" s="259"/>
    </row>
    <row r="147" spans="17:30" x14ac:dyDescent="0.25">
      <c r="Q147" s="259"/>
      <c r="R147" s="259"/>
      <c r="S147" s="259"/>
      <c r="T147" s="259"/>
      <c r="U147" s="259"/>
      <c r="V147" s="259"/>
      <c r="W147" s="259"/>
      <c r="X147" s="259"/>
      <c r="Y147" s="259"/>
      <c r="Z147" s="259"/>
      <c r="AA147" s="259"/>
      <c r="AB147" s="259"/>
      <c r="AC147" s="259"/>
      <c r="AD147" s="259"/>
    </row>
    <row r="148" spans="17:30" x14ac:dyDescent="0.25">
      <c r="Q148" s="259"/>
      <c r="R148" s="259"/>
      <c r="S148" s="259"/>
      <c r="T148" s="259"/>
      <c r="U148" s="259"/>
      <c r="V148" s="259"/>
      <c r="W148" s="259"/>
      <c r="X148" s="259"/>
      <c r="Y148" s="259"/>
      <c r="Z148" s="259"/>
      <c r="AA148" s="259"/>
      <c r="AB148" s="259"/>
      <c r="AC148" s="259"/>
      <c r="AD148" s="259"/>
    </row>
    <row r="149" spans="17:30" x14ac:dyDescent="0.25">
      <c r="Q149" s="259"/>
      <c r="R149" s="259"/>
      <c r="S149" s="259"/>
      <c r="T149" s="259"/>
      <c r="U149" s="259"/>
      <c r="V149" s="259"/>
      <c r="W149" s="259"/>
      <c r="X149" s="259"/>
      <c r="Y149" s="259"/>
      <c r="Z149" s="259"/>
      <c r="AA149" s="259"/>
      <c r="AB149" s="259"/>
      <c r="AC149" s="259"/>
      <c r="AD149" s="259"/>
    </row>
    <row r="150" spans="17:30" x14ac:dyDescent="0.25">
      <c r="Q150" s="259"/>
      <c r="R150" s="259"/>
      <c r="S150" s="259"/>
      <c r="T150" s="259"/>
      <c r="U150" s="259"/>
      <c r="V150" s="259"/>
      <c r="W150" s="259"/>
      <c r="X150" s="259"/>
      <c r="Y150" s="259"/>
      <c r="Z150" s="259"/>
      <c r="AA150" s="259"/>
      <c r="AB150" s="259"/>
      <c r="AC150" s="259"/>
      <c r="AD150" s="259"/>
    </row>
    <row r="151" spans="17:30" x14ac:dyDescent="0.25">
      <c r="Q151" s="259"/>
      <c r="R151" s="259"/>
      <c r="S151" s="259"/>
      <c r="T151" s="259"/>
      <c r="U151" s="259"/>
      <c r="V151" s="259"/>
      <c r="W151" s="259"/>
      <c r="X151" s="259"/>
      <c r="Y151" s="259"/>
      <c r="Z151" s="259"/>
      <c r="AA151" s="259"/>
      <c r="AB151" s="259"/>
      <c r="AC151" s="259"/>
      <c r="AD151" s="259"/>
    </row>
    <row r="152" spans="17:30" x14ac:dyDescent="0.25">
      <c r="Q152" s="259"/>
      <c r="R152" s="259"/>
      <c r="S152" s="259"/>
      <c r="T152" s="259"/>
      <c r="U152" s="259"/>
      <c r="V152" s="259"/>
      <c r="W152" s="259"/>
      <c r="X152" s="259"/>
      <c r="Y152" s="259"/>
      <c r="Z152" s="259"/>
      <c r="AA152" s="259"/>
      <c r="AB152" s="259"/>
      <c r="AC152" s="259"/>
      <c r="AD152" s="259"/>
    </row>
    <row r="153" spans="17:30" x14ac:dyDescent="0.25">
      <c r="Q153" s="259"/>
      <c r="R153" s="259"/>
      <c r="S153" s="259"/>
      <c r="T153" s="259"/>
      <c r="U153" s="259"/>
      <c r="V153" s="259"/>
      <c r="W153" s="259"/>
      <c r="X153" s="259"/>
      <c r="Y153" s="259"/>
      <c r="Z153" s="259"/>
      <c r="AA153" s="259"/>
      <c r="AB153" s="259"/>
      <c r="AC153" s="259"/>
      <c r="AD153" s="259"/>
    </row>
    <row r="154" spans="17:30" x14ac:dyDescent="0.25">
      <c r="Q154" s="259"/>
      <c r="R154" s="259"/>
      <c r="S154" s="259"/>
      <c r="T154" s="259"/>
      <c r="U154" s="259"/>
      <c r="V154" s="259"/>
      <c r="W154" s="259"/>
      <c r="X154" s="259"/>
      <c r="Y154" s="259"/>
      <c r="Z154" s="259"/>
      <c r="AA154" s="259"/>
      <c r="AB154" s="259"/>
      <c r="AC154" s="259"/>
      <c r="AD154" s="259"/>
    </row>
    <row r="155" spans="17:30" x14ac:dyDescent="0.25">
      <c r="Q155" s="259"/>
      <c r="R155" s="259"/>
      <c r="S155" s="259"/>
      <c r="T155" s="259"/>
      <c r="U155" s="259"/>
      <c r="V155" s="259"/>
      <c r="W155" s="259"/>
      <c r="X155" s="259"/>
      <c r="Y155" s="259"/>
      <c r="Z155" s="259"/>
      <c r="AA155" s="259"/>
      <c r="AB155" s="259"/>
      <c r="AC155" s="259"/>
      <c r="AD155" s="259"/>
    </row>
    <row r="156" spans="17:30" x14ac:dyDescent="0.25">
      <c r="Q156" s="259"/>
      <c r="R156" s="259"/>
      <c r="S156" s="259"/>
      <c r="T156" s="259"/>
      <c r="U156" s="259"/>
      <c r="V156" s="259"/>
      <c r="W156" s="259"/>
      <c r="X156" s="259"/>
      <c r="Y156" s="259"/>
      <c r="Z156" s="259"/>
      <c r="AA156" s="259"/>
      <c r="AB156" s="259"/>
      <c r="AC156" s="259"/>
      <c r="AD156" s="259"/>
    </row>
    <row r="157" spans="17:30" x14ac:dyDescent="0.25">
      <c r="Q157" s="259"/>
      <c r="R157" s="259"/>
      <c r="S157" s="259"/>
      <c r="T157" s="259"/>
      <c r="U157" s="259"/>
      <c r="V157" s="259"/>
      <c r="W157" s="259"/>
      <c r="X157" s="259"/>
      <c r="Y157" s="259"/>
      <c r="Z157" s="259"/>
      <c r="AA157" s="259"/>
      <c r="AB157" s="259"/>
      <c r="AC157" s="259"/>
      <c r="AD157" s="259"/>
    </row>
    <row r="158" spans="17:30" x14ac:dyDescent="0.25">
      <c r="Q158" s="259"/>
      <c r="R158" s="259"/>
      <c r="S158" s="259"/>
      <c r="T158" s="259"/>
      <c r="U158" s="259"/>
      <c r="V158" s="259"/>
      <c r="W158" s="259"/>
      <c r="X158" s="259"/>
      <c r="Y158" s="259"/>
      <c r="Z158" s="259"/>
      <c r="AA158" s="259"/>
      <c r="AB158" s="259"/>
      <c r="AC158" s="259"/>
      <c r="AD158" s="259"/>
    </row>
    <row r="159" spans="17:30" x14ac:dyDescent="0.25">
      <c r="Q159" s="259"/>
      <c r="R159" s="259"/>
      <c r="S159" s="259"/>
      <c r="T159" s="259"/>
      <c r="U159" s="259"/>
      <c r="V159" s="259"/>
      <c r="W159" s="259"/>
      <c r="X159" s="259"/>
      <c r="Y159" s="259"/>
      <c r="Z159" s="259"/>
      <c r="AA159" s="259"/>
      <c r="AB159" s="259"/>
      <c r="AC159" s="259"/>
      <c r="AD159" s="259"/>
    </row>
    <row r="160" spans="17:30" x14ac:dyDescent="0.25">
      <c r="Q160" s="259"/>
      <c r="R160" s="259"/>
      <c r="S160" s="259"/>
      <c r="T160" s="259"/>
      <c r="U160" s="259"/>
      <c r="V160" s="259"/>
      <c r="W160" s="259"/>
      <c r="X160" s="259"/>
      <c r="Y160" s="259"/>
      <c r="Z160" s="259"/>
      <c r="AA160" s="259"/>
      <c r="AB160" s="259"/>
      <c r="AC160" s="259"/>
      <c r="AD160" s="259"/>
    </row>
    <row r="161" spans="17:30" x14ac:dyDescent="0.25">
      <c r="Q161" s="259"/>
      <c r="R161" s="259"/>
      <c r="S161" s="259"/>
      <c r="T161" s="259"/>
      <c r="U161" s="259"/>
      <c r="V161" s="259"/>
      <c r="W161" s="259"/>
      <c r="X161" s="259"/>
      <c r="Y161" s="259"/>
      <c r="Z161" s="259"/>
      <c r="AA161" s="259"/>
      <c r="AB161" s="259"/>
      <c r="AC161" s="259"/>
      <c r="AD161" s="259"/>
    </row>
    <row r="162" spans="17:30" x14ac:dyDescent="0.25">
      <c r="Q162" s="259"/>
      <c r="R162" s="259"/>
      <c r="S162" s="259"/>
      <c r="T162" s="259"/>
      <c r="U162" s="259"/>
      <c r="V162" s="259"/>
      <c r="W162" s="259"/>
      <c r="X162" s="259"/>
      <c r="Y162" s="259"/>
      <c r="Z162" s="259"/>
      <c r="AA162" s="259"/>
      <c r="AB162" s="259"/>
      <c r="AC162" s="259"/>
      <c r="AD162" s="259"/>
    </row>
    <row r="163" spans="17:30" x14ac:dyDescent="0.25">
      <c r="Q163" s="259"/>
      <c r="R163" s="259"/>
      <c r="S163" s="259"/>
      <c r="T163" s="259"/>
      <c r="U163" s="259"/>
      <c r="V163" s="259"/>
      <c r="W163" s="259"/>
      <c r="X163" s="259"/>
      <c r="Y163" s="259"/>
      <c r="Z163" s="259"/>
      <c r="AA163" s="259"/>
      <c r="AB163" s="259"/>
      <c r="AC163" s="259"/>
      <c r="AD163" s="259"/>
    </row>
    <row r="164" spans="17:30" x14ac:dyDescent="0.25">
      <c r="Q164" s="259"/>
      <c r="R164" s="259"/>
      <c r="S164" s="259"/>
      <c r="T164" s="259"/>
      <c r="U164" s="259"/>
      <c r="V164" s="259"/>
      <c r="W164" s="259"/>
      <c r="X164" s="259"/>
      <c r="Y164" s="259"/>
      <c r="Z164" s="259"/>
      <c r="AA164" s="259"/>
      <c r="AB164" s="259"/>
      <c r="AC164" s="259"/>
      <c r="AD164" s="259"/>
    </row>
    <row r="165" spans="17:30" x14ac:dyDescent="0.25">
      <c r="Q165" s="259"/>
      <c r="R165" s="259"/>
      <c r="S165" s="259"/>
      <c r="T165" s="259"/>
      <c r="U165" s="259"/>
      <c r="V165" s="259"/>
      <c r="W165" s="259"/>
      <c r="X165" s="259"/>
      <c r="Y165" s="259"/>
      <c r="Z165" s="259"/>
      <c r="AA165" s="259"/>
      <c r="AB165" s="259"/>
      <c r="AC165" s="259"/>
      <c r="AD165" s="259"/>
    </row>
    <row r="166" spans="17:30" x14ac:dyDescent="0.25">
      <c r="Q166" s="259"/>
      <c r="R166" s="259"/>
      <c r="S166" s="259"/>
      <c r="T166" s="259"/>
      <c r="U166" s="259"/>
      <c r="V166" s="259"/>
      <c r="W166" s="259"/>
      <c r="X166" s="259"/>
      <c r="Y166" s="259"/>
      <c r="Z166" s="259"/>
      <c r="AA166" s="259"/>
      <c r="AB166" s="259"/>
      <c r="AC166" s="259"/>
      <c r="AD166" s="259"/>
    </row>
    <row r="167" spans="17:30" x14ac:dyDescent="0.25">
      <c r="Q167" s="259"/>
      <c r="R167" s="259"/>
      <c r="S167" s="259"/>
      <c r="T167" s="259"/>
      <c r="U167" s="259"/>
      <c r="V167" s="259"/>
      <c r="W167" s="259"/>
      <c r="X167" s="259"/>
      <c r="Y167" s="259"/>
      <c r="Z167" s="259"/>
      <c r="AA167" s="259"/>
      <c r="AB167" s="259"/>
      <c r="AC167" s="259"/>
      <c r="AD167" s="259"/>
    </row>
    <row r="168" spans="17:30" x14ac:dyDescent="0.25">
      <c r="Q168" s="259"/>
      <c r="R168" s="259"/>
      <c r="S168" s="259"/>
      <c r="T168" s="259"/>
      <c r="U168" s="259"/>
      <c r="V168" s="259"/>
      <c r="W168" s="259"/>
      <c r="X168" s="259"/>
      <c r="Y168" s="259"/>
      <c r="Z168" s="259"/>
      <c r="AA168" s="259"/>
      <c r="AB168" s="259"/>
      <c r="AC168" s="259"/>
      <c r="AD168" s="259"/>
    </row>
    <row r="169" spans="17:30" x14ac:dyDescent="0.25">
      <c r="Q169" s="259"/>
      <c r="R169" s="259"/>
      <c r="S169" s="259"/>
      <c r="T169" s="259"/>
      <c r="U169" s="259"/>
      <c r="V169" s="259"/>
      <c r="W169" s="259"/>
      <c r="X169" s="259"/>
      <c r="Y169" s="259"/>
      <c r="Z169" s="259"/>
      <c r="AA169" s="259"/>
      <c r="AB169" s="259"/>
      <c r="AC169" s="259"/>
      <c r="AD169" s="259"/>
    </row>
    <row r="170" spans="17:30" x14ac:dyDescent="0.25">
      <c r="Q170" s="259"/>
      <c r="R170" s="259"/>
      <c r="S170" s="259"/>
      <c r="T170" s="259"/>
      <c r="U170" s="259"/>
      <c r="V170" s="259"/>
      <c r="W170" s="259"/>
      <c r="X170" s="259"/>
      <c r="Y170" s="259"/>
      <c r="Z170" s="259"/>
      <c r="AA170" s="259"/>
      <c r="AB170" s="259"/>
      <c r="AC170" s="259"/>
      <c r="AD170" s="259"/>
    </row>
    <row r="171" spans="17:30" x14ac:dyDescent="0.25">
      <c r="Q171" s="259"/>
      <c r="R171" s="259"/>
      <c r="S171" s="259"/>
      <c r="T171" s="259"/>
      <c r="U171" s="259"/>
      <c r="V171" s="259"/>
      <c r="W171" s="259"/>
      <c r="X171" s="259"/>
      <c r="Y171" s="259"/>
      <c r="Z171" s="259"/>
      <c r="AA171" s="259"/>
      <c r="AB171" s="259"/>
      <c r="AC171" s="259"/>
      <c r="AD171" s="259"/>
    </row>
    <row r="172" spans="17:30" x14ac:dyDescent="0.25">
      <c r="Q172" s="259"/>
      <c r="R172" s="259"/>
      <c r="S172" s="259"/>
      <c r="T172" s="259"/>
      <c r="U172" s="259"/>
      <c r="V172" s="259"/>
      <c r="W172" s="259"/>
      <c r="X172" s="259"/>
      <c r="Y172" s="259"/>
      <c r="Z172" s="259"/>
      <c r="AA172" s="259"/>
      <c r="AB172" s="259"/>
      <c r="AC172" s="259"/>
      <c r="AD172" s="259"/>
    </row>
    <row r="173" spans="17:30" x14ac:dyDescent="0.25">
      <c r="Q173" s="259"/>
      <c r="R173" s="259"/>
      <c r="S173" s="259"/>
      <c r="T173" s="259"/>
      <c r="U173" s="259"/>
      <c r="V173" s="259"/>
      <c r="W173" s="259"/>
      <c r="X173" s="259"/>
      <c r="Y173" s="259"/>
      <c r="Z173" s="259"/>
      <c r="AA173" s="259"/>
      <c r="AB173" s="259"/>
      <c r="AC173" s="259"/>
      <c r="AD173" s="259"/>
    </row>
    <row r="174" spans="17:30" x14ac:dyDescent="0.25">
      <c r="Q174" s="259"/>
      <c r="R174" s="259"/>
      <c r="S174" s="259"/>
      <c r="T174" s="259"/>
      <c r="U174" s="259"/>
      <c r="V174" s="259"/>
      <c r="W174" s="259"/>
      <c r="X174" s="259"/>
      <c r="Y174" s="259"/>
      <c r="Z174" s="259"/>
      <c r="AA174" s="259"/>
      <c r="AB174" s="259"/>
      <c r="AC174" s="259"/>
      <c r="AD174" s="259"/>
    </row>
    <row r="175" spans="17:30" x14ac:dyDescent="0.25">
      <c r="Q175" s="259"/>
      <c r="R175" s="259"/>
      <c r="S175" s="259"/>
      <c r="T175" s="259"/>
      <c r="U175" s="259"/>
      <c r="V175" s="259"/>
      <c r="W175" s="259"/>
      <c r="X175" s="259"/>
      <c r="Y175" s="259"/>
      <c r="Z175" s="259"/>
      <c r="AA175" s="259"/>
      <c r="AB175" s="259"/>
      <c r="AC175" s="259"/>
      <c r="AD175" s="259"/>
    </row>
    <row r="176" spans="17:30" x14ac:dyDescent="0.25">
      <c r="Q176" s="259"/>
      <c r="R176" s="259"/>
      <c r="S176" s="259"/>
      <c r="T176" s="259"/>
      <c r="U176" s="259"/>
      <c r="V176" s="259"/>
      <c r="W176" s="259"/>
      <c r="X176" s="259"/>
      <c r="Y176" s="259"/>
      <c r="Z176" s="259"/>
      <c r="AA176" s="259"/>
      <c r="AB176" s="259"/>
      <c r="AC176" s="259"/>
      <c r="AD176" s="259"/>
    </row>
    <row r="177" spans="17:30" x14ac:dyDescent="0.25">
      <c r="Q177" s="259"/>
      <c r="R177" s="259"/>
      <c r="S177" s="259"/>
      <c r="T177" s="259"/>
      <c r="U177" s="259"/>
      <c r="V177" s="259"/>
      <c r="W177" s="259"/>
      <c r="X177" s="259"/>
      <c r="Y177" s="259"/>
      <c r="Z177" s="259"/>
      <c r="AA177" s="259"/>
      <c r="AB177" s="259"/>
      <c r="AC177" s="259"/>
      <c r="AD177" s="259"/>
    </row>
    <row r="178" spans="17:30" x14ac:dyDescent="0.25">
      <c r="Q178" s="259"/>
      <c r="R178" s="259"/>
      <c r="S178" s="259"/>
      <c r="T178" s="259"/>
      <c r="U178" s="259"/>
      <c r="V178" s="259"/>
      <c r="W178" s="259"/>
      <c r="X178" s="259"/>
      <c r="Y178" s="259"/>
      <c r="Z178" s="259"/>
      <c r="AA178" s="259"/>
      <c r="AB178" s="259"/>
      <c r="AC178" s="259"/>
      <c r="AD178" s="259"/>
    </row>
    <row r="179" spans="17:30" x14ac:dyDescent="0.25">
      <c r="Q179" s="259"/>
      <c r="R179" s="259"/>
      <c r="S179" s="259"/>
      <c r="T179" s="259"/>
      <c r="U179" s="259"/>
      <c r="V179" s="259"/>
      <c r="W179" s="259"/>
      <c r="X179" s="259"/>
      <c r="Y179" s="259"/>
      <c r="Z179" s="259"/>
      <c r="AA179" s="259"/>
      <c r="AB179" s="259"/>
      <c r="AC179" s="259"/>
      <c r="AD179" s="259"/>
    </row>
    <row r="180" spans="17:30" x14ac:dyDescent="0.25">
      <c r="Q180" s="259"/>
      <c r="R180" s="259"/>
      <c r="S180" s="259"/>
      <c r="T180" s="259"/>
      <c r="U180" s="259"/>
      <c r="V180" s="259"/>
      <c r="W180" s="259"/>
      <c r="X180" s="259"/>
      <c r="Y180" s="259"/>
      <c r="Z180" s="259"/>
      <c r="AA180" s="259"/>
      <c r="AB180" s="259"/>
      <c r="AC180" s="259"/>
      <c r="AD180" s="259"/>
    </row>
    <row r="181" spans="17:30" x14ac:dyDescent="0.25">
      <c r="Q181" s="259"/>
      <c r="R181" s="259"/>
      <c r="S181" s="259"/>
      <c r="T181" s="259"/>
      <c r="U181" s="259"/>
      <c r="V181" s="259"/>
      <c r="W181" s="259"/>
      <c r="X181" s="259"/>
      <c r="Y181" s="259"/>
      <c r="Z181" s="259"/>
      <c r="AA181" s="259"/>
      <c r="AB181" s="259"/>
      <c r="AC181" s="259"/>
      <c r="AD181" s="259"/>
    </row>
    <row r="182" spans="17:30" x14ac:dyDescent="0.25">
      <c r="Q182" s="259"/>
      <c r="R182" s="259"/>
      <c r="S182" s="259"/>
      <c r="T182" s="259"/>
      <c r="U182" s="259"/>
      <c r="V182" s="259"/>
      <c r="W182" s="259"/>
      <c r="X182" s="259"/>
      <c r="Y182" s="259"/>
      <c r="Z182" s="259"/>
      <c r="AA182" s="259"/>
      <c r="AB182" s="259"/>
      <c r="AC182" s="259"/>
      <c r="AD182" s="259"/>
    </row>
    <row r="183" spans="17:30" x14ac:dyDescent="0.25">
      <c r="Q183" s="259"/>
      <c r="R183" s="259"/>
      <c r="S183" s="259"/>
      <c r="T183" s="259"/>
      <c r="U183" s="259"/>
      <c r="V183" s="259"/>
      <c r="W183" s="259"/>
      <c r="X183" s="259"/>
      <c r="Y183" s="259"/>
      <c r="Z183" s="259"/>
      <c r="AA183" s="259"/>
      <c r="AB183" s="259"/>
      <c r="AC183" s="259"/>
      <c r="AD183" s="259"/>
    </row>
    <row r="184" spans="17:30" x14ac:dyDescent="0.25">
      <c r="Q184" s="259"/>
      <c r="R184" s="259"/>
      <c r="S184" s="259"/>
      <c r="T184" s="259"/>
      <c r="U184" s="259"/>
      <c r="V184" s="259"/>
      <c r="W184" s="259"/>
      <c r="X184" s="259"/>
      <c r="Y184" s="259"/>
      <c r="Z184" s="259"/>
      <c r="AA184" s="259"/>
      <c r="AB184" s="259"/>
      <c r="AC184" s="259"/>
      <c r="AD184" s="259"/>
    </row>
    <row r="185" spans="17:30" x14ac:dyDescent="0.25">
      <c r="Q185" s="259"/>
      <c r="R185" s="259"/>
      <c r="S185" s="259"/>
      <c r="T185" s="259"/>
      <c r="U185" s="259"/>
      <c r="V185" s="259"/>
      <c r="W185" s="259"/>
      <c r="X185" s="259"/>
      <c r="Y185" s="259"/>
      <c r="Z185" s="259"/>
      <c r="AA185" s="259"/>
      <c r="AB185" s="259"/>
      <c r="AC185" s="259"/>
      <c r="AD185" s="259"/>
    </row>
    <row r="186" spans="17:30" x14ac:dyDescent="0.25">
      <c r="Q186" s="259"/>
      <c r="R186" s="259"/>
      <c r="S186" s="259"/>
      <c r="T186" s="259"/>
      <c r="U186" s="259"/>
      <c r="V186" s="259"/>
      <c r="W186" s="259"/>
      <c r="X186" s="259"/>
      <c r="Y186" s="259"/>
      <c r="Z186" s="259"/>
      <c r="AA186" s="259"/>
      <c r="AB186" s="259"/>
      <c r="AC186" s="259"/>
      <c r="AD186" s="259"/>
    </row>
    <row r="187" spans="17:30" x14ac:dyDescent="0.25">
      <c r="Q187" s="259"/>
      <c r="R187" s="259"/>
      <c r="S187" s="259"/>
      <c r="T187" s="259"/>
      <c r="U187" s="259"/>
      <c r="V187" s="259"/>
      <c r="W187" s="259"/>
      <c r="X187" s="259"/>
      <c r="Y187" s="259"/>
      <c r="Z187" s="259"/>
      <c r="AA187" s="259"/>
      <c r="AB187" s="259"/>
      <c r="AC187" s="259"/>
      <c r="AD187" s="259"/>
    </row>
    <row r="188" spans="17:30" x14ac:dyDescent="0.25">
      <c r="Q188" s="259"/>
      <c r="R188" s="259"/>
      <c r="S188" s="259"/>
      <c r="T188" s="259"/>
      <c r="U188" s="259"/>
      <c r="V188" s="259"/>
      <c r="W188" s="259"/>
      <c r="X188" s="259"/>
      <c r="Y188" s="259"/>
      <c r="Z188" s="259"/>
      <c r="AA188" s="259"/>
      <c r="AB188" s="259"/>
      <c r="AC188" s="259"/>
      <c r="AD188" s="259"/>
    </row>
    <row r="189" spans="17:30" x14ac:dyDescent="0.25">
      <c r="Q189" s="259"/>
      <c r="R189" s="259"/>
      <c r="S189" s="259"/>
      <c r="T189" s="259"/>
      <c r="U189" s="259"/>
      <c r="V189" s="259"/>
      <c r="W189" s="259"/>
      <c r="X189" s="259"/>
      <c r="Y189" s="259"/>
      <c r="Z189" s="259"/>
      <c r="AA189" s="259"/>
      <c r="AB189" s="259"/>
      <c r="AC189" s="259"/>
      <c r="AD189" s="259"/>
    </row>
    <row r="190" spans="17:30" x14ac:dyDescent="0.25">
      <c r="Q190" s="259"/>
      <c r="R190" s="259"/>
      <c r="S190" s="259"/>
      <c r="T190" s="259"/>
      <c r="U190" s="259"/>
      <c r="V190" s="259"/>
      <c r="W190" s="259"/>
      <c r="X190" s="259"/>
      <c r="Y190" s="259"/>
      <c r="Z190" s="259"/>
      <c r="AA190" s="259"/>
      <c r="AB190" s="259"/>
      <c r="AC190" s="259"/>
      <c r="AD190" s="259"/>
    </row>
    <row r="191" spans="17:30" x14ac:dyDescent="0.25">
      <c r="Q191" s="259"/>
      <c r="R191" s="259"/>
      <c r="S191" s="259"/>
      <c r="T191" s="259"/>
      <c r="U191" s="259"/>
      <c r="V191" s="259"/>
      <c r="W191" s="259"/>
      <c r="X191" s="259"/>
      <c r="Y191" s="259"/>
      <c r="Z191" s="259"/>
      <c r="AA191" s="259"/>
      <c r="AB191" s="259"/>
      <c r="AC191" s="259"/>
      <c r="AD191" s="259"/>
    </row>
    <row r="192" spans="17:30" x14ac:dyDescent="0.25">
      <c r="Q192" s="259"/>
      <c r="R192" s="259"/>
      <c r="S192" s="259"/>
      <c r="T192" s="259"/>
      <c r="U192" s="259"/>
      <c r="V192" s="259"/>
      <c r="W192" s="259"/>
      <c r="X192" s="259"/>
      <c r="Y192" s="259"/>
      <c r="Z192" s="259"/>
      <c r="AA192" s="259"/>
      <c r="AB192" s="259"/>
      <c r="AC192" s="259"/>
      <c r="AD192" s="259"/>
    </row>
    <row r="193" spans="17:30" x14ac:dyDescent="0.25">
      <c r="Q193" s="259"/>
      <c r="R193" s="259"/>
      <c r="S193" s="259"/>
      <c r="T193" s="259"/>
      <c r="U193" s="259"/>
      <c r="V193" s="259"/>
      <c r="W193" s="259"/>
      <c r="X193" s="259"/>
      <c r="Y193" s="259"/>
      <c r="Z193" s="259"/>
      <c r="AA193" s="259"/>
      <c r="AB193" s="259"/>
      <c r="AC193" s="259"/>
      <c r="AD193" s="259"/>
    </row>
    <row r="194" spans="17:30" x14ac:dyDescent="0.25">
      <c r="Q194" s="259"/>
      <c r="R194" s="259"/>
      <c r="S194" s="259"/>
      <c r="T194" s="259"/>
      <c r="U194" s="259"/>
      <c r="V194" s="259"/>
      <c r="W194" s="259"/>
      <c r="X194" s="259"/>
      <c r="Y194" s="259"/>
      <c r="Z194" s="259"/>
      <c r="AA194" s="259"/>
      <c r="AB194" s="259"/>
      <c r="AC194" s="259"/>
      <c r="AD194" s="259"/>
    </row>
    <row r="195" spans="17:30" x14ac:dyDescent="0.25">
      <c r="Q195" s="259"/>
      <c r="R195" s="259"/>
      <c r="S195" s="259"/>
      <c r="T195" s="259"/>
      <c r="U195" s="259"/>
      <c r="V195" s="259"/>
      <c r="W195" s="259"/>
      <c r="X195" s="259"/>
      <c r="Y195" s="259"/>
      <c r="Z195" s="259"/>
      <c r="AA195" s="259"/>
      <c r="AB195" s="259"/>
      <c r="AC195" s="259"/>
      <c r="AD195" s="259"/>
    </row>
    <row r="196" spans="17:30" x14ac:dyDescent="0.25">
      <c r="Q196" s="259"/>
      <c r="R196" s="259"/>
      <c r="S196" s="259"/>
      <c r="T196" s="259"/>
      <c r="U196" s="259"/>
      <c r="V196" s="259"/>
      <c r="W196" s="259"/>
      <c r="X196" s="259"/>
      <c r="Y196" s="259"/>
      <c r="Z196" s="259"/>
      <c r="AA196" s="259"/>
      <c r="AB196" s="259"/>
      <c r="AC196" s="259"/>
      <c r="AD196" s="259"/>
    </row>
    <row r="197" spans="17:30" x14ac:dyDescent="0.25">
      <c r="Q197" s="259"/>
      <c r="R197" s="259"/>
      <c r="S197" s="259"/>
      <c r="T197" s="259"/>
      <c r="U197" s="259"/>
      <c r="V197" s="259"/>
      <c r="W197" s="259"/>
      <c r="X197" s="259"/>
      <c r="Y197" s="259"/>
      <c r="Z197" s="259"/>
      <c r="AA197" s="259"/>
      <c r="AB197" s="259"/>
      <c r="AC197" s="259"/>
      <c r="AD197" s="259"/>
    </row>
    <row r="198" spans="17:30" x14ac:dyDescent="0.25">
      <c r="Q198" s="259"/>
      <c r="R198" s="259"/>
      <c r="S198" s="259"/>
      <c r="T198" s="259"/>
      <c r="U198" s="259"/>
      <c r="V198" s="259"/>
      <c r="W198" s="259"/>
      <c r="X198" s="259"/>
      <c r="Y198" s="259"/>
      <c r="Z198" s="259"/>
      <c r="AA198" s="259"/>
      <c r="AB198" s="259"/>
      <c r="AC198" s="259"/>
      <c r="AD198" s="259"/>
    </row>
    <row r="199" spans="17:30" x14ac:dyDescent="0.25">
      <c r="Q199" s="259"/>
      <c r="R199" s="259"/>
      <c r="S199" s="259"/>
      <c r="T199" s="259"/>
      <c r="U199" s="259"/>
      <c r="V199" s="259"/>
      <c r="W199" s="259"/>
      <c r="X199" s="259"/>
      <c r="Y199" s="259"/>
      <c r="Z199" s="259"/>
      <c r="AA199" s="259"/>
      <c r="AB199" s="259"/>
      <c r="AC199" s="259"/>
      <c r="AD199" s="259"/>
    </row>
    <row r="200" spans="17:30" x14ac:dyDescent="0.25">
      <c r="Q200" s="259"/>
      <c r="R200" s="259"/>
      <c r="S200" s="259"/>
      <c r="T200" s="259"/>
      <c r="U200" s="259"/>
      <c r="V200" s="259"/>
      <c r="W200" s="259"/>
      <c r="X200" s="259"/>
      <c r="Y200" s="259"/>
      <c r="Z200" s="259"/>
      <c r="AA200" s="259"/>
      <c r="AB200" s="259"/>
      <c r="AC200" s="259"/>
      <c r="AD200" s="259"/>
    </row>
    <row r="201" spans="17:30" x14ac:dyDescent="0.25">
      <c r="Q201" s="259"/>
      <c r="R201" s="259"/>
      <c r="S201" s="259"/>
      <c r="T201" s="259"/>
      <c r="U201" s="259"/>
      <c r="V201" s="259"/>
      <c r="W201" s="259"/>
      <c r="X201" s="259"/>
      <c r="Y201" s="259"/>
      <c r="Z201" s="259"/>
      <c r="AA201" s="259"/>
      <c r="AB201" s="259"/>
      <c r="AC201" s="259"/>
      <c r="AD201" s="259"/>
    </row>
    <row r="202" spans="17:30" x14ac:dyDescent="0.25">
      <c r="Q202" s="259"/>
      <c r="R202" s="259"/>
      <c r="S202" s="259"/>
      <c r="T202" s="259"/>
      <c r="U202" s="259"/>
      <c r="V202" s="259"/>
      <c r="W202" s="259"/>
      <c r="X202" s="259"/>
      <c r="Y202" s="259"/>
      <c r="Z202" s="259"/>
      <c r="AA202" s="259"/>
      <c r="AB202" s="259"/>
      <c r="AC202" s="259"/>
      <c r="AD202" s="259"/>
    </row>
    <row r="203" spans="17:30" x14ac:dyDescent="0.25">
      <c r="Q203" s="259"/>
      <c r="R203" s="259"/>
      <c r="S203" s="259"/>
      <c r="T203" s="259"/>
      <c r="U203" s="259"/>
      <c r="V203" s="259"/>
      <c r="W203" s="259"/>
      <c r="X203" s="259"/>
      <c r="Y203" s="259"/>
      <c r="Z203" s="259"/>
      <c r="AA203" s="259"/>
      <c r="AB203" s="259"/>
      <c r="AC203" s="259"/>
      <c r="AD203" s="259"/>
    </row>
    <row r="204" spans="17:30" x14ac:dyDescent="0.25">
      <c r="Q204" s="259"/>
      <c r="R204" s="259"/>
      <c r="S204" s="259"/>
      <c r="T204" s="259"/>
      <c r="U204" s="259"/>
      <c r="V204" s="259"/>
      <c r="W204" s="259"/>
      <c r="X204" s="259"/>
      <c r="Y204" s="259"/>
      <c r="Z204" s="259"/>
      <c r="AA204" s="259"/>
      <c r="AB204" s="259"/>
      <c r="AC204" s="259"/>
      <c r="AD204" s="259"/>
    </row>
    <row r="205" spans="17:30" x14ac:dyDescent="0.25">
      <c r="Q205" s="259"/>
      <c r="R205" s="259"/>
      <c r="S205" s="259"/>
      <c r="T205" s="259"/>
      <c r="U205" s="259"/>
      <c r="V205" s="259"/>
      <c r="W205" s="259"/>
      <c r="X205" s="259"/>
      <c r="Y205" s="259"/>
      <c r="Z205" s="259"/>
      <c r="AA205" s="259"/>
      <c r="AB205" s="259"/>
      <c r="AC205" s="259"/>
      <c r="AD205" s="259"/>
    </row>
    <row r="206" spans="17:30" x14ac:dyDescent="0.25">
      <c r="Q206" s="259"/>
      <c r="R206" s="259"/>
      <c r="S206" s="259"/>
      <c r="T206" s="259"/>
      <c r="U206" s="259"/>
      <c r="V206" s="259"/>
      <c r="W206" s="259"/>
      <c r="X206" s="259"/>
      <c r="Y206" s="259"/>
      <c r="Z206" s="259"/>
      <c r="AA206" s="259"/>
      <c r="AB206" s="259"/>
      <c r="AC206" s="259"/>
      <c r="AD206" s="259"/>
    </row>
    <row r="207" spans="17:30" x14ac:dyDescent="0.25">
      <c r="Q207" s="259"/>
      <c r="R207" s="259"/>
      <c r="S207" s="259"/>
      <c r="T207" s="259"/>
      <c r="U207" s="259"/>
      <c r="V207" s="259"/>
      <c r="W207" s="259"/>
      <c r="X207" s="259"/>
      <c r="Y207" s="259"/>
      <c r="Z207" s="259"/>
      <c r="AA207" s="259"/>
      <c r="AB207" s="259"/>
      <c r="AC207" s="259"/>
      <c r="AD207" s="259"/>
    </row>
    <row r="208" spans="17:30" x14ac:dyDescent="0.25">
      <c r="Q208" s="259"/>
      <c r="R208" s="259"/>
      <c r="S208" s="259"/>
      <c r="T208" s="259"/>
      <c r="U208" s="259"/>
      <c r="V208" s="259"/>
      <c r="W208" s="259"/>
      <c r="X208" s="259"/>
      <c r="Y208" s="259"/>
      <c r="Z208" s="259"/>
      <c r="AA208" s="259"/>
      <c r="AB208" s="259"/>
      <c r="AC208" s="259"/>
      <c r="AD208" s="259"/>
    </row>
    <row r="209" spans="17:30" x14ac:dyDescent="0.25">
      <c r="Q209" s="259"/>
      <c r="R209" s="259"/>
      <c r="S209" s="259"/>
      <c r="T209" s="259"/>
      <c r="U209" s="259"/>
      <c r="V209" s="259"/>
      <c r="W209" s="259"/>
      <c r="X209" s="259"/>
      <c r="Y209" s="259"/>
      <c r="Z209" s="259"/>
      <c r="AA209" s="259"/>
      <c r="AB209" s="259"/>
      <c r="AC209" s="259"/>
      <c r="AD209" s="259"/>
    </row>
    <row r="210" spans="17:30" x14ac:dyDescent="0.25">
      <c r="Q210" s="259"/>
      <c r="R210" s="259"/>
      <c r="S210" s="259"/>
      <c r="T210" s="259"/>
      <c r="U210" s="259"/>
      <c r="V210" s="259"/>
      <c r="W210" s="259"/>
      <c r="X210" s="259"/>
      <c r="Y210" s="259"/>
      <c r="Z210" s="259"/>
      <c r="AA210" s="259"/>
      <c r="AB210" s="259"/>
      <c r="AC210" s="259"/>
      <c r="AD210" s="259"/>
    </row>
    <row r="211" spans="17:30" x14ac:dyDescent="0.25">
      <c r="Q211" s="259"/>
      <c r="R211" s="259"/>
      <c r="S211" s="259"/>
      <c r="T211" s="259"/>
      <c r="U211" s="259"/>
      <c r="V211" s="259"/>
      <c r="W211" s="259"/>
      <c r="X211" s="259"/>
      <c r="Y211" s="259"/>
      <c r="Z211" s="259"/>
      <c r="AA211" s="259"/>
      <c r="AB211" s="259"/>
      <c r="AC211" s="259"/>
      <c r="AD211" s="259"/>
    </row>
    <row r="212" spans="17:30" x14ac:dyDescent="0.25">
      <c r="Q212" s="259"/>
      <c r="R212" s="259"/>
      <c r="S212" s="259"/>
      <c r="T212" s="259"/>
      <c r="U212" s="259"/>
      <c r="V212" s="259"/>
      <c r="W212" s="259"/>
      <c r="X212" s="259"/>
      <c r="Y212" s="259"/>
      <c r="Z212" s="259"/>
      <c r="AA212" s="259"/>
      <c r="AB212" s="259"/>
      <c r="AC212" s="259"/>
      <c r="AD212" s="259"/>
    </row>
    <row r="213" spans="17:30" x14ac:dyDescent="0.25">
      <c r="Q213" s="259"/>
      <c r="R213" s="259"/>
      <c r="S213" s="259"/>
      <c r="T213" s="259"/>
      <c r="U213" s="259"/>
      <c r="V213" s="259"/>
      <c r="W213" s="259"/>
      <c r="X213" s="259"/>
      <c r="Y213" s="259"/>
      <c r="Z213" s="259"/>
      <c r="AA213" s="259"/>
      <c r="AB213" s="259"/>
      <c r="AC213" s="259"/>
      <c r="AD213" s="259"/>
    </row>
    <row r="214" spans="17:30" x14ac:dyDescent="0.25">
      <c r="Q214" s="259"/>
      <c r="R214" s="259"/>
      <c r="S214" s="259"/>
      <c r="T214" s="259"/>
      <c r="U214" s="259"/>
      <c r="V214" s="259"/>
      <c r="W214" s="259"/>
      <c r="X214" s="259"/>
      <c r="Y214" s="259"/>
      <c r="Z214" s="259"/>
      <c r="AA214" s="259"/>
      <c r="AB214" s="259"/>
      <c r="AC214" s="259"/>
      <c r="AD214" s="259"/>
    </row>
    <row r="215" spans="17:30" x14ac:dyDescent="0.25">
      <c r="Q215" s="259"/>
      <c r="R215" s="259"/>
      <c r="S215" s="259"/>
      <c r="T215" s="259"/>
      <c r="U215" s="259"/>
      <c r="V215" s="259"/>
      <c r="W215" s="259"/>
      <c r="X215" s="259"/>
      <c r="Y215" s="259"/>
      <c r="Z215" s="259"/>
      <c r="AA215" s="259"/>
      <c r="AB215" s="259"/>
      <c r="AC215" s="259"/>
      <c r="AD215" s="259"/>
    </row>
    <row r="216" spans="17:30" x14ac:dyDescent="0.25">
      <c r="Q216" s="259"/>
      <c r="R216" s="259"/>
      <c r="S216" s="259"/>
      <c r="T216" s="259"/>
      <c r="U216" s="259"/>
      <c r="V216" s="259"/>
      <c r="W216" s="259"/>
      <c r="X216" s="259"/>
      <c r="Y216" s="259"/>
      <c r="Z216" s="259"/>
      <c r="AA216" s="259"/>
      <c r="AB216" s="259"/>
      <c r="AC216" s="259"/>
      <c r="AD216" s="259"/>
    </row>
    <row r="217" spans="17:30" x14ac:dyDescent="0.25">
      <c r="Q217" s="259"/>
      <c r="R217" s="259"/>
      <c r="S217" s="259"/>
      <c r="T217" s="259"/>
      <c r="U217" s="259"/>
      <c r="V217" s="259"/>
      <c r="W217" s="259"/>
      <c r="X217" s="259"/>
      <c r="Y217" s="259"/>
      <c r="Z217" s="259"/>
      <c r="AA217" s="259"/>
      <c r="AB217" s="259"/>
      <c r="AC217" s="259"/>
      <c r="AD217" s="259"/>
    </row>
    <row r="218" spans="17:30" x14ac:dyDescent="0.25">
      <c r="Q218" s="259"/>
      <c r="R218" s="259"/>
      <c r="S218" s="259"/>
      <c r="T218" s="259"/>
      <c r="U218" s="259"/>
      <c r="V218" s="259"/>
      <c r="W218" s="259"/>
      <c r="X218" s="259"/>
      <c r="Y218" s="259"/>
      <c r="Z218" s="259"/>
      <c r="AA218" s="259"/>
      <c r="AB218" s="259"/>
      <c r="AC218" s="259"/>
      <c r="AD218" s="259"/>
    </row>
    <row r="219" spans="17:30" x14ac:dyDescent="0.25">
      <c r="Q219" s="259"/>
      <c r="R219" s="259"/>
      <c r="S219" s="259"/>
      <c r="T219" s="259"/>
      <c r="U219" s="259"/>
      <c r="V219" s="259"/>
      <c r="W219" s="259"/>
      <c r="X219" s="259"/>
      <c r="Y219" s="259"/>
      <c r="Z219" s="259"/>
      <c r="AA219" s="259"/>
      <c r="AB219" s="259"/>
      <c r="AC219" s="259"/>
      <c r="AD219" s="259"/>
    </row>
    <row r="220" spans="17:30" x14ac:dyDescent="0.25">
      <c r="Q220" s="259"/>
      <c r="R220" s="259"/>
      <c r="S220" s="259"/>
      <c r="T220" s="259"/>
      <c r="U220" s="259"/>
      <c r="V220" s="259"/>
      <c r="W220" s="259"/>
      <c r="X220" s="259"/>
      <c r="Y220" s="259"/>
      <c r="Z220" s="259"/>
      <c r="AA220" s="259"/>
      <c r="AB220" s="259"/>
      <c r="AC220" s="259"/>
      <c r="AD220" s="259"/>
    </row>
    <row r="221" spans="17:30" x14ac:dyDescent="0.25">
      <c r="Q221" s="259"/>
      <c r="R221" s="259"/>
      <c r="S221" s="259"/>
      <c r="T221" s="259"/>
      <c r="U221" s="259"/>
      <c r="V221" s="259"/>
      <c r="W221" s="259"/>
      <c r="X221" s="259"/>
      <c r="Y221" s="259"/>
      <c r="Z221" s="259"/>
      <c r="AA221" s="259"/>
      <c r="AB221" s="259"/>
      <c r="AC221" s="259"/>
      <c r="AD221" s="259"/>
    </row>
    <row r="222" spans="17:30" x14ac:dyDescent="0.25">
      <c r="Q222" s="259"/>
      <c r="R222" s="259"/>
      <c r="S222" s="259"/>
      <c r="T222" s="259"/>
      <c r="U222" s="259"/>
      <c r="V222" s="259"/>
      <c r="W222" s="259"/>
      <c r="X222" s="259"/>
      <c r="Y222" s="259"/>
      <c r="Z222" s="259"/>
      <c r="AA222" s="259"/>
      <c r="AB222" s="259"/>
      <c r="AC222" s="259"/>
      <c r="AD222" s="259"/>
    </row>
    <row r="223" spans="17:30" x14ac:dyDescent="0.25">
      <c r="Q223" s="259"/>
      <c r="R223" s="259"/>
      <c r="S223" s="259"/>
      <c r="T223" s="259"/>
      <c r="U223" s="259"/>
      <c r="V223" s="259"/>
      <c r="W223" s="259"/>
      <c r="X223" s="259"/>
      <c r="Y223" s="259"/>
      <c r="Z223" s="259"/>
      <c r="AA223" s="259"/>
      <c r="AB223" s="259"/>
      <c r="AC223" s="259"/>
      <c r="AD223" s="259"/>
    </row>
    <row r="224" spans="17:30" x14ac:dyDescent="0.25">
      <c r="Q224" s="259"/>
      <c r="R224" s="259"/>
      <c r="S224" s="259"/>
      <c r="T224" s="259"/>
      <c r="U224" s="259"/>
      <c r="V224" s="259"/>
      <c r="W224" s="259"/>
      <c r="X224" s="259"/>
      <c r="Y224" s="259"/>
      <c r="Z224" s="259"/>
      <c r="AA224" s="259"/>
      <c r="AB224" s="259"/>
      <c r="AC224" s="259"/>
      <c r="AD224" s="259"/>
    </row>
    <row r="225" spans="17:30" x14ac:dyDescent="0.25">
      <c r="Q225" s="259"/>
      <c r="R225" s="259"/>
      <c r="S225" s="259"/>
      <c r="T225" s="259"/>
      <c r="U225" s="259"/>
      <c r="V225" s="259"/>
      <c r="W225" s="259"/>
      <c r="X225" s="259"/>
      <c r="Y225" s="259"/>
      <c r="Z225" s="259"/>
      <c r="AA225" s="259"/>
      <c r="AB225" s="259"/>
      <c r="AC225" s="259"/>
      <c r="AD225" s="259"/>
    </row>
    <row r="226" spans="17:30" x14ac:dyDescent="0.25">
      <c r="Q226" s="259"/>
      <c r="R226" s="259"/>
      <c r="S226" s="259"/>
      <c r="T226" s="259"/>
      <c r="U226" s="259"/>
      <c r="V226" s="259"/>
      <c r="W226" s="259"/>
      <c r="X226" s="259"/>
      <c r="Y226" s="259"/>
      <c r="Z226" s="259"/>
      <c r="AA226" s="259"/>
      <c r="AB226" s="259"/>
      <c r="AC226" s="259"/>
      <c r="AD226" s="259"/>
    </row>
    <row r="227" spans="17:30" x14ac:dyDescent="0.25">
      <c r="Q227" s="259"/>
      <c r="R227" s="259"/>
      <c r="S227" s="259"/>
      <c r="T227" s="259"/>
      <c r="U227" s="259"/>
      <c r="V227" s="259"/>
      <c r="W227" s="259"/>
      <c r="X227" s="259"/>
      <c r="Y227" s="259"/>
      <c r="Z227" s="259"/>
      <c r="AA227" s="259"/>
      <c r="AB227" s="259"/>
      <c r="AC227" s="259"/>
      <c r="AD227" s="259"/>
    </row>
    <row r="228" spans="17:30" x14ac:dyDescent="0.25">
      <c r="Q228" s="259"/>
      <c r="R228" s="259"/>
      <c r="S228" s="259"/>
      <c r="T228" s="259"/>
      <c r="U228" s="259"/>
      <c r="V228" s="259"/>
      <c r="W228" s="259"/>
      <c r="X228" s="259"/>
      <c r="Y228" s="259"/>
      <c r="Z228" s="259"/>
      <c r="AA228" s="259"/>
      <c r="AB228" s="259"/>
      <c r="AC228" s="259"/>
      <c r="AD228" s="259"/>
    </row>
    <row r="229" spans="17:30" x14ac:dyDescent="0.25">
      <c r="Q229" s="259"/>
      <c r="R229" s="259"/>
      <c r="S229" s="259"/>
      <c r="T229" s="259"/>
      <c r="U229" s="259"/>
      <c r="V229" s="259"/>
      <c r="W229" s="259"/>
      <c r="X229" s="259"/>
      <c r="Y229" s="259"/>
      <c r="Z229" s="259"/>
      <c r="AA229" s="259"/>
      <c r="AB229" s="259"/>
      <c r="AC229" s="259"/>
      <c r="AD229" s="259"/>
    </row>
    <row r="230" spans="17:30" x14ac:dyDescent="0.25">
      <c r="Q230" s="259"/>
      <c r="R230" s="259"/>
      <c r="S230" s="259"/>
      <c r="T230" s="259"/>
      <c r="U230" s="259"/>
      <c r="V230" s="259"/>
      <c r="W230" s="259"/>
      <c r="X230" s="259"/>
      <c r="Y230" s="259"/>
      <c r="Z230" s="259"/>
      <c r="AA230" s="259"/>
      <c r="AB230" s="259"/>
      <c r="AC230" s="259"/>
      <c r="AD230" s="259"/>
    </row>
    <row r="231" spans="17:30" x14ac:dyDescent="0.25">
      <c r="Q231" s="259"/>
      <c r="R231" s="259"/>
      <c r="S231" s="259"/>
      <c r="T231" s="259"/>
      <c r="U231" s="259"/>
      <c r="V231" s="259"/>
      <c r="W231" s="259"/>
      <c r="X231" s="259"/>
      <c r="Y231" s="259"/>
      <c r="Z231" s="259"/>
      <c r="AA231" s="259"/>
      <c r="AB231" s="259"/>
      <c r="AC231" s="259"/>
      <c r="AD231" s="259"/>
    </row>
    <row r="232" spans="17:30" x14ac:dyDescent="0.25">
      <c r="Q232" s="259"/>
      <c r="R232" s="259"/>
      <c r="S232" s="259"/>
      <c r="T232" s="259"/>
      <c r="U232" s="259"/>
      <c r="V232" s="259"/>
      <c r="W232" s="259"/>
      <c r="X232" s="259"/>
      <c r="Y232" s="259"/>
      <c r="Z232" s="259"/>
      <c r="AA232" s="259"/>
      <c r="AB232" s="259"/>
      <c r="AC232" s="259"/>
      <c r="AD232" s="259"/>
    </row>
    <row r="233" spans="17:30" x14ac:dyDescent="0.25">
      <c r="Q233" s="259"/>
      <c r="R233" s="259"/>
      <c r="S233" s="259"/>
      <c r="T233" s="259"/>
      <c r="U233" s="259"/>
      <c r="V233" s="259"/>
      <c r="W233" s="259"/>
      <c r="X233" s="259"/>
      <c r="Y233" s="259"/>
      <c r="Z233" s="259"/>
      <c r="AA233" s="259"/>
      <c r="AB233" s="259"/>
      <c r="AC233" s="259"/>
      <c r="AD233" s="259"/>
    </row>
    <row r="234" spans="17:30" x14ac:dyDescent="0.25">
      <c r="Q234" s="259"/>
      <c r="R234" s="259"/>
      <c r="S234" s="259"/>
      <c r="T234" s="259"/>
      <c r="U234" s="259"/>
      <c r="V234" s="259"/>
      <c r="W234" s="259"/>
      <c r="X234" s="259"/>
      <c r="Y234" s="259"/>
      <c r="Z234" s="259"/>
      <c r="AA234" s="259"/>
      <c r="AB234" s="259"/>
      <c r="AC234" s="259"/>
      <c r="AD234" s="259"/>
    </row>
    <row r="235" spans="17:30" x14ac:dyDescent="0.25">
      <c r="Q235" s="259"/>
      <c r="R235" s="259"/>
      <c r="S235" s="259"/>
      <c r="T235" s="259"/>
      <c r="U235" s="259"/>
      <c r="V235" s="259"/>
      <c r="W235" s="259"/>
      <c r="X235" s="259"/>
      <c r="Y235" s="259"/>
      <c r="Z235" s="259"/>
      <c r="AA235" s="259"/>
      <c r="AB235" s="259"/>
      <c r="AC235" s="259"/>
      <c r="AD235" s="259"/>
    </row>
    <row r="236" spans="17:30" x14ac:dyDescent="0.25">
      <c r="Q236" s="259"/>
      <c r="R236" s="259"/>
      <c r="S236" s="259"/>
      <c r="T236" s="259"/>
      <c r="U236" s="259"/>
      <c r="V236" s="259"/>
      <c r="W236" s="259"/>
      <c r="X236" s="259"/>
      <c r="Y236" s="259"/>
      <c r="Z236" s="259"/>
      <c r="AA236" s="259"/>
      <c r="AB236" s="259"/>
      <c r="AC236" s="259"/>
      <c r="AD236" s="259"/>
    </row>
    <row r="237" spans="17:30" x14ac:dyDescent="0.25">
      <c r="Q237" s="259"/>
      <c r="R237" s="259"/>
      <c r="S237" s="259"/>
      <c r="T237" s="259"/>
      <c r="U237" s="259"/>
      <c r="V237" s="259"/>
      <c r="W237" s="259"/>
      <c r="X237" s="259"/>
      <c r="Y237" s="259"/>
      <c r="Z237" s="259"/>
      <c r="AA237" s="259"/>
      <c r="AB237" s="259"/>
      <c r="AC237" s="259"/>
      <c r="AD237" s="259"/>
    </row>
    <row r="238" spans="17:30" x14ac:dyDescent="0.25">
      <c r="Q238" s="259"/>
      <c r="R238" s="259"/>
      <c r="S238" s="259"/>
      <c r="T238" s="259"/>
      <c r="U238" s="259"/>
      <c r="V238" s="259"/>
      <c r="W238" s="259"/>
      <c r="X238" s="259"/>
      <c r="Y238" s="259"/>
      <c r="Z238" s="259"/>
      <c r="AA238" s="259"/>
      <c r="AB238" s="259"/>
      <c r="AC238" s="259"/>
      <c r="AD238" s="259"/>
    </row>
    <row r="239" spans="17:30" x14ac:dyDescent="0.25">
      <c r="Q239" s="259"/>
      <c r="R239" s="259"/>
      <c r="S239" s="259"/>
      <c r="T239" s="259"/>
      <c r="U239" s="259"/>
      <c r="V239" s="259"/>
      <c r="W239" s="259"/>
      <c r="X239" s="259"/>
      <c r="Y239" s="259"/>
      <c r="Z239" s="259"/>
      <c r="AA239" s="259"/>
      <c r="AB239" s="259"/>
      <c r="AC239" s="259"/>
      <c r="AD239" s="259"/>
    </row>
    <row r="240" spans="17:30" x14ac:dyDescent="0.25">
      <c r="Q240" s="259"/>
      <c r="R240" s="259"/>
      <c r="S240" s="259"/>
      <c r="T240" s="259"/>
      <c r="U240" s="259"/>
      <c r="V240" s="259"/>
      <c r="W240" s="259"/>
      <c r="X240" s="259"/>
      <c r="Y240" s="259"/>
      <c r="Z240" s="259"/>
      <c r="AA240" s="259"/>
      <c r="AB240" s="259"/>
      <c r="AC240" s="259"/>
      <c r="AD240" s="259"/>
    </row>
    <row r="241" spans="17:30" x14ac:dyDescent="0.25">
      <c r="Q241" s="259"/>
      <c r="R241" s="259"/>
      <c r="S241" s="259"/>
      <c r="T241" s="259"/>
      <c r="U241" s="259"/>
      <c r="V241" s="259"/>
      <c r="W241" s="259"/>
      <c r="X241" s="259"/>
      <c r="Y241" s="259"/>
      <c r="Z241" s="259"/>
      <c r="AA241" s="259"/>
      <c r="AB241" s="259"/>
      <c r="AC241" s="259"/>
      <c r="AD241" s="259"/>
    </row>
    <row r="242" spans="17:30" x14ac:dyDescent="0.25">
      <c r="Q242" s="259"/>
      <c r="R242" s="259"/>
      <c r="S242" s="259"/>
      <c r="T242" s="259"/>
      <c r="U242" s="259"/>
      <c r="V242" s="259"/>
      <c r="W242" s="259"/>
      <c r="X242" s="259"/>
      <c r="Y242" s="259"/>
      <c r="Z242" s="259"/>
      <c r="AA242" s="259"/>
      <c r="AB242" s="259"/>
      <c r="AC242" s="259"/>
      <c r="AD242" s="259"/>
    </row>
    <row r="243" spans="17:30" x14ac:dyDescent="0.25">
      <c r="Q243" s="259"/>
      <c r="R243" s="259"/>
      <c r="S243" s="259"/>
      <c r="T243" s="259"/>
      <c r="U243" s="259"/>
      <c r="V243" s="259"/>
      <c r="W243" s="259"/>
      <c r="X243" s="259"/>
      <c r="Y243" s="259"/>
      <c r="Z243" s="259"/>
      <c r="AA243" s="259"/>
      <c r="AB243" s="259"/>
      <c r="AC243" s="259"/>
      <c r="AD243" s="259"/>
    </row>
    <row r="244" spans="17:30" x14ac:dyDescent="0.25">
      <c r="Q244" s="259"/>
      <c r="R244" s="259"/>
      <c r="S244" s="259"/>
      <c r="T244" s="259"/>
      <c r="U244" s="259"/>
      <c r="V244" s="259"/>
      <c r="W244" s="259"/>
      <c r="X244" s="259"/>
      <c r="Y244" s="259"/>
      <c r="Z244" s="259"/>
      <c r="AA244" s="259"/>
      <c r="AB244" s="259"/>
      <c r="AC244" s="259"/>
      <c r="AD244" s="259"/>
    </row>
    <row r="245" spans="17:30" x14ac:dyDescent="0.25">
      <c r="Q245" s="259"/>
      <c r="R245" s="259"/>
      <c r="S245" s="259"/>
      <c r="T245" s="259"/>
      <c r="U245" s="259"/>
      <c r="V245" s="259"/>
      <c r="W245" s="259"/>
      <c r="X245" s="259"/>
      <c r="Y245" s="259"/>
      <c r="Z245" s="259"/>
      <c r="AA245" s="259"/>
      <c r="AB245" s="259"/>
      <c r="AC245" s="259"/>
      <c r="AD245" s="259"/>
    </row>
    <row r="246" spans="17:30" x14ac:dyDescent="0.25">
      <c r="Q246" s="259"/>
      <c r="R246" s="259"/>
      <c r="S246" s="259"/>
      <c r="T246" s="259"/>
      <c r="U246" s="259"/>
      <c r="V246" s="259"/>
      <c r="W246" s="259"/>
      <c r="X246" s="259"/>
      <c r="Y246" s="259"/>
      <c r="Z246" s="259"/>
      <c r="AA246" s="259"/>
      <c r="AB246" s="259"/>
      <c r="AC246" s="259"/>
      <c r="AD246" s="259"/>
    </row>
    <row r="247" spans="17:30" x14ac:dyDescent="0.25">
      <c r="Q247" s="259"/>
      <c r="R247" s="259"/>
      <c r="S247" s="259"/>
      <c r="T247" s="259"/>
      <c r="U247" s="259"/>
      <c r="V247" s="259"/>
      <c r="W247" s="259"/>
      <c r="X247" s="259"/>
      <c r="Y247" s="259"/>
      <c r="Z247" s="259"/>
      <c r="AA247" s="259"/>
      <c r="AB247" s="259"/>
      <c r="AC247" s="259"/>
      <c r="AD247" s="259"/>
    </row>
    <row r="248" spans="17:30" x14ac:dyDescent="0.25">
      <c r="Q248" s="259"/>
      <c r="R248" s="259"/>
      <c r="S248" s="259"/>
      <c r="T248" s="259"/>
      <c r="U248" s="259"/>
      <c r="V248" s="259"/>
      <c r="W248" s="259"/>
      <c r="X248" s="259"/>
      <c r="Y248" s="259"/>
      <c r="Z248" s="259"/>
      <c r="AA248" s="259"/>
      <c r="AB248" s="259"/>
      <c r="AC248" s="259"/>
      <c r="AD248" s="259"/>
    </row>
    <row r="249" spans="17:30" x14ac:dyDescent="0.25">
      <c r="Q249" s="259"/>
      <c r="R249" s="259"/>
      <c r="S249" s="259"/>
      <c r="T249" s="259"/>
      <c r="U249" s="259"/>
      <c r="V249" s="259"/>
      <c r="W249" s="259"/>
      <c r="X249" s="259"/>
      <c r="Y249" s="259"/>
      <c r="Z249" s="259"/>
      <c r="AA249" s="259"/>
      <c r="AB249" s="259"/>
      <c r="AC249" s="259"/>
      <c r="AD249" s="259"/>
    </row>
    <row r="250" spans="17:30" x14ac:dyDescent="0.25">
      <c r="Q250" s="259"/>
      <c r="R250" s="259"/>
      <c r="S250" s="259"/>
      <c r="T250" s="259"/>
      <c r="U250" s="259"/>
      <c r="V250" s="259"/>
      <c r="W250" s="259"/>
      <c r="X250" s="259"/>
      <c r="Y250" s="259"/>
      <c r="Z250" s="259"/>
      <c r="AA250" s="259"/>
      <c r="AB250" s="259"/>
      <c r="AC250" s="259"/>
      <c r="AD250" s="259"/>
    </row>
    <row r="251" spans="17:30" x14ac:dyDescent="0.25">
      <c r="Q251" s="259"/>
      <c r="R251" s="259"/>
      <c r="S251" s="259"/>
      <c r="T251" s="259"/>
      <c r="U251" s="259"/>
      <c r="V251" s="259"/>
      <c r="W251" s="259"/>
      <c r="X251" s="259"/>
      <c r="Y251" s="259"/>
      <c r="Z251" s="259"/>
      <c r="AA251" s="259"/>
      <c r="AB251" s="259"/>
      <c r="AC251" s="259"/>
      <c r="AD251" s="259"/>
    </row>
    <row r="252" spans="17:30" x14ac:dyDescent="0.25">
      <c r="Q252" s="259"/>
      <c r="R252" s="259"/>
      <c r="S252" s="259"/>
      <c r="T252" s="259"/>
      <c r="U252" s="259"/>
      <c r="V252" s="259"/>
      <c r="W252" s="259"/>
      <c r="X252" s="259"/>
      <c r="Y252" s="259"/>
      <c r="Z252" s="259"/>
      <c r="AA252" s="259"/>
      <c r="AB252" s="259"/>
      <c r="AC252" s="259"/>
      <c r="AD252" s="259"/>
    </row>
    <row r="253" spans="17:30" x14ac:dyDescent="0.25">
      <c r="Q253" s="259"/>
      <c r="R253" s="259"/>
      <c r="S253" s="259"/>
      <c r="T253" s="259"/>
      <c r="U253" s="259"/>
      <c r="V253" s="259"/>
      <c r="W253" s="259"/>
      <c r="X253" s="259"/>
      <c r="Y253" s="259"/>
      <c r="Z253" s="259"/>
      <c r="AA253" s="259"/>
      <c r="AB253" s="259"/>
      <c r="AC253" s="259"/>
      <c r="AD253" s="259"/>
    </row>
    <row r="254" spans="17:30" x14ac:dyDescent="0.25">
      <c r="Q254" s="259"/>
      <c r="R254" s="259"/>
      <c r="S254" s="259"/>
      <c r="T254" s="259"/>
      <c r="U254" s="259"/>
      <c r="V254" s="259"/>
      <c r="W254" s="259"/>
      <c r="X254" s="259"/>
      <c r="Y254" s="259"/>
      <c r="Z254" s="259"/>
      <c r="AA254" s="259"/>
      <c r="AB254" s="259"/>
      <c r="AC254" s="259"/>
      <c r="AD254" s="259"/>
    </row>
    <row r="255" spans="17:30" x14ac:dyDescent="0.25">
      <c r="Q255" s="259"/>
      <c r="R255" s="259"/>
      <c r="S255" s="259"/>
      <c r="T255" s="259"/>
      <c r="U255" s="259"/>
      <c r="V255" s="259"/>
      <c r="W255" s="259"/>
      <c r="X255" s="259"/>
      <c r="Y255" s="259"/>
      <c r="Z255" s="259"/>
      <c r="AA255" s="259"/>
      <c r="AB255" s="259"/>
      <c r="AC255" s="259"/>
      <c r="AD255" s="259"/>
    </row>
    <row r="256" spans="17:30" x14ac:dyDescent="0.25">
      <c r="Q256" s="259"/>
      <c r="R256" s="259"/>
      <c r="S256" s="259"/>
      <c r="T256" s="259"/>
      <c r="U256" s="259"/>
      <c r="V256" s="259"/>
      <c r="W256" s="259"/>
      <c r="X256" s="259"/>
      <c r="Y256" s="259"/>
      <c r="Z256" s="259"/>
      <c r="AA256" s="259"/>
      <c r="AB256" s="259"/>
      <c r="AC256" s="259"/>
      <c r="AD256" s="259"/>
    </row>
    <row r="257" spans="17:30" x14ac:dyDescent="0.25">
      <c r="Q257" s="259"/>
      <c r="R257" s="259"/>
      <c r="S257" s="259"/>
      <c r="T257" s="259"/>
      <c r="U257" s="259"/>
      <c r="V257" s="259"/>
      <c r="W257" s="259"/>
      <c r="X257" s="259"/>
      <c r="Y257" s="259"/>
      <c r="Z257" s="259"/>
      <c r="AA257" s="259"/>
      <c r="AB257" s="259"/>
      <c r="AC257" s="259"/>
      <c r="AD257" s="259"/>
    </row>
    <row r="258" spans="17:30" x14ac:dyDescent="0.25">
      <c r="Q258" s="259"/>
      <c r="R258" s="259"/>
      <c r="S258" s="259"/>
      <c r="T258" s="259"/>
      <c r="U258" s="259"/>
      <c r="V258" s="259"/>
      <c r="W258" s="259"/>
      <c r="X258" s="259"/>
      <c r="Y258" s="259"/>
      <c r="Z258" s="259"/>
      <c r="AA258" s="259"/>
      <c r="AB258" s="259"/>
      <c r="AC258" s="259"/>
      <c r="AD258" s="259"/>
    </row>
    <row r="259" spans="17:30" x14ac:dyDescent="0.25">
      <c r="Q259" s="259"/>
      <c r="R259" s="259"/>
      <c r="S259" s="259"/>
      <c r="T259" s="259"/>
      <c r="U259" s="259"/>
      <c r="V259" s="259"/>
      <c r="W259" s="259"/>
      <c r="X259" s="259"/>
      <c r="Y259" s="259"/>
      <c r="Z259" s="259"/>
      <c r="AA259" s="259"/>
      <c r="AB259" s="259"/>
      <c r="AC259" s="259"/>
      <c r="AD259" s="259"/>
    </row>
    <row r="260" spans="17:30" x14ac:dyDescent="0.25">
      <c r="Q260" s="259"/>
      <c r="R260" s="259"/>
      <c r="S260" s="259"/>
      <c r="T260" s="259"/>
      <c r="U260" s="259"/>
      <c r="V260" s="259"/>
      <c r="W260" s="259"/>
      <c r="X260" s="259"/>
      <c r="Y260" s="259"/>
      <c r="Z260" s="259"/>
      <c r="AA260" s="259"/>
      <c r="AB260" s="259"/>
      <c r="AC260" s="259"/>
      <c r="AD260" s="259"/>
    </row>
    <row r="261" spans="17:30" x14ac:dyDescent="0.25">
      <c r="Q261" s="259"/>
      <c r="R261" s="259"/>
      <c r="S261" s="259"/>
      <c r="T261" s="259"/>
      <c r="U261" s="259"/>
      <c r="V261" s="259"/>
      <c r="W261" s="259"/>
      <c r="X261" s="259"/>
      <c r="Y261" s="259"/>
      <c r="Z261" s="259"/>
      <c r="AA261" s="259"/>
      <c r="AB261" s="259"/>
      <c r="AC261" s="259"/>
      <c r="AD261" s="259"/>
    </row>
    <row r="262" spans="17:30" x14ac:dyDescent="0.25">
      <c r="Q262" s="259"/>
      <c r="R262" s="259"/>
      <c r="S262" s="259"/>
      <c r="T262" s="259"/>
      <c r="U262" s="259"/>
      <c r="V262" s="259"/>
      <c r="W262" s="259"/>
      <c r="X262" s="259"/>
      <c r="Y262" s="259"/>
      <c r="Z262" s="259"/>
      <c r="AA262" s="259"/>
      <c r="AB262" s="259"/>
      <c r="AC262" s="259"/>
      <c r="AD262" s="259"/>
    </row>
    <row r="263" spans="17:30" x14ac:dyDescent="0.25">
      <c r="Q263" s="259"/>
      <c r="R263" s="259"/>
      <c r="S263" s="259"/>
      <c r="T263" s="259"/>
      <c r="U263" s="259"/>
      <c r="V263" s="259"/>
      <c r="W263" s="259"/>
      <c r="X263" s="259"/>
      <c r="Y263" s="259"/>
      <c r="Z263" s="259"/>
      <c r="AA263" s="259"/>
      <c r="AB263" s="259"/>
      <c r="AC263" s="259"/>
      <c r="AD263" s="259"/>
    </row>
    <row r="264" spans="17:30" x14ac:dyDescent="0.25">
      <c r="Q264" s="259"/>
      <c r="R264" s="259"/>
      <c r="S264" s="259"/>
      <c r="T264" s="259"/>
      <c r="U264" s="259"/>
      <c r="V264" s="259"/>
      <c r="W264" s="259"/>
      <c r="X264" s="259"/>
      <c r="Y264" s="259"/>
      <c r="Z264" s="259"/>
      <c r="AA264" s="259"/>
      <c r="AB264" s="259"/>
      <c r="AC264" s="259"/>
      <c r="AD264" s="259"/>
    </row>
    <row r="265" spans="17:30" x14ac:dyDescent="0.25">
      <c r="Q265" s="259"/>
      <c r="R265" s="259"/>
      <c r="S265" s="259"/>
      <c r="T265" s="259"/>
      <c r="U265" s="259"/>
      <c r="V265" s="259"/>
      <c r="W265" s="259"/>
      <c r="X265" s="259"/>
      <c r="Y265" s="259"/>
      <c r="Z265" s="259"/>
      <c r="AA265" s="259"/>
      <c r="AB265" s="259"/>
      <c r="AC265" s="259"/>
      <c r="AD265" s="259"/>
    </row>
    <row r="266" spans="17:30" x14ac:dyDescent="0.25">
      <c r="Q266" s="259"/>
      <c r="R266" s="259"/>
      <c r="S266" s="259"/>
      <c r="T266" s="259"/>
      <c r="U266" s="259"/>
      <c r="V266" s="259"/>
      <c r="W266" s="259"/>
      <c r="X266" s="259"/>
      <c r="Y266" s="259"/>
      <c r="Z266" s="259"/>
      <c r="AA266" s="259"/>
      <c r="AB266" s="259"/>
      <c r="AC266" s="259"/>
      <c r="AD266" s="259"/>
    </row>
    <row r="267" spans="17:30" x14ac:dyDescent="0.25">
      <c r="Q267" s="259"/>
      <c r="R267" s="259"/>
      <c r="S267" s="259"/>
      <c r="T267" s="259"/>
      <c r="U267" s="259"/>
      <c r="V267" s="259"/>
      <c r="W267" s="259"/>
      <c r="X267" s="259"/>
      <c r="Y267" s="259"/>
      <c r="Z267" s="259"/>
      <c r="AA267" s="259"/>
      <c r="AB267" s="259"/>
      <c r="AC267" s="259"/>
      <c r="AD267" s="259"/>
    </row>
    <row r="268" spans="17:30" x14ac:dyDescent="0.25">
      <c r="Q268" s="259"/>
      <c r="R268" s="259"/>
      <c r="S268" s="259"/>
      <c r="T268" s="259"/>
      <c r="U268" s="259"/>
      <c r="V268" s="259"/>
      <c r="W268" s="259"/>
      <c r="X268" s="259"/>
      <c r="Y268" s="259"/>
      <c r="Z268" s="259"/>
      <c r="AA268" s="259"/>
      <c r="AB268" s="259"/>
      <c r="AC268" s="259"/>
      <c r="AD268" s="259"/>
    </row>
    <row r="269" spans="17:30" x14ac:dyDescent="0.25">
      <c r="Q269" s="259"/>
      <c r="R269" s="259"/>
      <c r="S269" s="259"/>
      <c r="T269" s="259"/>
      <c r="U269" s="259"/>
      <c r="V269" s="259"/>
      <c r="W269" s="259"/>
      <c r="X269" s="259"/>
      <c r="Y269" s="259"/>
      <c r="Z269" s="259"/>
      <c r="AA269" s="259"/>
      <c r="AB269" s="259"/>
      <c r="AC269" s="259"/>
      <c r="AD269" s="259"/>
    </row>
    <row r="270" spans="17:30" x14ac:dyDescent="0.25">
      <c r="Q270" s="259"/>
      <c r="R270" s="259"/>
      <c r="S270" s="259"/>
      <c r="T270" s="259"/>
      <c r="U270" s="259"/>
      <c r="V270" s="259"/>
      <c r="W270" s="259"/>
      <c r="X270" s="259"/>
      <c r="Y270" s="259"/>
      <c r="Z270" s="259"/>
      <c r="AA270" s="259"/>
      <c r="AB270" s="259"/>
      <c r="AC270" s="259"/>
      <c r="AD270" s="259"/>
    </row>
    <row r="271" spans="17:30" x14ac:dyDescent="0.25">
      <c r="Q271" s="259"/>
      <c r="R271" s="259"/>
      <c r="S271" s="259"/>
      <c r="T271" s="259"/>
      <c r="U271" s="259"/>
      <c r="V271" s="259"/>
      <c r="W271" s="259"/>
      <c r="X271" s="259"/>
      <c r="Y271" s="259"/>
      <c r="Z271" s="259"/>
      <c r="AA271" s="259"/>
      <c r="AB271" s="259"/>
      <c r="AC271" s="259"/>
      <c r="AD271" s="259"/>
    </row>
    <row r="272" spans="17:30" x14ac:dyDescent="0.25">
      <c r="Q272" s="259"/>
      <c r="R272" s="259"/>
      <c r="S272" s="259"/>
      <c r="T272" s="259"/>
      <c r="U272" s="259"/>
      <c r="V272" s="259"/>
      <c r="W272" s="259"/>
      <c r="X272" s="259"/>
      <c r="Y272" s="259"/>
      <c r="Z272" s="259"/>
      <c r="AA272" s="259"/>
      <c r="AB272" s="259"/>
      <c r="AC272" s="259"/>
      <c r="AD272" s="259"/>
    </row>
    <row r="273" spans="17:30" x14ac:dyDescent="0.25">
      <c r="Q273" s="259"/>
      <c r="R273" s="259"/>
      <c r="S273" s="259"/>
      <c r="T273" s="259"/>
      <c r="U273" s="259"/>
      <c r="V273" s="259"/>
      <c r="W273" s="259"/>
      <c r="X273" s="259"/>
      <c r="Y273" s="259"/>
      <c r="Z273" s="259"/>
      <c r="AA273" s="259"/>
      <c r="AB273" s="259"/>
      <c r="AC273" s="259"/>
      <c r="AD273" s="259"/>
    </row>
    <row r="274" spans="17:30" x14ac:dyDescent="0.25">
      <c r="Q274" s="259"/>
      <c r="R274" s="259"/>
      <c r="S274" s="259"/>
      <c r="T274" s="259"/>
      <c r="U274" s="259"/>
      <c r="V274" s="259"/>
      <c r="W274" s="259"/>
      <c r="X274" s="259"/>
      <c r="Y274" s="259"/>
      <c r="Z274" s="259"/>
      <c r="AA274" s="259"/>
      <c r="AB274" s="259"/>
      <c r="AC274" s="259"/>
      <c r="AD274" s="259"/>
    </row>
    <row r="275" spans="17:30" x14ac:dyDescent="0.25">
      <c r="Q275" s="259"/>
      <c r="R275" s="259"/>
      <c r="S275" s="259"/>
      <c r="T275" s="259"/>
      <c r="U275" s="259"/>
      <c r="V275" s="259"/>
      <c r="W275" s="259"/>
      <c r="X275" s="259"/>
      <c r="Y275" s="259"/>
      <c r="Z275" s="259"/>
      <c r="AA275" s="259"/>
      <c r="AB275" s="259"/>
      <c r="AC275" s="259"/>
      <c r="AD275" s="259"/>
    </row>
    <row r="276" spans="17:30" x14ac:dyDescent="0.25">
      <c r="Q276" s="259"/>
      <c r="R276" s="259"/>
      <c r="S276" s="259"/>
      <c r="T276" s="259"/>
      <c r="U276" s="259"/>
      <c r="V276" s="259"/>
      <c r="W276" s="259"/>
      <c r="X276" s="259"/>
      <c r="Y276" s="259"/>
      <c r="Z276" s="259"/>
      <c r="AA276" s="259"/>
      <c r="AB276" s="259"/>
      <c r="AC276" s="259"/>
      <c r="AD276" s="259"/>
    </row>
    <row r="277" spans="17:30" x14ac:dyDescent="0.25">
      <c r="Q277" s="259"/>
      <c r="R277" s="259"/>
      <c r="S277" s="259"/>
      <c r="T277" s="259"/>
      <c r="U277" s="259"/>
      <c r="V277" s="259"/>
      <c r="W277" s="259"/>
      <c r="X277" s="259"/>
      <c r="Y277" s="259"/>
      <c r="Z277" s="259"/>
      <c r="AA277" s="259"/>
      <c r="AB277" s="259"/>
      <c r="AC277" s="259"/>
      <c r="AD277" s="259"/>
    </row>
    <row r="278" spans="17:30" x14ac:dyDescent="0.25">
      <c r="Q278" s="259"/>
      <c r="R278" s="259"/>
      <c r="S278" s="259"/>
      <c r="T278" s="259"/>
      <c r="U278" s="259"/>
      <c r="V278" s="259"/>
      <c r="W278" s="259"/>
      <c r="X278" s="259"/>
      <c r="Y278" s="259"/>
      <c r="Z278" s="259"/>
      <c r="AA278" s="259"/>
      <c r="AB278" s="259"/>
      <c r="AC278" s="259"/>
      <c r="AD278" s="259"/>
    </row>
    <row r="279" spans="17:30" x14ac:dyDescent="0.25">
      <c r="Q279" s="259"/>
      <c r="R279" s="259"/>
      <c r="S279" s="259"/>
      <c r="T279" s="259"/>
      <c r="U279" s="259"/>
      <c r="V279" s="259"/>
      <c r="W279" s="259"/>
      <c r="X279" s="259"/>
      <c r="Y279" s="259"/>
      <c r="Z279" s="259"/>
      <c r="AA279" s="259"/>
      <c r="AB279" s="259"/>
      <c r="AC279" s="259"/>
      <c r="AD279" s="259"/>
    </row>
    <row r="280" spans="17:30" x14ac:dyDescent="0.25">
      <c r="Q280" s="259"/>
      <c r="R280" s="259"/>
      <c r="S280" s="259"/>
      <c r="T280" s="259"/>
      <c r="U280" s="259"/>
      <c r="V280" s="259"/>
      <c r="W280" s="259"/>
      <c r="X280" s="259"/>
      <c r="Y280" s="259"/>
      <c r="Z280" s="259"/>
      <c r="AA280" s="259"/>
      <c r="AB280" s="259"/>
      <c r="AC280" s="259"/>
      <c r="AD280" s="259"/>
    </row>
    <row r="281" spans="17:30" x14ac:dyDescent="0.25">
      <c r="Q281" s="259"/>
      <c r="R281" s="259"/>
      <c r="S281" s="259"/>
      <c r="T281" s="259"/>
      <c r="U281" s="259"/>
      <c r="V281" s="259"/>
      <c r="W281" s="259"/>
      <c r="X281" s="259"/>
      <c r="Y281" s="259"/>
      <c r="Z281" s="259"/>
      <c r="AA281" s="259"/>
      <c r="AB281" s="259"/>
      <c r="AC281" s="259"/>
      <c r="AD281" s="259"/>
    </row>
    <row r="282" spans="17:30" x14ac:dyDescent="0.25">
      <c r="Q282" s="259"/>
      <c r="R282" s="259"/>
      <c r="S282" s="259"/>
      <c r="T282" s="259"/>
      <c r="U282" s="259"/>
      <c r="V282" s="259"/>
      <c r="W282" s="259"/>
      <c r="X282" s="259"/>
      <c r="Y282" s="259"/>
      <c r="Z282" s="259"/>
      <c r="AA282" s="259"/>
      <c r="AB282" s="259"/>
      <c r="AC282" s="259"/>
      <c r="AD282" s="259"/>
    </row>
    <row r="283" spans="17:30" x14ac:dyDescent="0.25">
      <c r="Q283" s="259"/>
      <c r="R283" s="259"/>
      <c r="S283" s="259"/>
      <c r="T283" s="259"/>
      <c r="U283" s="259"/>
      <c r="V283" s="259"/>
      <c r="W283" s="259"/>
      <c r="X283" s="259"/>
      <c r="Y283" s="259"/>
      <c r="Z283" s="259"/>
      <c r="AA283" s="259"/>
      <c r="AB283" s="259"/>
      <c r="AC283" s="259"/>
      <c r="AD283" s="259"/>
    </row>
    <row r="284" spans="17:30" x14ac:dyDescent="0.25">
      <c r="Q284" s="259"/>
      <c r="R284" s="259"/>
      <c r="S284" s="259"/>
      <c r="T284" s="259"/>
      <c r="U284" s="259"/>
      <c r="V284" s="259"/>
      <c r="W284" s="259"/>
      <c r="X284" s="259"/>
      <c r="Y284" s="259"/>
      <c r="Z284" s="259"/>
      <c r="AA284" s="259"/>
      <c r="AB284" s="259"/>
      <c r="AC284" s="259"/>
      <c r="AD284" s="259"/>
    </row>
    <row r="285" spans="17:30" x14ac:dyDescent="0.25">
      <c r="Q285" s="259"/>
      <c r="R285" s="259"/>
      <c r="S285" s="259"/>
      <c r="T285" s="259"/>
      <c r="U285" s="259"/>
      <c r="V285" s="259"/>
      <c r="W285" s="259"/>
      <c r="X285" s="259"/>
      <c r="Y285" s="259"/>
      <c r="Z285" s="259"/>
      <c r="AA285" s="259"/>
      <c r="AB285" s="259"/>
      <c r="AC285" s="259"/>
      <c r="AD285" s="259"/>
    </row>
    <row r="286" spans="17:30" x14ac:dyDescent="0.25">
      <c r="Q286" s="259"/>
      <c r="R286" s="259"/>
      <c r="S286" s="259"/>
      <c r="T286" s="259"/>
      <c r="U286" s="259"/>
      <c r="V286" s="259"/>
      <c r="W286" s="259"/>
      <c r="X286" s="259"/>
      <c r="Y286" s="259"/>
      <c r="Z286" s="259"/>
      <c r="AA286" s="259"/>
      <c r="AB286" s="259"/>
      <c r="AC286" s="259"/>
      <c r="AD286" s="259"/>
    </row>
    <row r="287" spans="17:30" x14ac:dyDescent="0.25">
      <c r="Q287" s="259"/>
      <c r="R287" s="259"/>
      <c r="S287" s="259"/>
      <c r="T287" s="259"/>
      <c r="U287" s="259"/>
      <c r="V287" s="259"/>
      <c r="W287" s="259"/>
      <c r="X287" s="259"/>
      <c r="Y287" s="259"/>
      <c r="Z287" s="259"/>
      <c r="AA287" s="259"/>
      <c r="AB287" s="259"/>
      <c r="AC287" s="259"/>
      <c r="AD287" s="259"/>
    </row>
    <row r="288" spans="17:30" x14ac:dyDescent="0.25">
      <c r="Q288" s="259"/>
      <c r="R288" s="259"/>
      <c r="S288" s="259"/>
      <c r="T288" s="259"/>
      <c r="U288" s="259"/>
      <c r="V288" s="259"/>
      <c r="W288" s="259"/>
      <c r="X288" s="259"/>
      <c r="Y288" s="259"/>
      <c r="Z288" s="259"/>
      <c r="AA288" s="259"/>
      <c r="AB288" s="259"/>
      <c r="AC288" s="259"/>
      <c r="AD288" s="259"/>
    </row>
    <row r="289" spans="17:30" x14ac:dyDescent="0.25">
      <c r="Q289" s="259"/>
      <c r="R289" s="259"/>
      <c r="S289" s="259"/>
      <c r="T289" s="259"/>
      <c r="U289" s="259"/>
      <c r="V289" s="259"/>
      <c r="W289" s="259"/>
      <c r="X289" s="259"/>
      <c r="Y289" s="259"/>
      <c r="Z289" s="259"/>
      <c r="AA289" s="259"/>
      <c r="AB289" s="259"/>
      <c r="AC289" s="259"/>
      <c r="AD289" s="259"/>
    </row>
    <row r="290" spans="17:30" x14ac:dyDescent="0.25">
      <c r="Q290" s="259"/>
      <c r="R290" s="259"/>
      <c r="S290" s="259"/>
      <c r="T290" s="259"/>
      <c r="U290" s="259"/>
      <c r="V290" s="259"/>
      <c r="W290" s="259"/>
      <c r="X290" s="259"/>
      <c r="Y290" s="259"/>
      <c r="Z290" s="259"/>
      <c r="AA290" s="259"/>
      <c r="AB290" s="259"/>
      <c r="AC290" s="259"/>
      <c r="AD290" s="259"/>
    </row>
    <row r="291" spans="17:30" x14ac:dyDescent="0.25">
      <c r="Q291" s="259"/>
      <c r="R291" s="259"/>
      <c r="S291" s="259"/>
      <c r="T291" s="259"/>
      <c r="U291" s="259"/>
      <c r="V291" s="259"/>
      <c r="W291" s="259"/>
      <c r="X291" s="259"/>
      <c r="Y291" s="259"/>
      <c r="Z291" s="259"/>
      <c r="AA291" s="259"/>
      <c r="AB291" s="259"/>
      <c r="AC291" s="259"/>
      <c r="AD291" s="259"/>
    </row>
    <row r="292" spans="17:30" x14ac:dyDescent="0.25">
      <c r="Q292" s="259"/>
      <c r="R292" s="259"/>
      <c r="S292" s="259"/>
      <c r="T292" s="259"/>
      <c r="U292" s="259"/>
      <c r="V292" s="259"/>
      <c r="W292" s="259"/>
      <c r="X292" s="259"/>
      <c r="Y292" s="259"/>
      <c r="Z292" s="259"/>
      <c r="AA292" s="259"/>
      <c r="AB292" s="259"/>
      <c r="AC292" s="259"/>
      <c r="AD292" s="259"/>
    </row>
    <row r="293" spans="17:30" x14ac:dyDescent="0.25">
      <c r="Q293" s="259"/>
      <c r="R293" s="259"/>
      <c r="S293" s="259"/>
      <c r="T293" s="259"/>
      <c r="U293" s="259"/>
      <c r="V293" s="259"/>
      <c r="W293" s="259"/>
      <c r="X293" s="259"/>
      <c r="Y293" s="259"/>
      <c r="Z293" s="259"/>
      <c r="AA293" s="259"/>
      <c r="AB293" s="259"/>
      <c r="AC293" s="259"/>
      <c r="AD293" s="259"/>
    </row>
    <row r="294" spans="17:30" x14ac:dyDescent="0.25">
      <c r="Q294" s="259"/>
      <c r="R294" s="259"/>
      <c r="S294" s="259"/>
      <c r="T294" s="259"/>
      <c r="U294" s="259"/>
      <c r="V294" s="259"/>
      <c r="W294" s="259"/>
      <c r="X294" s="259"/>
      <c r="Y294" s="259"/>
      <c r="Z294" s="259"/>
      <c r="AA294" s="259"/>
      <c r="AB294" s="259"/>
      <c r="AC294" s="259"/>
      <c r="AD294" s="259"/>
    </row>
    <row r="295" spans="17:30" x14ac:dyDescent="0.25">
      <c r="Q295" s="259"/>
      <c r="R295" s="259"/>
      <c r="S295" s="259"/>
      <c r="T295" s="259"/>
      <c r="U295" s="259"/>
      <c r="V295" s="259"/>
      <c r="W295" s="259"/>
      <c r="X295" s="259"/>
      <c r="Y295" s="259"/>
      <c r="Z295" s="259"/>
      <c r="AA295" s="259"/>
      <c r="AB295" s="259"/>
      <c r="AC295" s="259"/>
      <c r="AD295" s="259"/>
    </row>
    <row r="296" spans="17:30" x14ac:dyDescent="0.25">
      <c r="Q296" s="259"/>
      <c r="R296" s="259"/>
      <c r="S296" s="259"/>
      <c r="T296" s="259"/>
      <c r="U296" s="259"/>
      <c r="V296" s="259"/>
      <c r="W296" s="259"/>
      <c r="X296" s="259"/>
      <c r="Y296" s="259"/>
      <c r="Z296" s="259"/>
      <c r="AA296" s="259"/>
      <c r="AB296" s="259"/>
      <c r="AC296" s="259"/>
      <c r="AD296" s="259"/>
    </row>
    <row r="297" spans="17:30" x14ac:dyDescent="0.25">
      <c r="Q297" s="259"/>
      <c r="R297" s="259"/>
      <c r="S297" s="259"/>
      <c r="T297" s="259"/>
      <c r="U297" s="259"/>
      <c r="V297" s="259"/>
      <c r="W297" s="259"/>
      <c r="X297" s="259"/>
      <c r="Y297" s="259"/>
      <c r="Z297" s="259"/>
      <c r="AA297" s="259"/>
      <c r="AB297" s="259"/>
      <c r="AC297" s="259"/>
      <c r="AD297" s="259"/>
    </row>
    <row r="298" spans="17:30" x14ac:dyDescent="0.25">
      <c r="Q298" s="259"/>
      <c r="R298" s="259"/>
      <c r="S298" s="259"/>
      <c r="T298" s="259"/>
      <c r="U298" s="259"/>
      <c r="V298" s="259"/>
      <c r="W298" s="259"/>
      <c r="X298" s="259"/>
      <c r="Y298" s="259"/>
      <c r="Z298" s="259"/>
      <c r="AA298" s="259"/>
      <c r="AB298" s="259"/>
      <c r="AC298" s="259"/>
      <c r="AD298" s="259"/>
    </row>
    <row r="299" spans="17:30" x14ac:dyDescent="0.25">
      <c r="Q299" s="259"/>
      <c r="R299" s="259"/>
      <c r="S299" s="259"/>
      <c r="T299" s="259"/>
      <c r="U299" s="259"/>
      <c r="V299" s="259"/>
      <c r="W299" s="259"/>
      <c r="X299" s="259"/>
      <c r="Y299" s="259"/>
      <c r="Z299" s="259"/>
      <c r="AA299" s="259"/>
      <c r="AB299" s="259"/>
      <c r="AC299" s="259"/>
      <c r="AD299" s="259"/>
    </row>
    <row r="300" spans="17:30" x14ac:dyDescent="0.25">
      <c r="Q300" s="259"/>
      <c r="R300" s="259"/>
      <c r="S300" s="259"/>
      <c r="T300" s="259"/>
      <c r="U300" s="259"/>
      <c r="V300" s="259"/>
      <c r="W300" s="259"/>
      <c r="X300" s="259"/>
      <c r="Y300" s="259"/>
      <c r="Z300" s="259"/>
      <c r="AA300" s="259"/>
      <c r="AB300" s="259"/>
      <c r="AC300" s="259"/>
      <c r="AD300" s="259"/>
    </row>
    <row r="301" spans="17:30" x14ac:dyDescent="0.25">
      <c r="Q301" s="259"/>
      <c r="R301" s="259"/>
      <c r="S301" s="259"/>
      <c r="T301" s="259"/>
      <c r="U301" s="259"/>
      <c r="V301" s="259"/>
      <c r="W301" s="259"/>
      <c r="X301" s="259"/>
      <c r="Y301" s="259"/>
      <c r="Z301" s="259"/>
      <c r="AA301" s="259"/>
      <c r="AB301" s="259"/>
      <c r="AC301" s="259"/>
      <c r="AD301" s="259"/>
    </row>
    <row r="302" spans="17:30" x14ac:dyDescent="0.25">
      <c r="Q302" s="259"/>
      <c r="R302" s="259"/>
      <c r="S302" s="259"/>
      <c r="T302" s="259"/>
      <c r="U302" s="259"/>
      <c r="V302" s="259"/>
      <c r="W302" s="259"/>
      <c r="X302" s="259"/>
      <c r="Y302" s="259"/>
      <c r="Z302" s="259"/>
      <c r="AA302" s="259"/>
      <c r="AB302" s="259"/>
      <c r="AC302" s="259"/>
      <c r="AD302" s="259"/>
    </row>
    <row r="303" spans="17:30" x14ac:dyDescent="0.25">
      <c r="Q303" s="259"/>
      <c r="R303" s="259"/>
      <c r="S303" s="259"/>
      <c r="T303" s="259"/>
      <c r="U303" s="259"/>
      <c r="V303" s="259"/>
      <c r="W303" s="259"/>
      <c r="X303" s="259"/>
      <c r="Y303" s="259"/>
      <c r="Z303" s="259"/>
      <c r="AA303" s="259"/>
      <c r="AB303" s="259"/>
      <c r="AC303" s="259"/>
      <c r="AD303" s="259"/>
    </row>
  </sheetData>
  <mergeCells count="108">
    <mergeCell ref="Q38:AD39"/>
    <mergeCell ref="A44:A45"/>
    <mergeCell ref="B44:B45"/>
    <mergeCell ref="Q44:AD45"/>
    <mergeCell ref="A40:A41"/>
    <mergeCell ref="B40:B41"/>
    <mergeCell ref="Q40:AD41"/>
    <mergeCell ref="A42:A43"/>
    <mergeCell ref="B42:B43"/>
    <mergeCell ref="Q42:AD43"/>
    <mergeCell ref="W34:Z35"/>
    <mergeCell ref="AA34:AD35"/>
    <mergeCell ref="Q33:S33"/>
    <mergeCell ref="T33:V33"/>
    <mergeCell ref="Q34:S35"/>
    <mergeCell ref="T34:V35"/>
    <mergeCell ref="A36:A37"/>
    <mergeCell ref="B36:B37"/>
    <mergeCell ref="C36:P36"/>
    <mergeCell ref="Q36:AD36"/>
    <mergeCell ref="Q37:AD37"/>
    <mergeCell ref="Q30:AD30"/>
    <mergeCell ref="A31:AD31"/>
    <mergeCell ref="A32:A33"/>
    <mergeCell ref="B32:B33"/>
    <mergeCell ref="C32:C33"/>
    <mergeCell ref="D32:P32"/>
    <mergeCell ref="Q32:AD32"/>
    <mergeCell ref="W33:Z33"/>
    <mergeCell ref="AA33:AD33"/>
    <mergeCell ref="D28:O28"/>
    <mergeCell ref="P28:P29"/>
    <mergeCell ref="Q28:AD29"/>
    <mergeCell ref="R15:X15"/>
    <mergeCell ref="Y15:Z15"/>
    <mergeCell ref="W17:X17"/>
    <mergeCell ref="Y17:AB17"/>
    <mergeCell ref="A15:B15"/>
    <mergeCell ref="C15:K15"/>
    <mergeCell ref="A24:B24"/>
    <mergeCell ref="A19:AD19"/>
    <mergeCell ref="Q20:AD20"/>
    <mergeCell ref="C20:P20"/>
    <mergeCell ref="A22:B22"/>
    <mergeCell ref="AC17:AD17"/>
    <mergeCell ref="R17:V17"/>
    <mergeCell ref="L15:Q15"/>
    <mergeCell ref="A27:AD27"/>
    <mergeCell ref="A23:B23"/>
    <mergeCell ref="A25:B25"/>
    <mergeCell ref="AA15:AD15"/>
    <mergeCell ref="C16:AB16"/>
    <mergeCell ref="A17:B17"/>
    <mergeCell ref="C17:Q17"/>
    <mergeCell ref="A1:A4"/>
    <mergeCell ref="B1:AA1"/>
    <mergeCell ref="AB1:AD1"/>
    <mergeCell ref="B2:AA2"/>
    <mergeCell ref="AB2:AD2"/>
    <mergeCell ref="B3:AA4"/>
    <mergeCell ref="AB3:AD3"/>
    <mergeCell ref="AB4:AD4"/>
    <mergeCell ref="A11:B13"/>
    <mergeCell ref="D7:H9"/>
    <mergeCell ref="I7:J9"/>
    <mergeCell ref="K7:L9"/>
    <mergeCell ref="O7:P7"/>
    <mergeCell ref="M8:N8"/>
    <mergeCell ref="O8:P8"/>
    <mergeCell ref="M9:N9"/>
    <mergeCell ref="O9:P9"/>
    <mergeCell ref="M7:N7"/>
    <mergeCell ref="A7:B9"/>
    <mergeCell ref="C7:C9"/>
    <mergeCell ref="C11:AD13"/>
    <mergeCell ref="Q50:AD51"/>
    <mergeCell ref="A55:A56"/>
    <mergeCell ref="B55:B56"/>
    <mergeCell ref="C55:P55"/>
    <mergeCell ref="A46:A47"/>
    <mergeCell ref="B46:B47"/>
    <mergeCell ref="Q46:AD47"/>
    <mergeCell ref="A48:A49"/>
    <mergeCell ref="B48:B49"/>
    <mergeCell ref="Q48:AD49"/>
    <mergeCell ref="A28:A29"/>
    <mergeCell ref="B28:C29"/>
    <mergeCell ref="A69:A70"/>
    <mergeCell ref="B69:B70"/>
    <mergeCell ref="A63:A64"/>
    <mergeCell ref="B63:B64"/>
    <mergeCell ref="A65:A66"/>
    <mergeCell ref="B65:B66"/>
    <mergeCell ref="A67:A68"/>
    <mergeCell ref="B67:B68"/>
    <mergeCell ref="A57:A58"/>
    <mergeCell ref="B57:B58"/>
    <mergeCell ref="A59:A60"/>
    <mergeCell ref="B59:B60"/>
    <mergeCell ref="A61:A62"/>
    <mergeCell ref="B61:B62"/>
    <mergeCell ref="A50:A51"/>
    <mergeCell ref="B50:B51"/>
    <mergeCell ref="B30:C30"/>
    <mergeCell ref="A34:A35"/>
    <mergeCell ref="B34:B35"/>
    <mergeCell ref="A38:A39"/>
    <mergeCell ref="B38:B39"/>
  </mergeCells>
  <dataValidations count="4">
    <dataValidation type="list" allowBlank="1" showInputMessage="1" showErrorMessage="1" sqref="C7:C9" xr:uid="{00000000-0002-0000-06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600-000001000000}">
      <formula1>2000</formula1>
    </dataValidation>
    <dataValidation type="textLength" operator="lessThanOrEqual" allowBlank="1" showInputMessage="1" showErrorMessage="1" errorTitle="Máximo 2.000 caracteres" error="Máximo 2.000 caracteres" sqref="W34 Q34" xr:uid="{00000000-0002-0000-0600-000002000000}">
      <formula1>2000</formula1>
    </dataValidation>
    <dataValidation type="textLength" operator="lessThanOrEqual" allowBlank="1" showInputMessage="1" showErrorMessage="1" errorTitle="Máximo 2.000 caracteres" error="Máximo 2.000 caracteres" sqref="Q46:AD51 Q38:AD39 Q40:AD41 Q42:AD43 Q44:AD45" xr:uid="{00000000-0002-0000-0600-000003000000}">
      <formula1>20000</formula1>
    </dataValidation>
  </dataValidations>
  <pageMargins left="0.25" right="0.25" top="1" bottom="1" header="0.3" footer="0.3"/>
  <pageSetup paperSize="9" scale="24"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AO303"/>
  <sheetViews>
    <sheetView showGridLines="0" topLeftCell="H10" zoomScale="60" zoomScaleNormal="60" workbookViewId="0">
      <selection activeCell="O25" sqref="O25"/>
    </sheetView>
  </sheetViews>
  <sheetFormatPr baseColWidth="10" defaultColWidth="10.71093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71093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3" ht="32.25" customHeight="1" thickBot="1" x14ac:dyDescent="0.3">
      <c r="A1" s="351"/>
      <c r="B1" s="354" t="s">
        <v>0</v>
      </c>
      <c r="C1" s="355"/>
      <c r="D1" s="355"/>
      <c r="E1" s="355"/>
      <c r="F1" s="355"/>
      <c r="G1" s="355"/>
      <c r="H1" s="355"/>
      <c r="I1" s="355"/>
      <c r="J1" s="355"/>
      <c r="K1" s="355"/>
      <c r="L1" s="355"/>
      <c r="M1" s="355"/>
      <c r="N1" s="355"/>
      <c r="O1" s="355"/>
      <c r="P1" s="355"/>
      <c r="Q1" s="355"/>
      <c r="R1" s="355"/>
      <c r="S1" s="355"/>
      <c r="T1" s="355"/>
      <c r="U1" s="355"/>
      <c r="V1" s="355"/>
      <c r="W1" s="355"/>
      <c r="X1" s="355"/>
      <c r="Y1" s="355"/>
      <c r="Z1" s="355"/>
      <c r="AA1" s="356"/>
      <c r="AB1" s="357" t="s">
        <v>1</v>
      </c>
      <c r="AC1" s="358"/>
      <c r="AD1" s="359"/>
    </row>
    <row r="2" spans="1:33" ht="30.75" customHeight="1" thickBot="1" x14ac:dyDescent="0.3">
      <c r="A2" s="352"/>
      <c r="B2" s="354" t="s">
        <v>2</v>
      </c>
      <c r="C2" s="355"/>
      <c r="D2" s="355"/>
      <c r="E2" s="355"/>
      <c r="F2" s="355"/>
      <c r="G2" s="355"/>
      <c r="H2" s="355"/>
      <c r="I2" s="355"/>
      <c r="J2" s="355"/>
      <c r="K2" s="355"/>
      <c r="L2" s="355"/>
      <c r="M2" s="355"/>
      <c r="N2" s="355"/>
      <c r="O2" s="355"/>
      <c r="P2" s="355"/>
      <c r="Q2" s="355"/>
      <c r="R2" s="355"/>
      <c r="S2" s="355"/>
      <c r="T2" s="355"/>
      <c r="U2" s="355"/>
      <c r="V2" s="355"/>
      <c r="W2" s="355"/>
      <c r="X2" s="355"/>
      <c r="Y2" s="355"/>
      <c r="Z2" s="355"/>
      <c r="AA2" s="356"/>
      <c r="AB2" s="360" t="s">
        <v>3</v>
      </c>
      <c r="AC2" s="361"/>
      <c r="AD2" s="362"/>
    </row>
    <row r="3" spans="1:33" ht="24" customHeight="1" x14ac:dyDescent="0.25">
      <c r="A3" s="352"/>
      <c r="B3" s="535" t="s">
        <v>4</v>
      </c>
      <c r="C3" s="406"/>
      <c r="D3" s="406"/>
      <c r="E3" s="406"/>
      <c r="F3" s="406"/>
      <c r="G3" s="406"/>
      <c r="H3" s="406"/>
      <c r="I3" s="406"/>
      <c r="J3" s="406"/>
      <c r="K3" s="406"/>
      <c r="L3" s="406"/>
      <c r="M3" s="406"/>
      <c r="N3" s="406"/>
      <c r="O3" s="406"/>
      <c r="P3" s="406"/>
      <c r="Q3" s="406"/>
      <c r="R3" s="406"/>
      <c r="S3" s="406"/>
      <c r="T3" s="406"/>
      <c r="U3" s="406"/>
      <c r="V3" s="406"/>
      <c r="W3" s="406"/>
      <c r="X3" s="406"/>
      <c r="Y3" s="406"/>
      <c r="Z3" s="406"/>
      <c r="AA3" s="407"/>
      <c r="AB3" s="360" t="s">
        <v>5</v>
      </c>
      <c r="AC3" s="361"/>
      <c r="AD3" s="362"/>
    </row>
    <row r="4" spans="1:33" ht="21.75" customHeight="1" thickBot="1" x14ac:dyDescent="0.3">
      <c r="A4" s="353"/>
      <c r="B4" s="670"/>
      <c r="C4" s="671"/>
      <c r="D4" s="671"/>
      <c r="E4" s="671"/>
      <c r="F4" s="671"/>
      <c r="G4" s="671"/>
      <c r="H4" s="671"/>
      <c r="I4" s="671"/>
      <c r="J4" s="671"/>
      <c r="K4" s="671"/>
      <c r="L4" s="671"/>
      <c r="M4" s="671"/>
      <c r="N4" s="671"/>
      <c r="O4" s="671"/>
      <c r="P4" s="671"/>
      <c r="Q4" s="671"/>
      <c r="R4" s="671"/>
      <c r="S4" s="671"/>
      <c r="T4" s="671"/>
      <c r="U4" s="671"/>
      <c r="V4" s="671"/>
      <c r="W4" s="671"/>
      <c r="X4" s="671"/>
      <c r="Y4" s="671"/>
      <c r="Z4" s="671"/>
      <c r="AA4" s="672"/>
      <c r="AB4" s="372" t="s">
        <v>6</v>
      </c>
      <c r="AC4" s="373"/>
      <c r="AD4" s="374"/>
    </row>
    <row r="5" spans="1:33" ht="9" customHeight="1" thickBot="1" x14ac:dyDescent="0.3">
      <c r="A5" s="51"/>
      <c r="B5" s="170"/>
      <c r="C5" s="17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3"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3" x14ac:dyDescent="0.25">
      <c r="A7" s="375" t="s">
        <v>7</v>
      </c>
      <c r="B7" s="376"/>
      <c r="C7" s="417" t="s">
        <v>32</v>
      </c>
      <c r="D7" s="381" t="s">
        <v>9</v>
      </c>
      <c r="E7" s="382"/>
      <c r="F7" s="382"/>
      <c r="G7" s="382"/>
      <c r="H7" s="383"/>
      <c r="I7" s="390">
        <v>45083</v>
      </c>
      <c r="J7" s="391"/>
      <c r="K7" s="381" t="s">
        <v>10</v>
      </c>
      <c r="L7" s="383"/>
      <c r="M7" s="415" t="s">
        <v>11</v>
      </c>
      <c r="N7" s="416"/>
      <c r="O7" s="673"/>
      <c r="P7" s="674"/>
      <c r="Q7" s="255"/>
      <c r="R7" s="255"/>
      <c r="S7" s="255"/>
      <c r="T7" s="255"/>
      <c r="U7" s="255"/>
      <c r="V7" s="255"/>
      <c r="W7" s="255"/>
      <c r="X7" s="255"/>
      <c r="Y7" s="255"/>
      <c r="Z7" s="256"/>
      <c r="AA7" s="255"/>
      <c r="AB7" s="255"/>
      <c r="AC7" s="257"/>
      <c r="AD7" s="258"/>
      <c r="AE7" s="259"/>
      <c r="AF7" s="259"/>
      <c r="AG7" s="259"/>
    </row>
    <row r="8" spans="1:33" x14ac:dyDescent="0.25">
      <c r="A8" s="377"/>
      <c r="B8" s="378"/>
      <c r="C8" s="418"/>
      <c r="D8" s="384"/>
      <c r="E8" s="385"/>
      <c r="F8" s="385"/>
      <c r="G8" s="385"/>
      <c r="H8" s="386"/>
      <c r="I8" s="392"/>
      <c r="J8" s="393"/>
      <c r="K8" s="384"/>
      <c r="L8" s="386"/>
      <c r="M8" s="398" t="s">
        <v>12</v>
      </c>
      <c r="N8" s="399"/>
      <c r="O8" s="413"/>
      <c r="P8" s="414"/>
      <c r="Q8" s="255"/>
      <c r="R8" s="255"/>
      <c r="S8" s="255"/>
      <c r="T8" s="255"/>
      <c r="U8" s="255"/>
      <c r="V8" s="255"/>
      <c r="W8" s="255"/>
      <c r="X8" s="255"/>
      <c r="Y8" s="255"/>
      <c r="Z8" s="256"/>
      <c r="AA8" s="255"/>
      <c r="AB8" s="255"/>
      <c r="AC8" s="257"/>
      <c r="AD8" s="258"/>
      <c r="AE8" s="259"/>
      <c r="AF8" s="259"/>
      <c r="AG8" s="259"/>
    </row>
    <row r="9" spans="1:33" ht="15.75" thickBot="1" x14ac:dyDescent="0.3">
      <c r="A9" s="379"/>
      <c r="B9" s="380"/>
      <c r="C9" s="419"/>
      <c r="D9" s="387"/>
      <c r="E9" s="388"/>
      <c r="F9" s="388"/>
      <c r="G9" s="388"/>
      <c r="H9" s="389"/>
      <c r="I9" s="394"/>
      <c r="J9" s="395"/>
      <c r="K9" s="387"/>
      <c r="L9" s="389"/>
      <c r="M9" s="430" t="s">
        <v>13</v>
      </c>
      <c r="N9" s="431"/>
      <c r="O9" s="432" t="s">
        <v>14</v>
      </c>
      <c r="P9" s="433"/>
      <c r="Q9" s="255"/>
      <c r="R9" s="255"/>
      <c r="S9" s="255"/>
      <c r="T9" s="255"/>
      <c r="U9" s="255"/>
      <c r="V9" s="255"/>
      <c r="W9" s="255"/>
      <c r="X9" s="255"/>
      <c r="Y9" s="255"/>
      <c r="Z9" s="256"/>
      <c r="AA9" s="255"/>
      <c r="AB9" s="255"/>
      <c r="AC9" s="257"/>
      <c r="AD9" s="258"/>
      <c r="AE9" s="259"/>
      <c r="AF9" s="259"/>
      <c r="AG9" s="259"/>
    </row>
    <row r="10" spans="1:33" ht="15" customHeight="1" thickBot="1" x14ac:dyDescent="0.3">
      <c r="A10" s="146"/>
      <c r="B10" s="147"/>
      <c r="C10" s="147"/>
      <c r="D10" s="65"/>
      <c r="E10" s="65"/>
      <c r="F10" s="65"/>
      <c r="G10" s="65"/>
      <c r="H10" s="65"/>
      <c r="I10" s="143"/>
      <c r="J10" s="143"/>
      <c r="K10" s="65"/>
      <c r="L10" s="65"/>
      <c r="M10" s="144"/>
      <c r="N10" s="144"/>
      <c r="O10" s="145"/>
      <c r="P10" s="145"/>
      <c r="Q10" s="147"/>
      <c r="R10" s="147"/>
      <c r="S10" s="147"/>
      <c r="T10" s="147"/>
      <c r="U10" s="147"/>
      <c r="V10" s="147"/>
      <c r="W10" s="147"/>
      <c r="X10" s="147"/>
      <c r="Y10" s="147"/>
      <c r="Z10" s="148"/>
      <c r="AA10" s="147"/>
      <c r="AB10" s="147"/>
      <c r="AC10" s="149"/>
      <c r="AD10" s="150"/>
    </row>
    <row r="11" spans="1:33" ht="15" customHeight="1" x14ac:dyDescent="0.25">
      <c r="A11" s="375" t="s">
        <v>15</v>
      </c>
      <c r="B11" s="376"/>
      <c r="C11" s="434" t="s">
        <v>147</v>
      </c>
      <c r="D11" s="435"/>
      <c r="E11" s="435"/>
      <c r="F11" s="435"/>
      <c r="G11" s="435"/>
      <c r="H11" s="435"/>
      <c r="I11" s="435"/>
      <c r="J11" s="435"/>
      <c r="K11" s="435"/>
      <c r="L11" s="435"/>
      <c r="M11" s="435"/>
      <c r="N11" s="435"/>
      <c r="O11" s="435"/>
      <c r="P11" s="435"/>
      <c r="Q11" s="435"/>
      <c r="R11" s="435"/>
      <c r="S11" s="435"/>
      <c r="T11" s="435"/>
      <c r="U11" s="435"/>
      <c r="V11" s="435"/>
      <c r="W11" s="435"/>
      <c r="X11" s="435"/>
      <c r="Y11" s="435"/>
      <c r="Z11" s="435"/>
      <c r="AA11" s="435"/>
      <c r="AB11" s="435"/>
      <c r="AC11" s="435"/>
      <c r="AD11" s="436"/>
    </row>
    <row r="12" spans="1:33" ht="15" customHeight="1" x14ac:dyDescent="0.25">
      <c r="A12" s="377"/>
      <c r="B12" s="378"/>
      <c r="C12" s="437"/>
      <c r="D12" s="438"/>
      <c r="E12" s="438"/>
      <c r="F12" s="438"/>
      <c r="G12" s="438"/>
      <c r="H12" s="438"/>
      <c r="I12" s="438"/>
      <c r="J12" s="438"/>
      <c r="K12" s="438"/>
      <c r="L12" s="438"/>
      <c r="M12" s="438"/>
      <c r="N12" s="438"/>
      <c r="O12" s="438"/>
      <c r="P12" s="438"/>
      <c r="Q12" s="438"/>
      <c r="R12" s="438"/>
      <c r="S12" s="438"/>
      <c r="T12" s="438"/>
      <c r="U12" s="438"/>
      <c r="V12" s="438"/>
      <c r="W12" s="438"/>
      <c r="X12" s="438"/>
      <c r="Y12" s="438"/>
      <c r="Z12" s="438"/>
      <c r="AA12" s="438"/>
      <c r="AB12" s="438"/>
      <c r="AC12" s="438"/>
      <c r="AD12" s="439"/>
    </row>
    <row r="13" spans="1:33" ht="15" customHeight="1" thickBot="1" x14ac:dyDescent="0.3">
      <c r="A13" s="379"/>
      <c r="B13" s="380"/>
      <c r="C13" s="440"/>
      <c r="D13" s="441"/>
      <c r="E13" s="441"/>
      <c r="F13" s="441"/>
      <c r="G13" s="441"/>
      <c r="H13" s="441"/>
      <c r="I13" s="441"/>
      <c r="J13" s="441"/>
      <c r="K13" s="441"/>
      <c r="L13" s="441"/>
      <c r="M13" s="441"/>
      <c r="N13" s="441"/>
      <c r="O13" s="441"/>
      <c r="P13" s="441"/>
      <c r="Q13" s="441"/>
      <c r="R13" s="441"/>
      <c r="S13" s="441"/>
      <c r="T13" s="441"/>
      <c r="U13" s="441"/>
      <c r="V13" s="441"/>
      <c r="W13" s="441"/>
      <c r="X13" s="441"/>
      <c r="Y13" s="441"/>
      <c r="Z13" s="441"/>
      <c r="AA13" s="441"/>
      <c r="AB13" s="441"/>
      <c r="AC13" s="441"/>
      <c r="AD13" s="442"/>
    </row>
    <row r="14" spans="1:33"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3" ht="41.1" customHeight="1" thickBot="1" x14ac:dyDescent="0.3">
      <c r="A15" s="428" t="s">
        <v>17</v>
      </c>
      <c r="B15" s="429"/>
      <c r="C15" s="363" t="s">
        <v>18</v>
      </c>
      <c r="D15" s="364"/>
      <c r="E15" s="364"/>
      <c r="F15" s="364"/>
      <c r="G15" s="364"/>
      <c r="H15" s="364"/>
      <c r="I15" s="364"/>
      <c r="J15" s="364"/>
      <c r="K15" s="365"/>
      <c r="L15" s="423" t="s">
        <v>19</v>
      </c>
      <c r="M15" s="427"/>
      <c r="N15" s="427"/>
      <c r="O15" s="427"/>
      <c r="P15" s="427"/>
      <c r="Q15" s="424"/>
      <c r="R15" s="420" t="s">
        <v>20</v>
      </c>
      <c r="S15" s="421"/>
      <c r="T15" s="421"/>
      <c r="U15" s="421"/>
      <c r="V15" s="421"/>
      <c r="W15" s="421"/>
      <c r="X15" s="422"/>
      <c r="Y15" s="423" t="s">
        <v>21</v>
      </c>
      <c r="Z15" s="424"/>
      <c r="AA15" s="456" t="s">
        <v>597</v>
      </c>
      <c r="AB15" s="457"/>
      <c r="AC15" s="457"/>
      <c r="AD15" s="458"/>
    </row>
    <row r="16" spans="1:33" ht="9" customHeight="1" thickBot="1" x14ac:dyDescent="0.3">
      <c r="A16" s="59"/>
      <c r="B16" s="54"/>
      <c r="C16" s="471"/>
      <c r="D16" s="471"/>
      <c r="E16" s="471"/>
      <c r="F16" s="471"/>
      <c r="G16" s="471"/>
      <c r="H16" s="471"/>
      <c r="I16" s="471"/>
      <c r="J16" s="471"/>
      <c r="K16" s="471"/>
      <c r="L16" s="471"/>
      <c r="M16" s="471"/>
      <c r="N16" s="471"/>
      <c r="O16" s="471"/>
      <c r="P16" s="471"/>
      <c r="Q16" s="471"/>
      <c r="R16" s="471"/>
      <c r="S16" s="471"/>
      <c r="T16" s="471"/>
      <c r="U16" s="471"/>
      <c r="V16" s="471"/>
      <c r="W16" s="471"/>
      <c r="X16" s="471"/>
      <c r="Y16" s="471"/>
      <c r="Z16" s="471"/>
      <c r="AA16" s="471"/>
      <c r="AB16" s="471"/>
      <c r="AC16" s="73"/>
      <c r="AD16" s="74"/>
    </row>
    <row r="17" spans="1:41" s="76" customFormat="1" ht="37.5" customHeight="1" thickBot="1" x14ac:dyDescent="0.3">
      <c r="A17" s="428" t="s">
        <v>22</v>
      </c>
      <c r="B17" s="429"/>
      <c r="C17" s="667" t="s">
        <v>148</v>
      </c>
      <c r="D17" s="668"/>
      <c r="E17" s="668"/>
      <c r="F17" s="668"/>
      <c r="G17" s="668"/>
      <c r="H17" s="668"/>
      <c r="I17" s="668"/>
      <c r="J17" s="668"/>
      <c r="K17" s="668"/>
      <c r="L17" s="668"/>
      <c r="M17" s="668"/>
      <c r="N17" s="668"/>
      <c r="O17" s="668"/>
      <c r="P17" s="668"/>
      <c r="Q17" s="669"/>
      <c r="R17" s="423" t="s">
        <v>24</v>
      </c>
      <c r="S17" s="427"/>
      <c r="T17" s="427"/>
      <c r="U17" s="427"/>
      <c r="V17" s="424"/>
      <c r="W17" s="425">
        <v>1</v>
      </c>
      <c r="X17" s="426"/>
      <c r="Y17" s="427" t="s">
        <v>25</v>
      </c>
      <c r="Z17" s="427"/>
      <c r="AA17" s="427"/>
      <c r="AB17" s="424"/>
      <c r="AC17" s="469">
        <v>0.1</v>
      </c>
      <c r="AD17" s="470"/>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23" t="s">
        <v>26</v>
      </c>
      <c r="B19" s="427"/>
      <c r="C19" s="427"/>
      <c r="D19" s="427"/>
      <c r="E19" s="427"/>
      <c r="F19" s="427"/>
      <c r="G19" s="427"/>
      <c r="H19" s="427"/>
      <c r="I19" s="427"/>
      <c r="J19" s="427"/>
      <c r="K19" s="427"/>
      <c r="L19" s="427"/>
      <c r="M19" s="427"/>
      <c r="N19" s="427"/>
      <c r="O19" s="427"/>
      <c r="P19" s="427"/>
      <c r="Q19" s="427"/>
      <c r="R19" s="427"/>
      <c r="S19" s="427"/>
      <c r="T19" s="427"/>
      <c r="U19" s="427"/>
      <c r="V19" s="427"/>
      <c r="W19" s="427"/>
      <c r="X19" s="427"/>
      <c r="Y19" s="427"/>
      <c r="Z19" s="427"/>
      <c r="AA19" s="427"/>
      <c r="AB19" s="427"/>
      <c r="AC19" s="427"/>
      <c r="AD19" s="424"/>
      <c r="AE19" s="83"/>
      <c r="AF19" s="83"/>
    </row>
    <row r="20" spans="1:41" ht="32.1" customHeight="1" thickBot="1" x14ac:dyDescent="0.3">
      <c r="A20" s="82"/>
      <c r="B20" s="60"/>
      <c r="C20" s="447" t="s">
        <v>27</v>
      </c>
      <c r="D20" s="448"/>
      <c r="E20" s="448"/>
      <c r="F20" s="448"/>
      <c r="G20" s="448"/>
      <c r="H20" s="448"/>
      <c r="I20" s="448"/>
      <c r="J20" s="448"/>
      <c r="K20" s="448"/>
      <c r="L20" s="448"/>
      <c r="M20" s="448"/>
      <c r="N20" s="448"/>
      <c r="O20" s="448"/>
      <c r="P20" s="449"/>
      <c r="Q20" s="444" t="s">
        <v>28</v>
      </c>
      <c r="R20" s="445"/>
      <c r="S20" s="445"/>
      <c r="T20" s="445"/>
      <c r="U20" s="445"/>
      <c r="V20" s="445"/>
      <c r="W20" s="445"/>
      <c r="X20" s="445"/>
      <c r="Y20" s="445"/>
      <c r="Z20" s="445"/>
      <c r="AA20" s="445"/>
      <c r="AB20" s="445"/>
      <c r="AC20" s="445"/>
      <c r="AD20" s="446"/>
      <c r="AE20" s="83"/>
      <c r="AF20" s="83"/>
    </row>
    <row r="21" spans="1:41" ht="32.1" customHeight="1" thickBot="1" x14ac:dyDescent="0.3">
      <c r="A21" s="59"/>
      <c r="B21" s="54"/>
      <c r="C21" s="167" t="s">
        <v>29</v>
      </c>
      <c r="D21" s="168" t="s">
        <v>30</v>
      </c>
      <c r="E21" s="168" t="s">
        <v>31</v>
      </c>
      <c r="F21" s="168" t="s">
        <v>8</v>
      </c>
      <c r="G21" s="168" t="s">
        <v>32</v>
      </c>
      <c r="H21" s="168" t="s">
        <v>33</v>
      </c>
      <c r="I21" s="168" t="s">
        <v>34</v>
      </c>
      <c r="J21" s="168" t="s">
        <v>35</v>
      </c>
      <c r="K21" s="168" t="s">
        <v>36</v>
      </c>
      <c r="L21" s="168" t="s">
        <v>37</v>
      </c>
      <c r="M21" s="168" t="s">
        <v>38</v>
      </c>
      <c r="N21" s="168" t="s">
        <v>39</v>
      </c>
      <c r="O21" s="168" t="s">
        <v>40</v>
      </c>
      <c r="P21" s="169" t="s">
        <v>41</v>
      </c>
      <c r="Q21" s="167" t="s">
        <v>29</v>
      </c>
      <c r="R21" s="168" t="s">
        <v>30</v>
      </c>
      <c r="S21" s="168" t="s">
        <v>31</v>
      </c>
      <c r="T21" s="168" t="s">
        <v>8</v>
      </c>
      <c r="U21" s="168" t="s">
        <v>32</v>
      </c>
      <c r="V21" s="168" t="s">
        <v>33</v>
      </c>
      <c r="W21" s="168" t="s">
        <v>34</v>
      </c>
      <c r="X21" s="168" t="s">
        <v>35</v>
      </c>
      <c r="Y21" s="168" t="s">
        <v>36</v>
      </c>
      <c r="Z21" s="168" t="s">
        <v>37</v>
      </c>
      <c r="AA21" s="168" t="s">
        <v>38</v>
      </c>
      <c r="AB21" s="168" t="s">
        <v>39</v>
      </c>
      <c r="AC21" s="168" t="s">
        <v>40</v>
      </c>
      <c r="AD21" s="169" t="s">
        <v>41</v>
      </c>
      <c r="AE21" s="3"/>
      <c r="AF21" s="3"/>
    </row>
    <row r="22" spans="1:41" ht="32.1" customHeight="1" x14ac:dyDescent="0.25">
      <c r="A22" s="408" t="s">
        <v>42</v>
      </c>
      <c r="B22" s="468"/>
      <c r="C22" s="157"/>
      <c r="D22" s="155"/>
      <c r="E22" s="155"/>
      <c r="F22" s="155"/>
      <c r="G22" s="155"/>
      <c r="H22" s="155"/>
      <c r="I22" s="155"/>
      <c r="J22" s="155"/>
      <c r="K22" s="155"/>
      <c r="L22" s="155"/>
      <c r="M22" s="155"/>
      <c r="N22" s="155"/>
      <c r="O22" s="155">
        <f>SUM(C22:N22)</f>
        <v>0</v>
      </c>
      <c r="P22" s="158"/>
      <c r="Q22" s="178">
        <v>482329867</v>
      </c>
      <c r="R22" s="179">
        <v>8537488</v>
      </c>
      <c r="S22" s="179">
        <v>11658906</v>
      </c>
      <c r="T22" s="179">
        <v>0</v>
      </c>
      <c r="U22" s="179">
        <v>0</v>
      </c>
      <c r="V22" s="179">
        <v>69659690</v>
      </c>
      <c r="W22" s="179">
        <v>0</v>
      </c>
      <c r="X22" s="179">
        <v>0</v>
      </c>
      <c r="Y22" s="179">
        <v>0</v>
      </c>
      <c r="Z22" s="179">
        <v>0</v>
      </c>
      <c r="AA22" s="179">
        <v>0</v>
      </c>
      <c r="AB22" s="179">
        <v>0</v>
      </c>
      <c r="AC22" s="155">
        <f>SUM(Q22:AB22)</f>
        <v>572185951</v>
      </c>
      <c r="AD22" s="161"/>
      <c r="AE22" s="3"/>
      <c r="AF22" s="3"/>
    </row>
    <row r="23" spans="1:41" ht="32.1" customHeight="1" x14ac:dyDescent="0.25">
      <c r="A23" s="409" t="s">
        <v>43</v>
      </c>
      <c r="B23" s="443"/>
      <c r="C23" s="152"/>
      <c r="D23" s="151"/>
      <c r="E23" s="151"/>
      <c r="F23" s="151"/>
      <c r="G23" s="151"/>
      <c r="H23" s="151"/>
      <c r="I23" s="151"/>
      <c r="J23" s="151"/>
      <c r="K23" s="151"/>
      <c r="L23" s="151"/>
      <c r="M23" s="151"/>
      <c r="N23" s="151"/>
      <c r="O23" s="151">
        <f>SUM(C23:N23)</f>
        <v>0</v>
      </c>
      <c r="P23" s="162" t="str">
        <f>IFERROR(O23/(SUMIF(C23:N23,"&gt;0",C22:N22))," ")</f>
        <v xml:space="preserve"> </v>
      </c>
      <c r="Q23" s="176">
        <v>192841617</v>
      </c>
      <c r="R23" s="177">
        <f>408717117-Q23</f>
        <v>215875500</v>
      </c>
      <c r="S23" s="177">
        <f>439908793-Q23-R23</f>
        <v>31191676</v>
      </c>
      <c r="T23" s="177">
        <f>425048360-Q23-R23-S23</f>
        <v>-14860433</v>
      </c>
      <c r="U23" s="177">
        <f>452077686-Q23-R23-S23-T23</f>
        <v>27029326</v>
      </c>
      <c r="V23" s="177"/>
      <c r="W23" s="177"/>
      <c r="X23" s="177"/>
      <c r="Y23" s="177"/>
      <c r="Z23" s="177"/>
      <c r="AA23" s="177"/>
      <c r="AB23" s="177"/>
      <c r="AC23" s="218">
        <f>SUM(Q23:AB23)</f>
        <v>452077686</v>
      </c>
      <c r="AD23" s="160">
        <f>AC23/AC22</f>
        <v>0.79008875560455694</v>
      </c>
      <c r="AE23" s="3"/>
      <c r="AF23" s="3"/>
    </row>
    <row r="24" spans="1:41" ht="32.1" customHeight="1" x14ac:dyDescent="0.25">
      <c r="A24" s="409" t="s">
        <v>44</v>
      </c>
      <c r="B24" s="443"/>
      <c r="C24" s="152">
        <f>1128406</f>
        <v>1128406</v>
      </c>
      <c r="D24" s="151">
        <v>323897</v>
      </c>
      <c r="E24" s="151">
        <v>6000000</v>
      </c>
      <c r="F24" s="151">
        <v>3386148</v>
      </c>
      <c r="G24" s="151">
        <v>5990000</v>
      </c>
      <c r="H24" s="151"/>
      <c r="I24" s="151"/>
      <c r="J24" s="151"/>
      <c r="K24" s="151"/>
      <c r="L24" s="151"/>
      <c r="M24" s="151"/>
      <c r="N24" s="151"/>
      <c r="O24" s="218">
        <f>SUM(C24:N24)</f>
        <v>16828451</v>
      </c>
      <c r="P24" s="156"/>
      <c r="Q24" s="176"/>
      <c r="R24" s="181">
        <v>21074866.0933333</v>
      </c>
      <c r="S24" s="180">
        <v>38101431.693333298</v>
      </c>
      <c r="T24" s="180">
        <v>38767765</v>
      </c>
      <c r="U24" s="180">
        <v>30767765</v>
      </c>
      <c r="V24" s="180">
        <v>44967410</v>
      </c>
      <c r="W24" s="181">
        <v>50815014.493333302</v>
      </c>
      <c r="X24" s="181">
        <v>61097321</v>
      </c>
      <c r="Y24" s="181">
        <v>61097321</v>
      </c>
      <c r="Z24" s="181">
        <v>63097321</v>
      </c>
      <c r="AA24" s="181">
        <v>65097321</v>
      </c>
      <c r="AB24" s="181">
        <v>97302415</v>
      </c>
      <c r="AC24" s="151">
        <f>SUM(Q24:AB24)</f>
        <v>572185951.27999997</v>
      </c>
      <c r="AD24" s="160"/>
      <c r="AE24" s="3"/>
      <c r="AF24" s="3"/>
    </row>
    <row r="25" spans="1:41" ht="32.1" customHeight="1" thickBot="1" x14ac:dyDescent="0.3">
      <c r="A25" s="454" t="s">
        <v>45</v>
      </c>
      <c r="B25" s="455"/>
      <c r="C25" s="153">
        <v>7741652</v>
      </c>
      <c r="D25" s="154">
        <f>9115239-C25</f>
        <v>1373587</v>
      </c>
      <c r="E25" s="154">
        <f>9729443-C25-D25</f>
        <v>614204</v>
      </c>
      <c r="F25" s="154">
        <f>16670260-C25-D25-E25</f>
        <v>6940817</v>
      </c>
      <c r="G25" s="154">
        <f>16828451-C25-D25-E25-F25</f>
        <v>158191</v>
      </c>
      <c r="H25" s="154"/>
      <c r="I25" s="154"/>
      <c r="J25" s="154"/>
      <c r="K25" s="154"/>
      <c r="L25" s="154"/>
      <c r="M25" s="154"/>
      <c r="N25" s="154"/>
      <c r="O25" s="183">
        <f>SUM(C25:N25)</f>
        <v>16828451</v>
      </c>
      <c r="P25" s="159">
        <f>O25/O24</f>
        <v>1</v>
      </c>
      <c r="Q25" s="182"/>
      <c r="R25" s="183">
        <f>3445534</f>
        <v>3445534</v>
      </c>
      <c r="S25" s="183">
        <f>30636224-R25</f>
        <v>27190690</v>
      </c>
      <c r="T25" s="183">
        <f>67744707-R25-S25</f>
        <v>37108483</v>
      </c>
      <c r="U25" s="183">
        <f>108938150-Q25-R25-S25-T25</f>
        <v>41193443</v>
      </c>
      <c r="V25" s="183"/>
      <c r="W25" s="183"/>
      <c r="X25" s="183"/>
      <c r="Y25" s="183"/>
      <c r="Z25" s="183"/>
      <c r="AA25" s="183"/>
      <c r="AB25" s="183"/>
      <c r="AC25" s="154">
        <f>SUM(Q25:AB25)</f>
        <v>108938150</v>
      </c>
      <c r="AD25" s="276">
        <f>AC25/AC24</f>
        <v>0.19038941755962646</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50"/>
    </row>
    <row r="27" spans="1:41" ht="33.75" customHeight="1" x14ac:dyDescent="0.25">
      <c r="A27" s="450" t="s">
        <v>46</v>
      </c>
      <c r="B27" s="451"/>
      <c r="C27" s="452"/>
      <c r="D27" s="452"/>
      <c r="E27" s="452"/>
      <c r="F27" s="452"/>
      <c r="G27" s="452"/>
      <c r="H27" s="452"/>
      <c r="I27" s="452"/>
      <c r="J27" s="452"/>
      <c r="K27" s="452"/>
      <c r="L27" s="452"/>
      <c r="M27" s="452"/>
      <c r="N27" s="452"/>
      <c r="O27" s="452"/>
      <c r="P27" s="452"/>
      <c r="Q27" s="452"/>
      <c r="R27" s="452"/>
      <c r="S27" s="452"/>
      <c r="T27" s="452"/>
      <c r="U27" s="452"/>
      <c r="V27" s="452"/>
      <c r="W27" s="452"/>
      <c r="X27" s="452"/>
      <c r="Y27" s="452"/>
      <c r="Z27" s="452"/>
      <c r="AA27" s="452"/>
      <c r="AB27" s="452"/>
      <c r="AC27" s="452"/>
      <c r="AD27" s="453"/>
    </row>
    <row r="28" spans="1:41" ht="15" customHeight="1" x14ac:dyDescent="0.25">
      <c r="A28" s="459" t="s">
        <v>47</v>
      </c>
      <c r="B28" s="461" t="s">
        <v>48</v>
      </c>
      <c r="C28" s="462"/>
      <c r="D28" s="443" t="s">
        <v>49</v>
      </c>
      <c r="E28" s="465"/>
      <c r="F28" s="465"/>
      <c r="G28" s="465"/>
      <c r="H28" s="465"/>
      <c r="I28" s="465"/>
      <c r="J28" s="465"/>
      <c r="K28" s="465"/>
      <c r="L28" s="465"/>
      <c r="M28" s="465"/>
      <c r="N28" s="465"/>
      <c r="O28" s="466"/>
      <c r="P28" s="411" t="s">
        <v>40</v>
      </c>
      <c r="Q28" s="411" t="s">
        <v>50</v>
      </c>
      <c r="R28" s="411"/>
      <c r="S28" s="411"/>
      <c r="T28" s="411"/>
      <c r="U28" s="411"/>
      <c r="V28" s="411"/>
      <c r="W28" s="411"/>
      <c r="X28" s="411"/>
      <c r="Y28" s="411"/>
      <c r="Z28" s="411"/>
      <c r="AA28" s="411"/>
      <c r="AB28" s="411"/>
      <c r="AC28" s="411"/>
      <c r="AD28" s="467"/>
    </row>
    <row r="29" spans="1:41" ht="27" customHeight="1" x14ac:dyDescent="0.25">
      <c r="A29" s="460"/>
      <c r="B29" s="463"/>
      <c r="C29" s="464"/>
      <c r="D29" s="88" t="s">
        <v>29</v>
      </c>
      <c r="E29" s="88" t="s">
        <v>30</v>
      </c>
      <c r="F29" s="88" t="s">
        <v>31</v>
      </c>
      <c r="G29" s="88" t="s">
        <v>8</v>
      </c>
      <c r="H29" s="88" t="s">
        <v>32</v>
      </c>
      <c r="I29" s="88" t="s">
        <v>33</v>
      </c>
      <c r="J29" s="88" t="s">
        <v>34</v>
      </c>
      <c r="K29" s="88" t="s">
        <v>35</v>
      </c>
      <c r="L29" s="88" t="s">
        <v>36</v>
      </c>
      <c r="M29" s="88" t="s">
        <v>37</v>
      </c>
      <c r="N29" s="88" t="s">
        <v>38</v>
      </c>
      <c r="O29" s="88" t="s">
        <v>39</v>
      </c>
      <c r="P29" s="466"/>
      <c r="Q29" s="411"/>
      <c r="R29" s="411"/>
      <c r="S29" s="411"/>
      <c r="T29" s="411"/>
      <c r="U29" s="411"/>
      <c r="V29" s="411"/>
      <c r="W29" s="411"/>
      <c r="X29" s="411"/>
      <c r="Y29" s="411"/>
      <c r="Z29" s="411"/>
      <c r="AA29" s="411"/>
      <c r="AB29" s="411"/>
      <c r="AC29" s="411"/>
      <c r="AD29" s="467"/>
    </row>
    <row r="30" spans="1:41" ht="137.25" customHeight="1" thickBot="1" x14ac:dyDescent="0.3">
      <c r="A30" s="231" t="s">
        <v>148</v>
      </c>
      <c r="B30" s="546"/>
      <c r="C30" s="547"/>
      <c r="D30" s="89"/>
      <c r="E30" s="89"/>
      <c r="F30" s="89"/>
      <c r="G30" s="89"/>
      <c r="H30" s="89"/>
      <c r="I30" s="89"/>
      <c r="J30" s="89"/>
      <c r="K30" s="89"/>
      <c r="L30" s="89"/>
      <c r="M30" s="89"/>
      <c r="N30" s="89"/>
      <c r="O30" s="89"/>
      <c r="P30" s="86">
        <f>SUM(D30:O30)</f>
        <v>0</v>
      </c>
      <c r="Q30" s="402"/>
      <c r="R30" s="402"/>
      <c r="S30" s="402"/>
      <c r="T30" s="402"/>
      <c r="U30" s="402"/>
      <c r="V30" s="402"/>
      <c r="W30" s="402"/>
      <c r="X30" s="402"/>
      <c r="Y30" s="402"/>
      <c r="Z30" s="402"/>
      <c r="AA30" s="402"/>
      <c r="AB30" s="402"/>
      <c r="AC30" s="402"/>
      <c r="AD30" s="403"/>
    </row>
    <row r="31" spans="1:41" ht="45" customHeight="1" thickBot="1" x14ac:dyDescent="0.3">
      <c r="A31" s="404" t="s">
        <v>52</v>
      </c>
      <c r="B31" s="405"/>
      <c r="C31" s="405"/>
      <c r="D31" s="405"/>
      <c r="E31" s="405"/>
      <c r="F31" s="405"/>
      <c r="G31" s="405"/>
      <c r="H31" s="405"/>
      <c r="I31" s="405"/>
      <c r="J31" s="405"/>
      <c r="K31" s="405"/>
      <c r="L31" s="405"/>
      <c r="M31" s="405"/>
      <c r="N31" s="405"/>
      <c r="O31" s="405"/>
      <c r="P31" s="405"/>
      <c r="Q31" s="405"/>
      <c r="R31" s="405"/>
      <c r="S31" s="405"/>
      <c r="T31" s="405"/>
      <c r="U31" s="405"/>
      <c r="V31" s="405"/>
      <c r="W31" s="405"/>
      <c r="X31" s="405"/>
      <c r="Y31" s="405"/>
      <c r="Z31" s="405"/>
      <c r="AA31" s="405"/>
      <c r="AB31" s="405"/>
      <c r="AC31" s="405"/>
      <c r="AD31" s="734"/>
    </row>
    <row r="32" spans="1:41" ht="23.1" customHeight="1" x14ac:dyDescent="0.25">
      <c r="A32" s="408" t="s">
        <v>53</v>
      </c>
      <c r="B32" s="410" t="s">
        <v>54</v>
      </c>
      <c r="C32" s="468" t="s">
        <v>48</v>
      </c>
      <c r="D32" s="408" t="s">
        <v>55</v>
      </c>
      <c r="E32" s="410"/>
      <c r="F32" s="410"/>
      <c r="G32" s="410"/>
      <c r="H32" s="410"/>
      <c r="I32" s="410"/>
      <c r="J32" s="410"/>
      <c r="K32" s="410"/>
      <c r="L32" s="410"/>
      <c r="M32" s="410"/>
      <c r="N32" s="410"/>
      <c r="O32" s="410"/>
      <c r="P32" s="491"/>
      <c r="Q32" s="408" t="s">
        <v>56</v>
      </c>
      <c r="R32" s="410"/>
      <c r="S32" s="410"/>
      <c r="T32" s="410"/>
      <c r="U32" s="410"/>
      <c r="V32" s="410"/>
      <c r="W32" s="410"/>
      <c r="X32" s="410"/>
      <c r="Y32" s="410"/>
      <c r="Z32" s="410"/>
      <c r="AA32" s="410"/>
      <c r="AB32" s="410"/>
      <c r="AC32" s="410"/>
      <c r="AD32" s="491"/>
      <c r="AG32" s="87"/>
      <c r="AH32" s="87"/>
      <c r="AI32" s="87"/>
      <c r="AJ32" s="87"/>
      <c r="AK32" s="87"/>
      <c r="AL32" s="87"/>
      <c r="AM32" s="87"/>
      <c r="AN32" s="87"/>
      <c r="AO32" s="87"/>
    </row>
    <row r="33" spans="1:41" ht="27" customHeight="1" thickBot="1" x14ac:dyDescent="0.3">
      <c r="A33" s="454"/>
      <c r="B33" s="735"/>
      <c r="C33" s="814"/>
      <c r="D33" s="223" t="s">
        <v>29</v>
      </c>
      <c r="E33" s="239" t="s">
        <v>30</v>
      </c>
      <c r="F33" s="239" t="s">
        <v>31</v>
      </c>
      <c r="G33" s="239" t="s">
        <v>8</v>
      </c>
      <c r="H33" s="239" t="s">
        <v>32</v>
      </c>
      <c r="I33" s="239" t="s">
        <v>33</v>
      </c>
      <c r="J33" s="239" t="s">
        <v>34</v>
      </c>
      <c r="K33" s="239" t="s">
        <v>35</v>
      </c>
      <c r="L33" s="239" t="s">
        <v>36</v>
      </c>
      <c r="M33" s="239" t="s">
        <v>37</v>
      </c>
      <c r="N33" s="239" t="s">
        <v>38</v>
      </c>
      <c r="O33" s="239" t="s">
        <v>39</v>
      </c>
      <c r="P33" s="240" t="s">
        <v>40</v>
      </c>
      <c r="Q33" s="454" t="s">
        <v>57</v>
      </c>
      <c r="R33" s="735"/>
      <c r="S33" s="735"/>
      <c r="T33" s="735" t="s">
        <v>58</v>
      </c>
      <c r="U33" s="735"/>
      <c r="V33" s="735"/>
      <c r="W33" s="662" t="s">
        <v>59</v>
      </c>
      <c r="X33" s="448"/>
      <c r="Y33" s="448"/>
      <c r="Z33" s="730"/>
      <c r="AA33" s="662" t="s">
        <v>60</v>
      </c>
      <c r="AB33" s="448"/>
      <c r="AC33" s="448"/>
      <c r="AD33" s="449"/>
      <c r="AG33" s="87"/>
      <c r="AH33" s="87"/>
      <c r="AI33" s="87"/>
      <c r="AJ33" s="87"/>
      <c r="AK33" s="87"/>
      <c r="AL33" s="87"/>
      <c r="AM33" s="87"/>
      <c r="AN33" s="87"/>
      <c r="AO33" s="87"/>
    </row>
    <row r="34" spans="1:41" ht="92.25" customHeight="1" x14ac:dyDescent="0.25">
      <c r="A34" s="812" t="s">
        <v>148</v>
      </c>
      <c r="B34" s="733">
        <v>0.1</v>
      </c>
      <c r="C34" s="265" t="s">
        <v>61</v>
      </c>
      <c r="D34" s="269">
        <f>D69</f>
        <v>0</v>
      </c>
      <c r="E34" s="254">
        <f t="shared" ref="E34:O34" si="0">E69</f>
        <v>7.5000000000000011E-2</v>
      </c>
      <c r="F34" s="254">
        <f t="shared" si="0"/>
        <v>0.10000000000000002</v>
      </c>
      <c r="G34" s="254">
        <f t="shared" si="0"/>
        <v>6.0000000000000019E-2</v>
      </c>
      <c r="H34" s="254">
        <f t="shared" si="0"/>
        <v>9.0000000000000011E-2</v>
      </c>
      <c r="I34" s="254">
        <f t="shared" si="0"/>
        <v>0.15000000000000002</v>
      </c>
      <c r="J34" s="254">
        <f t="shared" si="0"/>
        <v>0.12500000000000003</v>
      </c>
      <c r="K34" s="254">
        <f t="shared" si="0"/>
        <v>7.5000000000000011E-2</v>
      </c>
      <c r="L34" s="254">
        <f t="shared" si="0"/>
        <v>7.5000000000000011E-2</v>
      </c>
      <c r="M34" s="254">
        <f t="shared" si="0"/>
        <v>7.5000000000000011E-2</v>
      </c>
      <c r="N34" s="254">
        <f t="shared" si="0"/>
        <v>0.125</v>
      </c>
      <c r="O34" s="254">
        <f t="shared" si="0"/>
        <v>4.9999999999999996E-2</v>
      </c>
      <c r="P34" s="268">
        <f>SUM(D34:O34)</f>
        <v>1</v>
      </c>
      <c r="Q34" s="479" t="s">
        <v>585</v>
      </c>
      <c r="R34" s="480"/>
      <c r="S34" s="481"/>
      <c r="T34" s="480" t="s">
        <v>586</v>
      </c>
      <c r="U34" s="480"/>
      <c r="V34" s="481"/>
      <c r="W34" s="479" t="s">
        <v>149</v>
      </c>
      <c r="X34" s="480"/>
      <c r="Y34" s="480"/>
      <c r="Z34" s="481"/>
      <c r="AA34" s="479" t="s">
        <v>150</v>
      </c>
      <c r="AB34" s="480"/>
      <c r="AC34" s="480"/>
      <c r="AD34" s="485"/>
      <c r="AG34" s="87"/>
      <c r="AH34" s="87"/>
      <c r="AI34" s="87"/>
      <c r="AJ34" s="87"/>
      <c r="AK34" s="87"/>
      <c r="AL34" s="87"/>
      <c r="AM34" s="87"/>
      <c r="AN34" s="87"/>
      <c r="AO34" s="87"/>
    </row>
    <row r="35" spans="1:41" ht="92.25" customHeight="1" thickBot="1" x14ac:dyDescent="0.3">
      <c r="A35" s="476"/>
      <c r="B35" s="813"/>
      <c r="C35" s="266" t="s">
        <v>62</v>
      </c>
      <c r="D35" s="267">
        <f>D66</f>
        <v>0</v>
      </c>
      <c r="E35" s="224">
        <f t="shared" ref="E35:O35" si="1">E66</f>
        <v>7.5000000000000011E-2</v>
      </c>
      <c r="F35" s="224">
        <f t="shared" si="1"/>
        <v>0.10000000000000002</v>
      </c>
      <c r="G35" s="224">
        <f t="shared" si="1"/>
        <v>0.10000000000000002</v>
      </c>
      <c r="H35" s="224">
        <f t="shared" si="1"/>
        <v>0.10000000000000002</v>
      </c>
      <c r="I35" s="224">
        <f t="shared" si="1"/>
        <v>0</v>
      </c>
      <c r="J35" s="224">
        <f t="shared" si="1"/>
        <v>0</v>
      </c>
      <c r="K35" s="224">
        <f t="shared" si="1"/>
        <v>0</v>
      </c>
      <c r="L35" s="224">
        <f t="shared" si="1"/>
        <v>0</v>
      </c>
      <c r="M35" s="224">
        <f t="shared" si="1"/>
        <v>0</v>
      </c>
      <c r="N35" s="224">
        <f t="shared" si="1"/>
        <v>0</v>
      </c>
      <c r="O35" s="224">
        <f t="shared" si="1"/>
        <v>0</v>
      </c>
      <c r="P35" s="235">
        <f>SUM(D35:O35)</f>
        <v>0.37500000000000011</v>
      </c>
      <c r="Q35" s="482"/>
      <c r="R35" s="483"/>
      <c r="S35" s="484"/>
      <c r="T35" s="483"/>
      <c r="U35" s="483"/>
      <c r="V35" s="484"/>
      <c r="W35" s="482"/>
      <c r="X35" s="483"/>
      <c r="Y35" s="483"/>
      <c r="Z35" s="484"/>
      <c r="AA35" s="482"/>
      <c r="AB35" s="483"/>
      <c r="AC35" s="483"/>
      <c r="AD35" s="486"/>
      <c r="AE35" s="49"/>
      <c r="AG35" s="87"/>
      <c r="AH35" s="87"/>
      <c r="AI35" s="87"/>
      <c r="AJ35" s="87"/>
      <c r="AK35" s="87"/>
      <c r="AL35" s="87"/>
      <c r="AM35" s="87"/>
      <c r="AN35" s="87"/>
      <c r="AO35" s="87"/>
    </row>
    <row r="36" spans="1:41" ht="26.1" customHeight="1" x14ac:dyDescent="0.25">
      <c r="A36" s="509" t="s">
        <v>63</v>
      </c>
      <c r="B36" s="661" t="s">
        <v>64</v>
      </c>
      <c r="C36" s="408" t="s">
        <v>65</v>
      </c>
      <c r="D36" s="410"/>
      <c r="E36" s="410"/>
      <c r="F36" s="410"/>
      <c r="G36" s="410"/>
      <c r="H36" s="410"/>
      <c r="I36" s="410"/>
      <c r="J36" s="410"/>
      <c r="K36" s="410"/>
      <c r="L36" s="410"/>
      <c r="M36" s="410"/>
      <c r="N36" s="410"/>
      <c r="O36" s="410"/>
      <c r="P36" s="491"/>
      <c r="Q36" s="511" t="s">
        <v>66</v>
      </c>
      <c r="R36" s="512"/>
      <c r="S36" s="512"/>
      <c r="T36" s="512"/>
      <c r="U36" s="512"/>
      <c r="V36" s="512"/>
      <c r="W36" s="512"/>
      <c r="X36" s="512"/>
      <c r="Y36" s="512"/>
      <c r="Z36" s="512"/>
      <c r="AA36" s="512"/>
      <c r="AB36" s="512"/>
      <c r="AC36" s="512"/>
      <c r="AD36" s="513"/>
      <c r="AG36" s="87"/>
      <c r="AH36" s="87"/>
      <c r="AI36" s="87"/>
      <c r="AJ36" s="87"/>
      <c r="AK36" s="87"/>
      <c r="AL36" s="87"/>
      <c r="AM36" s="87"/>
      <c r="AN36" s="87"/>
      <c r="AO36" s="87"/>
    </row>
    <row r="37" spans="1:41" ht="45.75" customHeight="1" thickBot="1" x14ac:dyDescent="0.3">
      <c r="A37" s="510"/>
      <c r="B37" s="662"/>
      <c r="C37" s="223" t="s">
        <v>67</v>
      </c>
      <c r="D37" s="239" t="s">
        <v>68</v>
      </c>
      <c r="E37" s="239" t="s">
        <v>69</v>
      </c>
      <c r="F37" s="239" t="s">
        <v>70</v>
      </c>
      <c r="G37" s="239" t="s">
        <v>71</v>
      </c>
      <c r="H37" s="239" t="s">
        <v>72</v>
      </c>
      <c r="I37" s="239" t="s">
        <v>73</v>
      </c>
      <c r="J37" s="239" t="s">
        <v>74</v>
      </c>
      <c r="K37" s="239" t="s">
        <v>75</v>
      </c>
      <c r="L37" s="239" t="s">
        <v>76</v>
      </c>
      <c r="M37" s="239" t="s">
        <v>77</v>
      </c>
      <c r="N37" s="239" t="s">
        <v>78</v>
      </c>
      <c r="O37" s="239" t="s">
        <v>79</v>
      </c>
      <c r="P37" s="240" t="s">
        <v>80</v>
      </c>
      <c r="Q37" s="514" t="s">
        <v>81</v>
      </c>
      <c r="R37" s="515"/>
      <c r="S37" s="515"/>
      <c r="T37" s="515"/>
      <c r="U37" s="515"/>
      <c r="V37" s="515"/>
      <c r="W37" s="515"/>
      <c r="X37" s="515"/>
      <c r="Y37" s="515"/>
      <c r="Z37" s="515"/>
      <c r="AA37" s="515"/>
      <c r="AB37" s="515"/>
      <c r="AC37" s="515"/>
      <c r="AD37" s="516"/>
      <c r="AG37" s="94"/>
      <c r="AH37" s="94"/>
      <c r="AI37" s="94"/>
      <c r="AJ37" s="94"/>
      <c r="AK37" s="94"/>
      <c r="AL37" s="94"/>
      <c r="AM37" s="94"/>
      <c r="AN37" s="94"/>
      <c r="AO37" s="94"/>
    </row>
    <row r="38" spans="1:41" ht="47.25" customHeight="1" x14ac:dyDescent="0.25">
      <c r="A38" s="517" t="s">
        <v>151</v>
      </c>
      <c r="B38" s="709">
        <v>0.05</v>
      </c>
      <c r="C38" s="241" t="s">
        <v>61</v>
      </c>
      <c r="D38" s="95">
        <v>0</v>
      </c>
      <c r="E38" s="95">
        <v>0.1</v>
      </c>
      <c r="F38" s="95">
        <v>0.1</v>
      </c>
      <c r="G38" s="95">
        <v>0.02</v>
      </c>
      <c r="H38" s="95">
        <v>0.08</v>
      </c>
      <c r="I38" s="95">
        <v>0.2</v>
      </c>
      <c r="J38" s="95">
        <v>0.05</v>
      </c>
      <c r="K38" s="95">
        <v>0.05</v>
      </c>
      <c r="L38" s="95">
        <v>0.05</v>
      </c>
      <c r="M38" s="95">
        <v>0.05</v>
      </c>
      <c r="N38" s="95">
        <v>0.2</v>
      </c>
      <c r="O38" s="95">
        <v>0.1</v>
      </c>
      <c r="P38" s="236">
        <f>SUM(D38:O38)</f>
        <v>1.0000000000000002</v>
      </c>
      <c r="Q38" s="809" t="s">
        <v>587</v>
      </c>
      <c r="R38" s="810"/>
      <c r="S38" s="810"/>
      <c r="T38" s="810"/>
      <c r="U38" s="810"/>
      <c r="V38" s="810"/>
      <c r="W38" s="810"/>
      <c r="X38" s="810"/>
      <c r="Y38" s="810"/>
      <c r="Z38" s="810"/>
      <c r="AA38" s="810"/>
      <c r="AB38" s="810"/>
      <c r="AC38" s="810"/>
      <c r="AD38" s="811"/>
      <c r="AE38" s="97"/>
      <c r="AG38" s="98"/>
      <c r="AH38" s="98"/>
      <c r="AI38" s="98"/>
      <c r="AJ38" s="98"/>
      <c r="AK38" s="98"/>
      <c r="AL38" s="98"/>
      <c r="AM38" s="98"/>
      <c r="AN38" s="98"/>
      <c r="AO38" s="98"/>
    </row>
    <row r="39" spans="1:41" ht="124.15" customHeight="1" x14ac:dyDescent="0.25">
      <c r="A39" s="348"/>
      <c r="B39" s="666"/>
      <c r="C39" s="242" t="s">
        <v>62</v>
      </c>
      <c r="D39" s="100">
        <v>0</v>
      </c>
      <c r="E39" s="100">
        <v>0.1</v>
      </c>
      <c r="F39" s="100">
        <v>0.1</v>
      </c>
      <c r="G39" s="100">
        <v>0.1</v>
      </c>
      <c r="H39" s="100">
        <v>0.1</v>
      </c>
      <c r="I39" s="100"/>
      <c r="J39" s="100"/>
      <c r="K39" s="100"/>
      <c r="L39" s="100"/>
      <c r="M39" s="100"/>
      <c r="N39" s="100"/>
      <c r="O39" s="100"/>
      <c r="P39" s="237">
        <f>SUM(D39:O39)</f>
        <v>0.4</v>
      </c>
      <c r="Q39" s="653"/>
      <c r="R39" s="654"/>
      <c r="S39" s="654"/>
      <c r="T39" s="654"/>
      <c r="U39" s="654"/>
      <c r="V39" s="654"/>
      <c r="W39" s="654"/>
      <c r="X39" s="654"/>
      <c r="Y39" s="654"/>
      <c r="Z39" s="654"/>
      <c r="AA39" s="654"/>
      <c r="AB39" s="654"/>
      <c r="AC39" s="654"/>
      <c r="AD39" s="655"/>
      <c r="AE39" s="97"/>
    </row>
    <row r="40" spans="1:41" ht="47.25" customHeight="1" x14ac:dyDescent="0.25">
      <c r="A40" s="348" t="s">
        <v>152</v>
      </c>
      <c r="B40" s="709">
        <v>0.05</v>
      </c>
      <c r="C40" s="244" t="s">
        <v>61</v>
      </c>
      <c r="D40" s="103">
        <v>0</v>
      </c>
      <c r="E40" s="103">
        <v>0.05</v>
      </c>
      <c r="F40" s="103">
        <v>0.1</v>
      </c>
      <c r="G40" s="103">
        <v>0.1</v>
      </c>
      <c r="H40" s="103">
        <v>0.1</v>
      </c>
      <c r="I40" s="103">
        <v>0.1</v>
      </c>
      <c r="J40" s="103">
        <v>0.2</v>
      </c>
      <c r="K40" s="103">
        <v>0.1</v>
      </c>
      <c r="L40" s="103">
        <v>0.1</v>
      </c>
      <c r="M40" s="103">
        <v>0.1</v>
      </c>
      <c r="N40" s="103">
        <v>0.05</v>
      </c>
      <c r="O40" s="103">
        <v>0</v>
      </c>
      <c r="P40" s="236">
        <f>SUM(D40:O40)</f>
        <v>0.99999999999999989</v>
      </c>
      <c r="Q40" s="815" t="s">
        <v>565</v>
      </c>
      <c r="R40" s="654"/>
      <c r="S40" s="654"/>
      <c r="T40" s="654"/>
      <c r="U40" s="654"/>
      <c r="V40" s="654"/>
      <c r="W40" s="654"/>
      <c r="X40" s="654"/>
      <c r="Y40" s="654"/>
      <c r="Z40" s="654"/>
      <c r="AA40" s="654"/>
      <c r="AB40" s="654"/>
      <c r="AC40" s="654"/>
      <c r="AD40" s="655"/>
      <c r="AE40" s="97"/>
    </row>
    <row r="41" spans="1:41" ht="113.45" customHeight="1" thickBot="1" x14ac:dyDescent="0.3">
      <c r="A41" s="675"/>
      <c r="B41" s="808"/>
      <c r="C41" s="245" t="s">
        <v>62</v>
      </c>
      <c r="D41" s="105">
        <v>0</v>
      </c>
      <c r="E41" s="105">
        <v>0.05</v>
      </c>
      <c r="F41" s="105">
        <v>0.1</v>
      </c>
      <c r="G41" s="105">
        <v>0.1</v>
      </c>
      <c r="H41" s="105">
        <v>0.1</v>
      </c>
      <c r="I41" s="105"/>
      <c r="J41" s="105"/>
      <c r="K41" s="105"/>
      <c r="L41" s="105"/>
      <c r="M41" s="105"/>
      <c r="N41" s="105"/>
      <c r="O41" s="105"/>
      <c r="P41" s="238">
        <f>SUM(D41:O41)</f>
        <v>0.35</v>
      </c>
      <c r="Q41" s="816"/>
      <c r="R41" s="677"/>
      <c r="S41" s="677"/>
      <c r="T41" s="677"/>
      <c r="U41" s="677"/>
      <c r="V41" s="677"/>
      <c r="W41" s="677"/>
      <c r="X41" s="677"/>
      <c r="Y41" s="677"/>
      <c r="Z41" s="677"/>
      <c r="AA41" s="677"/>
      <c r="AB41" s="677"/>
      <c r="AC41" s="677"/>
      <c r="AD41" s="678"/>
      <c r="AE41" s="97"/>
    </row>
    <row r="42" spans="1:41" x14ac:dyDescent="0.25">
      <c r="A42" s="259" t="s">
        <v>88</v>
      </c>
      <c r="Q42" s="259"/>
      <c r="R42" s="259"/>
      <c r="S42" s="259"/>
      <c r="T42" s="259"/>
      <c r="U42" s="259"/>
      <c r="V42" s="259"/>
      <c r="W42" s="259"/>
      <c r="X42" s="259"/>
      <c r="Y42" s="259"/>
      <c r="Z42" s="259"/>
      <c r="AA42" s="259"/>
      <c r="AB42" s="259"/>
      <c r="AC42" s="259"/>
      <c r="AD42" s="259"/>
    </row>
    <row r="43" spans="1:41" x14ac:dyDescent="0.25">
      <c r="A43" s="259"/>
      <c r="Q43" s="259"/>
      <c r="R43" s="259"/>
      <c r="S43" s="259"/>
      <c r="T43" s="259"/>
      <c r="U43" s="259"/>
      <c r="V43" s="259"/>
      <c r="W43" s="259"/>
      <c r="X43" s="259"/>
      <c r="Y43" s="259"/>
      <c r="Z43" s="259"/>
      <c r="AA43" s="259"/>
      <c r="AB43" s="259"/>
      <c r="AC43" s="259"/>
      <c r="AD43" s="259"/>
    </row>
    <row r="44" spans="1:41" x14ac:dyDescent="0.25">
      <c r="A44" s="259"/>
      <c r="Q44" s="259"/>
      <c r="R44" s="259"/>
      <c r="S44" s="259"/>
      <c r="T44" s="259"/>
      <c r="U44" s="259"/>
      <c r="V44" s="259"/>
      <c r="W44" s="259"/>
      <c r="X44" s="259"/>
      <c r="Y44" s="259"/>
      <c r="Z44" s="259"/>
      <c r="AA44" s="259"/>
      <c r="AB44" s="259"/>
      <c r="AC44" s="259"/>
      <c r="AD44" s="259"/>
    </row>
    <row r="45" spans="1:41" x14ac:dyDescent="0.25">
      <c r="A45" s="259"/>
      <c r="Q45" s="259"/>
      <c r="R45" s="259"/>
      <c r="S45" s="259"/>
      <c r="T45" s="259"/>
      <c r="U45" s="259"/>
      <c r="V45" s="259"/>
      <c r="W45" s="259"/>
      <c r="X45" s="259"/>
      <c r="Y45" s="259"/>
      <c r="Z45" s="259"/>
      <c r="AA45" s="259"/>
      <c r="AB45" s="259"/>
      <c r="AC45" s="259"/>
      <c r="AD45" s="259"/>
    </row>
    <row r="46" spans="1:41" x14ac:dyDescent="0.25">
      <c r="A46" s="259"/>
      <c r="Q46" s="259"/>
      <c r="R46" s="259"/>
      <c r="S46" s="259"/>
      <c r="T46" s="259"/>
      <c r="U46" s="259"/>
      <c r="V46" s="259"/>
      <c r="W46" s="259"/>
      <c r="X46" s="259"/>
      <c r="Y46" s="259"/>
      <c r="Z46" s="259"/>
      <c r="AA46" s="259"/>
      <c r="AB46" s="259"/>
      <c r="AC46" s="259"/>
      <c r="AD46" s="259"/>
    </row>
    <row r="47" spans="1:41" x14ac:dyDescent="0.25">
      <c r="A47" s="259"/>
      <c r="Q47" s="259"/>
      <c r="R47" s="259"/>
      <c r="S47" s="259"/>
      <c r="T47" s="259"/>
      <c r="U47" s="259"/>
      <c r="V47" s="259"/>
      <c r="W47" s="259"/>
      <c r="X47" s="259"/>
      <c r="Y47" s="259"/>
      <c r="Z47" s="259"/>
      <c r="AA47" s="259"/>
      <c r="AB47" s="259"/>
      <c r="AC47" s="259"/>
      <c r="AD47" s="259"/>
    </row>
    <row r="48" spans="1:41" x14ac:dyDescent="0.25">
      <c r="A48" s="259"/>
      <c r="Q48" s="259"/>
      <c r="R48" s="259"/>
      <c r="S48" s="259"/>
      <c r="T48" s="259"/>
      <c r="U48" s="259"/>
      <c r="V48" s="259"/>
      <c r="W48" s="259"/>
      <c r="X48" s="259"/>
      <c r="Y48" s="259"/>
      <c r="Z48" s="259"/>
      <c r="AA48" s="259"/>
      <c r="AB48" s="259"/>
      <c r="AC48" s="259"/>
      <c r="AD48" s="259"/>
    </row>
    <row r="49" spans="1:30" x14ac:dyDescent="0.25">
      <c r="A49" s="259"/>
      <c r="Q49" s="259"/>
      <c r="R49" s="259"/>
      <c r="S49" s="259"/>
      <c r="T49" s="259"/>
      <c r="U49" s="259"/>
      <c r="V49" s="259"/>
      <c r="W49" s="259"/>
      <c r="X49" s="259"/>
      <c r="Y49" s="259"/>
      <c r="Z49" s="259"/>
      <c r="AA49" s="259"/>
      <c r="AB49" s="259"/>
      <c r="AC49" s="259"/>
      <c r="AD49" s="259"/>
    </row>
    <row r="50" spans="1:30" x14ac:dyDescent="0.25">
      <c r="A50" s="259"/>
      <c r="Q50" s="259"/>
      <c r="R50" s="259"/>
      <c r="S50" s="259"/>
      <c r="T50" s="259"/>
      <c r="U50" s="259"/>
      <c r="V50" s="259"/>
      <c r="W50" s="259"/>
      <c r="X50" s="259"/>
      <c r="Y50" s="259"/>
      <c r="Z50" s="259"/>
      <c r="AA50" s="259"/>
      <c r="AB50" s="259"/>
      <c r="AC50" s="259"/>
      <c r="AD50" s="259"/>
    </row>
    <row r="51" spans="1:30" x14ac:dyDescent="0.25">
      <c r="A51" s="259"/>
      <c r="Q51" s="259"/>
      <c r="R51" s="259"/>
      <c r="S51" s="259"/>
      <c r="T51" s="259"/>
      <c r="U51" s="259"/>
      <c r="V51" s="259"/>
      <c r="W51" s="259"/>
      <c r="X51" s="259"/>
      <c r="Y51" s="259"/>
      <c r="Z51" s="259"/>
      <c r="AA51" s="259"/>
      <c r="AB51" s="259"/>
      <c r="AC51" s="259"/>
      <c r="AD51" s="259"/>
    </row>
    <row r="52" spans="1:30" x14ac:dyDescent="0.25">
      <c r="A52" s="259"/>
      <c r="Q52" s="259"/>
      <c r="R52" s="259"/>
      <c r="S52" s="259"/>
      <c r="T52" s="259"/>
      <c r="U52" s="259"/>
      <c r="V52" s="259"/>
      <c r="W52" s="259"/>
      <c r="X52" s="259"/>
      <c r="Y52" s="259"/>
      <c r="Z52" s="259"/>
      <c r="AA52" s="259"/>
      <c r="AB52" s="259"/>
      <c r="AC52" s="259"/>
      <c r="AD52" s="259"/>
    </row>
    <row r="53" spans="1:30" x14ac:dyDescent="0.25">
      <c r="A53" s="259"/>
      <c r="Q53" s="259"/>
      <c r="R53" s="259"/>
      <c r="S53" s="259"/>
      <c r="T53" s="259"/>
      <c r="U53" s="259"/>
      <c r="V53" s="259"/>
      <c r="W53" s="259"/>
      <c r="X53" s="259"/>
      <c r="Y53" s="259"/>
      <c r="Z53" s="259"/>
      <c r="AA53" s="259"/>
      <c r="AB53" s="259"/>
      <c r="AC53" s="259"/>
      <c r="AD53" s="259"/>
    </row>
    <row r="54" spans="1:30" x14ac:dyDescent="0.25">
      <c r="A54" s="259"/>
      <c r="Q54" s="259"/>
      <c r="R54" s="259"/>
      <c r="S54" s="259"/>
      <c r="T54" s="259"/>
      <c r="U54" s="259"/>
      <c r="V54" s="259"/>
      <c r="W54" s="259"/>
      <c r="X54" s="259"/>
      <c r="Y54" s="259"/>
      <c r="Z54" s="259"/>
      <c r="AA54" s="259"/>
      <c r="AB54" s="259"/>
      <c r="AC54" s="259"/>
      <c r="AD54" s="259"/>
    </row>
    <row r="55" spans="1:30" x14ac:dyDescent="0.25">
      <c r="A55" s="338" t="s">
        <v>89</v>
      </c>
      <c r="B55" s="340" t="s">
        <v>64</v>
      </c>
      <c r="C55" s="342" t="s">
        <v>65</v>
      </c>
      <c r="D55" s="647"/>
      <c r="E55" s="647"/>
      <c r="F55" s="647"/>
      <c r="G55" s="647"/>
      <c r="H55" s="647"/>
      <c r="I55" s="647"/>
      <c r="J55" s="647"/>
      <c r="K55" s="647"/>
      <c r="L55" s="647"/>
      <c r="M55" s="647"/>
      <c r="N55" s="647"/>
      <c r="O55" s="647"/>
      <c r="P55" s="648"/>
      <c r="Q55" s="260"/>
      <c r="R55" s="260"/>
      <c r="S55" s="259"/>
      <c r="T55" s="259"/>
      <c r="U55" s="259"/>
      <c r="V55" s="259"/>
      <c r="W55" s="259"/>
      <c r="X55" s="259"/>
      <c r="Y55" s="259"/>
      <c r="Z55" s="259"/>
      <c r="AA55" s="259"/>
      <c r="AB55" s="259"/>
      <c r="AC55" s="259"/>
      <c r="AD55" s="259"/>
    </row>
    <row r="56" spans="1:30" ht="21" x14ac:dyDescent="0.25">
      <c r="A56" s="645"/>
      <c r="B56" s="646"/>
      <c r="C56" s="216" t="s">
        <v>67</v>
      </c>
      <c r="D56" s="216" t="s">
        <v>68</v>
      </c>
      <c r="E56" s="216" t="s">
        <v>69</v>
      </c>
      <c r="F56" s="216" t="s">
        <v>70</v>
      </c>
      <c r="G56" s="216" t="s">
        <v>71</v>
      </c>
      <c r="H56" s="216" t="s">
        <v>72</v>
      </c>
      <c r="I56" s="216" t="s">
        <v>73</v>
      </c>
      <c r="J56" s="216" t="s">
        <v>74</v>
      </c>
      <c r="K56" s="216" t="s">
        <v>75</v>
      </c>
      <c r="L56" s="216" t="s">
        <v>76</v>
      </c>
      <c r="M56" s="216" t="s">
        <v>77</v>
      </c>
      <c r="N56" s="216" t="s">
        <v>78</v>
      </c>
      <c r="O56" s="216" t="s">
        <v>79</v>
      </c>
      <c r="P56" s="216" t="s">
        <v>80</v>
      </c>
      <c r="Q56" s="260"/>
      <c r="R56" s="260"/>
      <c r="S56" s="259"/>
      <c r="T56" s="259"/>
      <c r="U56" s="259"/>
      <c r="V56" s="259"/>
      <c r="W56" s="259"/>
      <c r="X56" s="259"/>
      <c r="Y56" s="259"/>
      <c r="Z56" s="259"/>
      <c r="AA56" s="259"/>
      <c r="AB56" s="259"/>
      <c r="AC56" s="259"/>
      <c r="AD56" s="259"/>
    </row>
    <row r="57" spans="1:30" x14ac:dyDescent="0.25">
      <c r="A57" s="326" t="str">
        <f>A38</f>
        <v>32. Apoyar, articular y desarrollar las conmemoraciones de las mujeres en sus diferencias y diversidad, con las cuales se trabaja en la Dirección de Enfoque Diferencial, reconociendo sus particularidades, usos y costumbres, que permita el posicionamiento de sus agendas políticas a nivel distrital por medio de la transformación cultural vinculando a la sociedad civil, organizaciones de mujeres y sectores de la Administración Distrital.</v>
      </c>
      <c r="B57" s="345">
        <f>B38</f>
        <v>0.05</v>
      </c>
      <c r="C57" s="215" t="s">
        <v>61</v>
      </c>
      <c r="D57" s="214">
        <f>D38*$B$38/$P$38</f>
        <v>0</v>
      </c>
      <c r="E57" s="214">
        <f t="shared" ref="D57:O58" si="2">E38*$B$38/$P$38</f>
        <v>5.0000000000000001E-3</v>
      </c>
      <c r="F57" s="214">
        <f t="shared" si="2"/>
        <v>5.0000000000000001E-3</v>
      </c>
      <c r="G57" s="214">
        <f t="shared" si="2"/>
        <v>9.999999999999998E-4</v>
      </c>
      <c r="H57" s="214">
        <f t="shared" si="2"/>
        <v>3.9999999999999992E-3</v>
      </c>
      <c r="I57" s="214">
        <f t="shared" si="2"/>
        <v>0.01</v>
      </c>
      <c r="J57" s="214">
        <f t="shared" si="2"/>
        <v>2.5000000000000001E-3</v>
      </c>
      <c r="K57" s="214">
        <f t="shared" si="2"/>
        <v>2.5000000000000001E-3</v>
      </c>
      <c r="L57" s="214">
        <f t="shared" si="2"/>
        <v>2.5000000000000001E-3</v>
      </c>
      <c r="M57" s="214">
        <f t="shared" si="2"/>
        <v>2.5000000000000001E-3</v>
      </c>
      <c r="N57" s="214">
        <f t="shared" si="2"/>
        <v>0.01</v>
      </c>
      <c r="O57" s="214">
        <f t="shared" si="2"/>
        <v>5.0000000000000001E-3</v>
      </c>
      <c r="P57" s="213">
        <f>SUM(D57:O57)</f>
        <v>0.05</v>
      </c>
      <c r="Q57" s="262">
        <v>0.05</v>
      </c>
      <c r="R57" s="263">
        <f t="shared" ref="R57:R65" si="3">+P57-Q57</f>
        <v>0</v>
      </c>
      <c r="S57" s="259"/>
      <c r="T57" s="259"/>
      <c r="U57" s="259"/>
      <c r="V57" s="259"/>
      <c r="W57" s="259"/>
      <c r="X57" s="259"/>
      <c r="Y57" s="259"/>
      <c r="Z57" s="259"/>
      <c r="AA57" s="259"/>
      <c r="AB57" s="259"/>
      <c r="AC57" s="259"/>
      <c r="AD57" s="259"/>
    </row>
    <row r="58" spans="1:30" x14ac:dyDescent="0.25">
      <c r="A58" s="327"/>
      <c r="B58" s="694"/>
      <c r="C58" s="212" t="s">
        <v>62</v>
      </c>
      <c r="D58" s="211">
        <f t="shared" si="2"/>
        <v>0</v>
      </c>
      <c r="E58" s="211">
        <f t="shared" si="2"/>
        <v>5.0000000000000001E-3</v>
      </c>
      <c r="F58" s="211">
        <f t="shared" si="2"/>
        <v>5.0000000000000001E-3</v>
      </c>
      <c r="G58" s="211">
        <f t="shared" si="2"/>
        <v>5.0000000000000001E-3</v>
      </c>
      <c r="H58" s="211">
        <f t="shared" si="2"/>
        <v>5.0000000000000001E-3</v>
      </c>
      <c r="I58" s="211">
        <f t="shared" si="2"/>
        <v>0</v>
      </c>
      <c r="J58" s="211">
        <f t="shared" si="2"/>
        <v>0</v>
      </c>
      <c r="K58" s="211">
        <f t="shared" si="2"/>
        <v>0</v>
      </c>
      <c r="L58" s="211">
        <f t="shared" si="2"/>
        <v>0</v>
      </c>
      <c r="M58" s="211">
        <f t="shared" si="2"/>
        <v>0</v>
      </c>
      <c r="N58" s="211">
        <f t="shared" si="2"/>
        <v>0</v>
      </c>
      <c r="O58" s="211">
        <f t="shared" si="2"/>
        <v>0</v>
      </c>
      <c r="P58" s="210">
        <f>SUM(D58:O58)</f>
        <v>0.02</v>
      </c>
      <c r="Q58" s="264">
        <f>+P58</f>
        <v>0.02</v>
      </c>
      <c r="R58" s="263">
        <f t="shared" si="3"/>
        <v>0</v>
      </c>
      <c r="S58" s="259"/>
      <c r="T58" s="259"/>
      <c r="U58" s="259"/>
      <c r="V58" s="259"/>
      <c r="W58" s="259"/>
      <c r="X58" s="259"/>
      <c r="Y58" s="259"/>
      <c r="Z58" s="259"/>
      <c r="AA58" s="259"/>
      <c r="AB58" s="259"/>
      <c r="AC58" s="259"/>
      <c r="AD58" s="259"/>
    </row>
    <row r="59" spans="1:30" x14ac:dyDescent="0.25">
      <c r="A59" s="326" t="str">
        <f>A40</f>
        <v xml:space="preserve">33. Diseñar e implementar jornadas de información  con las Oficinas de planeación de los sectores de la administración con el objetivo de transversalizar el enfoque de género y diferencial, por medio de acciones que permitan una transformación cultural, reduciendo los imaginarios, estereotipos y representaciones de las mujeres en sus diferencias y diversidades. </v>
      </c>
      <c r="B59" s="328">
        <f>B40</f>
        <v>0.05</v>
      </c>
      <c r="C59" s="215" t="s">
        <v>61</v>
      </c>
      <c r="D59" s="214">
        <f t="shared" ref="D59:O60" si="4">D40*$B$40/$P$40</f>
        <v>0</v>
      </c>
      <c r="E59" s="214">
        <f t="shared" si="4"/>
        <v>2.5000000000000009E-3</v>
      </c>
      <c r="F59" s="214">
        <f t="shared" si="4"/>
        <v>5.0000000000000018E-3</v>
      </c>
      <c r="G59" s="214">
        <f t="shared" si="4"/>
        <v>5.0000000000000018E-3</v>
      </c>
      <c r="H59" s="214">
        <f t="shared" si="4"/>
        <v>5.0000000000000018E-3</v>
      </c>
      <c r="I59" s="214">
        <f t="shared" si="4"/>
        <v>5.0000000000000018E-3</v>
      </c>
      <c r="J59" s="214">
        <f t="shared" si="4"/>
        <v>1.0000000000000004E-2</v>
      </c>
      <c r="K59" s="214">
        <f t="shared" si="4"/>
        <v>5.0000000000000018E-3</v>
      </c>
      <c r="L59" s="214">
        <f t="shared" si="4"/>
        <v>5.0000000000000018E-3</v>
      </c>
      <c r="M59" s="214">
        <f t="shared" si="4"/>
        <v>5.0000000000000018E-3</v>
      </c>
      <c r="N59" s="214">
        <f t="shared" si="4"/>
        <v>2.5000000000000009E-3</v>
      </c>
      <c r="O59" s="214">
        <f t="shared" si="4"/>
        <v>0</v>
      </c>
      <c r="P59" s="213">
        <f>SUM(D59:O59)</f>
        <v>5.0000000000000024E-2</v>
      </c>
      <c r="Q59" s="262">
        <v>2.5000000000000001E-2</v>
      </c>
      <c r="R59" s="263">
        <f t="shared" si="3"/>
        <v>2.5000000000000022E-2</v>
      </c>
      <c r="S59" s="259"/>
      <c r="T59" s="259"/>
      <c r="U59" s="259"/>
      <c r="V59" s="259"/>
      <c r="W59" s="259"/>
      <c r="X59" s="259"/>
      <c r="Y59" s="259"/>
      <c r="Z59" s="259"/>
      <c r="AA59" s="259"/>
      <c r="AB59" s="259"/>
      <c r="AC59" s="259"/>
      <c r="AD59" s="259"/>
    </row>
    <row r="60" spans="1:30" x14ac:dyDescent="0.25">
      <c r="A60" s="718"/>
      <c r="B60" s="684"/>
      <c r="C60" s="225" t="s">
        <v>62</v>
      </c>
      <c r="D60" s="211">
        <f t="shared" si="4"/>
        <v>0</v>
      </c>
      <c r="E60" s="211">
        <f t="shared" si="4"/>
        <v>2.5000000000000009E-3</v>
      </c>
      <c r="F60" s="211">
        <f t="shared" si="4"/>
        <v>5.0000000000000018E-3</v>
      </c>
      <c r="G60" s="211">
        <f t="shared" si="4"/>
        <v>5.0000000000000018E-3</v>
      </c>
      <c r="H60" s="211">
        <f t="shared" si="4"/>
        <v>5.0000000000000018E-3</v>
      </c>
      <c r="I60" s="211">
        <f t="shared" si="4"/>
        <v>0</v>
      </c>
      <c r="J60" s="211">
        <f t="shared" si="4"/>
        <v>0</v>
      </c>
      <c r="K60" s="211">
        <f t="shared" si="4"/>
        <v>0</v>
      </c>
      <c r="L60" s="211">
        <f t="shared" si="4"/>
        <v>0</v>
      </c>
      <c r="M60" s="211">
        <f t="shared" si="4"/>
        <v>0</v>
      </c>
      <c r="N60" s="211">
        <f t="shared" si="4"/>
        <v>0</v>
      </c>
      <c r="O60" s="211">
        <f t="shared" si="4"/>
        <v>0</v>
      </c>
      <c r="P60" s="210">
        <f>SUM(D60:O60)</f>
        <v>1.7500000000000005E-2</v>
      </c>
      <c r="Q60" s="264">
        <f>+P60</f>
        <v>1.7500000000000005E-2</v>
      </c>
      <c r="R60" s="263">
        <f t="shared" si="3"/>
        <v>0</v>
      </c>
      <c r="S60" s="259"/>
      <c r="T60" s="259"/>
      <c r="U60" s="259"/>
      <c r="V60" s="259"/>
      <c r="W60" s="259"/>
      <c r="X60" s="259"/>
      <c r="Y60" s="259"/>
      <c r="Z60" s="259"/>
      <c r="AA60" s="259"/>
      <c r="AB60" s="259"/>
      <c r="AC60" s="259"/>
      <c r="AD60" s="259"/>
    </row>
    <row r="61" spans="1:30" x14ac:dyDescent="0.25">
      <c r="A61" s="330"/>
      <c r="B61" s="331"/>
      <c r="C61" s="228"/>
      <c r="D61" s="214"/>
      <c r="E61" s="214"/>
      <c r="F61" s="214"/>
      <c r="G61" s="214"/>
      <c r="H61" s="214"/>
      <c r="I61" s="214"/>
      <c r="J61" s="214"/>
      <c r="K61" s="214"/>
      <c r="L61" s="214"/>
      <c r="M61" s="214"/>
      <c r="N61" s="214"/>
      <c r="O61" s="214"/>
      <c r="P61" s="229"/>
      <c r="Q61" s="262"/>
      <c r="R61" s="263"/>
      <c r="S61" s="259"/>
      <c r="T61" s="259"/>
      <c r="U61" s="259"/>
      <c r="V61" s="259"/>
      <c r="W61" s="259"/>
      <c r="X61" s="259"/>
      <c r="Y61" s="259"/>
      <c r="Z61" s="259"/>
      <c r="AA61" s="259"/>
      <c r="AB61" s="259"/>
      <c r="AC61" s="259"/>
      <c r="AD61" s="259"/>
    </row>
    <row r="62" spans="1:30" x14ac:dyDescent="0.25">
      <c r="A62" s="680"/>
      <c r="B62" s="681"/>
      <c r="C62" s="228"/>
      <c r="D62" s="207"/>
      <c r="E62" s="207"/>
      <c r="F62" s="207"/>
      <c r="G62" s="207"/>
      <c r="H62" s="207"/>
      <c r="I62" s="207"/>
      <c r="J62" s="207"/>
      <c r="K62" s="207"/>
      <c r="L62" s="207"/>
      <c r="M62" s="207"/>
      <c r="N62" s="207"/>
      <c r="O62" s="207"/>
      <c r="P62" s="229"/>
      <c r="Q62" s="264"/>
      <c r="R62" s="263"/>
      <c r="S62" s="259"/>
      <c r="T62" s="259"/>
      <c r="U62" s="259"/>
      <c r="V62" s="259"/>
      <c r="W62" s="259"/>
      <c r="X62" s="259"/>
      <c r="Y62" s="259"/>
      <c r="Z62" s="259"/>
      <c r="AA62" s="259"/>
      <c r="AB62" s="259"/>
      <c r="AC62" s="259"/>
      <c r="AD62" s="259"/>
    </row>
    <row r="63" spans="1:30" x14ac:dyDescent="0.25">
      <c r="A63" s="226"/>
      <c r="B63" s="227"/>
      <c r="C63" s="228"/>
      <c r="D63" s="214"/>
      <c r="E63" s="214"/>
      <c r="F63" s="214"/>
      <c r="G63" s="214"/>
      <c r="H63" s="214"/>
      <c r="I63" s="214"/>
      <c r="J63" s="214"/>
      <c r="K63" s="214"/>
      <c r="L63" s="214"/>
      <c r="M63" s="214"/>
      <c r="N63" s="214"/>
      <c r="O63" s="214"/>
      <c r="P63" s="229"/>
      <c r="Q63" s="262"/>
      <c r="R63" s="263"/>
      <c r="S63" s="259"/>
      <c r="T63" s="259"/>
      <c r="U63" s="259"/>
      <c r="V63" s="259"/>
      <c r="W63" s="259"/>
      <c r="X63" s="259"/>
      <c r="Y63" s="259"/>
      <c r="Z63" s="259"/>
      <c r="AA63" s="259"/>
      <c r="AB63" s="259"/>
      <c r="AC63" s="259"/>
      <c r="AD63" s="259"/>
    </row>
    <row r="64" spans="1:30" x14ac:dyDescent="0.25">
      <c r="A64" s="232"/>
      <c r="B64" s="233"/>
      <c r="C64" s="228"/>
      <c r="D64" s="207"/>
      <c r="E64" s="207"/>
      <c r="F64" s="207"/>
      <c r="G64" s="207"/>
      <c r="H64" s="207"/>
      <c r="I64" s="207"/>
      <c r="J64" s="207"/>
      <c r="K64" s="207"/>
      <c r="L64" s="207"/>
      <c r="M64" s="207"/>
      <c r="N64" s="207"/>
      <c r="O64" s="207"/>
      <c r="P64" s="229"/>
      <c r="Q64" s="264"/>
      <c r="R64" s="263"/>
      <c r="S64" s="259"/>
      <c r="T64" s="259"/>
      <c r="U64" s="259"/>
      <c r="V64" s="259"/>
      <c r="W64" s="259"/>
      <c r="X64" s="259"/>
      <c r="Y64" s="259"/>
      <c r="Z64" s="259"/>
      <c r="AA64" s="259"/>
      <c r="AB64" s="259"/>
      <c r="AC64" s="259"/>
      <c r="AD64" s="259"/>
    </row>
    <row r="65" spans="1:30" x14ac:dyDescent="0.25">
      <c r="A65" s="260"/>
      <c r="B65" s="208"/>
      <c r="C65" s="209"/>
      <c r="D65" s="204">
        <f>D58+D60</f>
        <v>0</v>
      </c>
      <c r="E65" s="204">
        <f t="shared" ref="E65:O65" si="5">E58+E60</f>
        <v>7.5000000000000015E-3</v>
      </c>
      <c r="F65" s="204">
        <f t="shared" si="5"/>
        <v>1.0000000000000002E-2</v>
      </c>
      <c r="G65" s="204">
        <f t="shared" si="5"/>
        <v>1.0000000000000002E-2</v>
      </c>
      <c r="H65" s="204">
        <f t="shared" si="5"/>
        <v>1.0000000000000002E-2</v>
      </c>
      <c r="I65" s="204">
        <f t="shared" si="5"/>
        <v>0</v>
      </c>
      <c r="J65" s="204">
        <f t="shared" si="5"/>
        <v>0</v>
      </c>
      <c r="K65" s="204">
        <f t="shared" si="5"/>
        <v>0</v>
      </c>
      <c r="L65" s="204">
        <f t="shared" si="5"/>
        <v>0</v>
      </c>
      <c r="M65" s="204">
        <f t="shared" si="5"/>
        <v>0</v>
      </c>
      <c r="N65" s="204">
        <f t="shared" si="5"/>
        <v>0</v>
      </c>
      <c r="O65" s="204">
        <f t="shared" si="5"/>
        <v>0</v>
      </c>
      <c r="P65" s="204">
        <f>P58+P60+P62</f>
        <v>3.7500000000000006E-2</v>
      </c>
      <c r="Q65" s="260"/>
      <c r="R65" s="263">
        <f t="shared" si="3"/>
        <v>3.7500000000000006E-2</v>
      </c>
      <c r="S65" s="259"/>
      <c r="T65" s="259"/>
      <c r="U65" s="259"/>
      <c r="V65" s="259"/>
      <c r="W65" s="259"/>
      <c r="X65" s="259"/>
      <c r="Y65" s="259"/>
      <c r="Z65" s="259"/>
      <c r="AA65" s="259"/>
      <c r="AB65" s="259"/>
      <c r="AC65" s="259"/>
      <c r="AD65" s="259"/>
    </row>
    <row r="66" spans="1:30" x14ac:dyDescent="0.25">
      <c r="A66" s="260"/>
      <c r="B66" s="206"/>
      <c r="C66" s="203" t="s">
        <v>62</v>
      </c>
      <c r="D66" s="202">
        <f>D65*$W$17/$B$34</f>
        <v>0</v>
      </c>
      <c r="E66" s="202">
        <f t="shared" ref="E66:O66" si="6">E65*$W$17/$B$34</f>
        <v>7.5000000000000011E-2</v>
      </c>
      <c r="F66" s="202">
        <f t="shared" si="6"/>
        <v>0.10000000000000002</v>
      </c>
      <c r="G66" s="202">
        <f t="shared" si="6"/>
        <v>0.10000000000000002</v>
      </c>
      <c r="H66" s="202">
        <f t="shared" si="6"/>
        <v>0.10000000000000002</v>
      </c>
      <c r="I66" s="202">
        <f t="shared" si="6"/>
        <v>0</v>
      </c>
      <c r="J66" s="202">
        <f t="shared" si="6"/>
        <v>0</v>
      </c>
      <c r="K66" s="202">
        <f t="shared" si="6"/>
        <v>0</v>
      </c>
      <c r="L66" s="202">
        <f t="shared" si="6"/>
        <v>0</v>
      </c>
      <c r="M66" s="202">
        <f t="shared" si="6"/>
        <v>0</v>
      </c>
      <c r="N66" s="202">
        <f t="shared" si="6"/>
        <v>0</v>
      </c>
      <c r="O66" s="202">
        <f t="shared" si="6"/>
        <v>0</v>
      </c>
      <c r="P66" s="201">
        <f>SUM(D66:O66)</f>
        <v>0.37500000000000011</v>
      </c>
      <c r="Q66" s="261"/>
      <c r="R66" s="260"/>
      <c r="S66" s="259"/>
      <c r="T66" s="259"/>
      <c r="U66" s="259"/>
      <c r="V66" s="259"/>
      <c r="W66" s="259"/>
      <c r="X66" s="259"/>
      <c r="Y66" s="259"/>
      <c r="Z66" s="259"/>
      <c r="AA66" s="259"/>
      <c r="AB66" s="259"/>
      <c r="AC66" s="259"/>
      <c r="AD66" s="259"/>
    </row>
    <row r="67" spans="1:30" x14ac:dyDescent="0.25">
      <c r="A67" s="261"/>
      <c r="B67" s="205"/>
      <c r="C67" s="205"/>
      <c r="D67" s="205"/>
      <c r="E67" s="205"/>
      <c r="F67" s="205"/>
      <c r="G67" s="205"/>
      <c r="H67" s="205"/>
      <c r="I67" s="205"/>
      <c r="J67" s="205"/>
      <c r="K67" s="205"/>
      <c r="L67" s="205"/>
      <c r="M67" s="205"/>
      <c r="N67" s="205"/>
      <c r="O67" s="205"/>
      <c r="P67" s="205"/>
      <c r="Q67" s="261"/>
      <c r="R67" s="261"/>
      <c r="S67" s="259"/>
      <c r="T67" s="259"/>
      <c r="U67" s="259"/>
      <c r="V67" s="259"/>
      <c r="W67" s="259"/>
      <c r="X67" s="259"/>
      <c r="Y67" s="259"/>
      <c r="Z67" s="259"/>
      <c r="AA67" s="259"/>
      <c r="AB67" s="259"/>
      <c r="AC67" s="259"/>
      <c r="AD67" s="259"/>
    </row>
    <row r="68" spans="1:30" x14ac:dyDescent="0.25">
      <c r="A68" s="262"/>
      <c r="B68" s="108"/>
      <c r="C68" s="108"/>
      <c r="D68" s="204">
        <f>+D57+D59</f>
        <v>0</v>
      </c>
      <c r="E68" s="204">
        <f t="shared" ref="E68:O68" si="7">+E57+E59</f>
        <v>7.5000000000000015E-3</v>
      </c>
      <c r="F68" s="204">
        <f t="shared" si="7"/>
        <v>1.0000000000000002E-2</v>
      </c>
      <c r="G68" s="204">
        <f t="shared" si="7"/>
        <v>6.0000000000000019E-3</v>
      </c>
      <c r="H68" s="204">
        <f t="shared" si="7"/>
        <v>9.0000000000000011E-3</v>
      </c>
      <c r="I68" s="204">
        <f t="shared" si="7"/>
        <v>1.5000000000000003E-2</v>
      </c>
      <c r="J68" s="204">
        <f t="shared" si="7"/>
        <v>1.2500000000000004E-2</v>
      </c>
      <c r="K68" s="204">
        <f t="shared" si="7"/>
        <v>7.5000000000000015E-3</v>
      </c>
      <c r="L68" s="204">
        <f t="shared" si="7"/>
        <v>7.5000000000000015E-3</v>
      </c>
      <c r="M68" s="204">
        <f t="shared" si="7"/>
        <v>7.5000000000000015E-3</v>
      </c>
      <c r="N68" s="204">
        <f t="shared" si="7"/>
        <v>1.2500000000000001E-2</v>
      </c>
      <c r="O68" s="204">
        <f t="shared" si="7"/>
        <v>5.0000000000000001E-3</v>
      </c>
      <c r="P68" s="204">
        <f>+P57+P59+P61</f>
        <v>0.10000000000000003</v>
      </c>
      <c r="Q68" s="262"/>
      <c r="R68" s="262"/>
      <c r="S68" s="259"/>
      <c r="T68" s="259"/>
      <c r="U68" s="259"/>
      <c r="V68" s="259"/>
      <c r="W68" s="259"/>
      <c r="X68" s="259"/>
      <c r="Y68" s="259"/>
      <c r="Z68" s="259"/>
      <c r="AA68" s="259"/>
      <c r="AB68" s="259"/>
      <c r="AC68" s="259"/>
      <c r="AD68" s="259"/>
    </row>
    <row r="69" spans="1:30" x14ac:dyDescent="0.25">
      <c r="A69" s="262"/>
      <c r="B69" s="108"/>
      <c r="C69" s="203" t="s">
        <v>61</v>
      </c>
      <c r="D69" s="202">
        <f t="shared" ref="D69:O69" si="8">D68*$W$17/$B$34</f>
        <v>0</v>
      </c>
      <c r="E69" s="202">
        <f t="shared" si="8"/>
        <v>7.5000000000000011E-2</v>
      </c>
      <c r="F69" s="202">
        <f t="shared" si="8"/>
        <v>0.10000000000000002</v>
      </c>
      <c r="G69" s="202">
        <f t="shared" si="8"/>
        <v>6.0000000000000019E-2</v>
      </c>
      <c r="H69" s="202">
        <f t="shared" si="8"/>
        <v>9.0000000000000011E-2</v>
      </c>
      <c r="I69" s="202">
        <f t="shared" si="8"/>
        <v>0.15000000000000002</v>
      </c>
      <c r="J69" s="202">
        <f t="shared" si="8"/>
        <v>0.12500000000000003</v>
      </c>
      <c r="K69" s="202">
        <f t="shared" si="8"/>
        <v>7.5000000000000011E-2</v>
      </c>
      <c r="L69" s="202">
        <f t="shared" si="8"/>
        <v>7.5000000000000011E-2</v>
      </c>
      <c r="M69" s="202">
        <f t="shared" si="8"/>
        <v>7.5000000000000011E-2</v>
      </c>
      <c r="N69" s="202">
        <f t="shared" si="8"/>
        <v>0.125</v>
      </c>
      <c r="O69" s="202">
        <f t="shared" si="8"/>
        <v>4.9999999999999996E-2</v>
      </c>
      <c r="P69" s="201">
        <f>SUM(D69:O69)</f>
        <v>1</v>
      </c>
      <c r="Q69" s="262"/>
      <c r="R69" s="262"/>
      <c r="S69" s="259"/>
      <c r="T69" s="259"/>
      <c r="U69" s="259"/>
      <c r="V69" s="259"/>
      <c r="W69" s="259"/>
      <c r="X69" s="259"/>
      <c r="Y69" s="259"/>
      <c r="Z69" s="259"/>
      <c r="AA69" s="259"/>
      <c r="AB69" s="259"/>
      <c r="AC69" s="259"/>
      <c r="AD69" s="259"/>
    </row>
    <row r="70" spans="1:30" x14ac:dyDescent="0.25">
      <c r="A70" s="259"/>
      <c r="Q70" s="259"/>
      <c r="R70" s="259"/>
      <c r="S70" s="259"/>
      <c r="T70" s="259"/>
      <c r="U70" s="259"/>
      <c r="V70" s="259"/>
      <c r="W70" s="259"/>
      <c r="X70" s="259"/>
      <c r="Y70" s="259"/>
      <c r="Z70" s="259"/>
      <c r="AA70" s="259"/>
      <c r="AB70" s="259"/>
      <c r="AC70" s="259"/>
      <c r="AD70" s="259"/>
    </row>
    <row r="71" spans="1:30" x14ac:dyDescent="0.25">
      <c r="A71" s="259"/>
      <c r="Q71" s="259"/>
      <c r="R71" s="259"/>
      <c r="S71" s="259"/>
      <c r="T71" s="259"/>
      <c r="U71" s="259"/>
      <c r="V71" s="259"/>
      <c r="W71" s="259"/>
      <c r="X71" s="259"/>
      <c r="Y71" s="259"/>
      <c r="Z71" s="259"/>
      <c r="AA71" s="259"/>
      <c r="AB71" s="259"/>
      <c r="AC71" s="259"/>
      <c r="AD71" s="259"/>
    </row>
    <row r="72" spans="1:30" x14ac:dyDescent="0.25">
      <c r="A72" s="259"/>
      <c r="Q72" s="259"/>
      <c r="R72" s="259"/>
      <c r="S72" s="259"/>
      <c r="T72" s="259"/>
      <c r="U72" s="259"/>
      <c r="V72" s="259"/>
      <c r="W72" s="259"/>
      <c r="X72" s="259"/>
      <c r="Y72" s="259"/>
      <c r="Z72" s="259"/>
      <c r="AA72" s="259"/>
      <c r="AB72" s="259"/>
      <c r="AC72" s="259"/>
      <c r="AD72" s="259"/>
    </row>
    <row r="73" spans="1:30" x14ac:dyDescent="0.25">
      <c r="A73" s="259"/>
      <c r="Q73" s="259"/>
      <c r="R73" s="259"/>
      <c r="S73" s="259"/>
      <c r="T73" s="259"/>
      <c r="U73" s="259"/>
      <c r="V73" s="259"/>
      <c r="W73" s="259"/>
      <c r="X73" s="259"/>
      <c r="Y73" s="259"/>
      <c r="Z73" s="259"/>
      <c r="AA73" s="259"/>
      <c r="AB73" s="259"/>
      <c r="AC73" s="259"/>
      <c r="AD73" s="259"/>
    </row>
    <row r="74" spans="1:30" x14ac:dyDescent="0.25">
      <c r="A74" s="259"/>
      <c r="Q74" s="259"/>
      <c r="R74" s="259"/>
      <c r="S74" s="259"/>
      <c r="T74" s="259"/>
      <c r="U74" s="259"/>
      <c r="V74" s="259"/>
      <c r="W74" s="259"/>
      <c r="X74" s="259"/>
      <c r="Y74" s="259"/>
      <c r="Z74" s="259"/>
      <c r="AA74" s="259"/>
      <c r="AB74" s="259"/>
      <c r="AC74" s="259"/>
      <c r="AD74" s="259"/>
    </row>
    <row r="75" spans="1:30" x14ac:dyDescent="0.25">
      <c r="A75" s="259"/>
      <c r="Q75" s="259"/>
      <c r="R75" s="259"/>
      <c r="S75" s="259"/>
      <c r="T75" s="259"/>
      <c r="U75" s="259"/>
      <c r="V75" s="259"/>
      <c r="W75" s="259"/>
      <c r="X75" s="259"/>
      <c r="Y75" s="259"/>
      <c r="Z75" s="259"/>
      <c r="AA75" s="259"/>
      <c r="AB75" s="259"/>
      <c r="AC75" s="259"/>
      <c r="AD75" s="259"/>
    </row>
    <row r="76" spans="1:30" x14ac:dyDescent="0.25">
      <c r="A76" s="259"/>
      <c r="Q76" s="259"/>
      <c r="R76" s="259"/>
      <c r="S76" s="259"/>
      <c r="T76" s="259"/>
      <c r="U76" s="259"/>
      <c r="V76" s="259"/>
      <c r="W76" s="259"/>
      <c r="X76" s="259"/>
      <c r="Y76" s="259"/>
      <c r="Z76" s="259"/>
      <c r="AA76" s="259"/>
      <c r="AB76" s="259"/>
      <c r="AC76" s="259"/>
      <c r="AD76" s="259"/>
    </row>
    <row r="77" spans="1:30" x14ac:dyDescent="0.25">
      <c r="A77" s="259"/>
      <c r="Q77" s="259"/>
      <c r="R77" s="259"/>
      <c r="S77" s="259"/>
      <c r="T77" s="259"/>
      <c r="U77" s="259"/>
      <c r="V77" s="259"/>
      <c r="W77" s="259"/>
      <c r="X77" s="259"/>
      <c r="Y77" s="259"/>
      <c r="Z77" s="259"/>
      <c r="AA77" s="259"/>
      <c r="AB77" s="259"/>
      <c r="AC77" s="259"/>
      <c r="AD77" s="259"/>
    </row>
    <row r="78" spans="1:30" x14ac:dyDescent="0.25">
      <c r="A78" s="259"/>
      <c r="Q78" s="259"/>
      <c r="R78" s="259"/>
      <c r="S78" s="259"/>
      <c r="T78" s="259"/>
      <c r="U78" s="259"/>
      <c r="V78" s="259"/>
      <c r="W78" s="259"/>
      <c r="X78" s="259"/>
      <c r="Y78" s="259"/>
      <c r="Z78" s="259"/>
      <c r="AA78" s="259"/>
      <c r="AB78" s="259"/>
      <c r="AC78" s="259"/>
      <c r="AD78" s="259"/>
    </row>
    <row r="79" spans="1:30" x14ac:dyDescent="0.25">
      <c r="A79" s="259"/>
      <c r="Q79" s="259"/>
      <c r="R79" s="259"/>
      <c r="S79" s="259"/>
      <c r="T79" s="259"/>
      <c r="U79" s="259"/>
      <c r="V79" s="259"/>
      <c r="W79" s="259"/>
      <c r="X79" s="259"/>
      <c r="Y79" s="259"/>
      <c r="Z79" s="259"/>
      <c r="AA79" s="259"/>
      <c r="AB79" s="259"/>
      <c r="AC79" s="259"/>
      <c r="AD79" s="259"/>
    </row>
    <row r="80" spans="1:30" x14ac:dyDescent="0.25">
      <c r="A80" s="259"/>
      <c r="Q80" s="259"/>
      <c r="R80" s="259"/>
      <c r="S80" s="259"/>
      <c r="T80" s="259"/>
      <c r="U80" s="259"/>
      <c r="V80" s="259"/>
      <c r="W80" s="259"/>
      <c r="X80" s="259"/>
      <c r="Y80" s="259"/>
      <c r="Z80" s="259"/>
      <c r="AA80" s="259"/>
      <c r="AB80" s="259"/>
      <c r="AC80" s="259"/>
      <c r="AD80" s="259"/>
    </row>
    <row r="81" spans="1:30" x14ac:dyDescent="0.25">
      <c r="A81" s="259"/>
      <c r="Q81" s="259"/>
      <c r="R81" s="259"/>
      <c r="S81" s="259"/>
      <c r="T81" s="259"/>
      <c r="U81" s="259"/>
      <c r="V81" s="259"/>
      <c r="W81" s="259"/>
      <c r="X81" s="259"/>
      <c r="Y81" s="259"/>
      <c r="Z81" s="259"/>
      <c r="AA81" s="259"/>
      <c r="AB81" s="259"/>
      <c r="AC81" s="259"/>
      <c r="AD81" s="259"/>
    </row>
    <row r="82" spans="1:30" x14ac:dyDescent="0.25">
      <c r="A82" s="259"/>
      <c r="Q82" s="259"/>
      <c r="R82" s="259"/>
      <c r="S82" s="259"/>
      <c r="T82" s="259"/>
      <c r="U82" s="259"/>
      <c r="V82" s="259"/>
      <c r="W82" s="259"/>
      <c r="X82" s="259"/>
      <c r="Y82" s="259"/>
      <c r="Z82" s="259"/>
      <c r="AA82" s="259"/>
      <c r="AB82" s="259"/>
      <c r="AC82" s="259"/>
      <c r="AD82" s="259"/>
    </row>
    <row r="83" spans="1:30" x14ac:dyDescent="0.25">
      <c r="A83" s="259"/>
      <c r="Q83" s="259"/>
      <c r="R83" s="259"/>
      <c r="S83" s="259"/>
      <c r="T83" s="259"/>
      <c r="U83" s="259"/>
      <c r="V83" s="259"/>
      <c r="W83" s="259"/>
      <c r="X83" s="259"/>
      <c r="Y83" s="259"/>
      <c r="Z83" s="259"/>
      <c r="AA83" s="259"/>
      <c r="AB83" s="259"/>
      <c r="AC83" s="259"/>
      <c r="AD83" s="259"/>
    </row>
    <row r="84" spans="1:30" x14ac:dyDescent="0.25">
      <c r="A84" s="259"/>
      <c r="Q84" s="259"/>
      <c r="R84" s="259"/>
      <c r="S84" s="259"/>
      <c r="T84" s="259"/>
      <c r="U84" s="259"/>
      <c r="V84" s="259"/>
      <c r="W84" s="259"/>
      <c r="X84" s="259"/>
      <c r="Y84" s="259"/>
      <c r="Z84" s="259"/>
      <c r="AA84" s="259"/>
      <c r="AB84" s="259"/>
      <c r="AC84" s="259"/>
      <c r="AD84" s="259"/>
    </row>
    <row r="85" spans="1:30" x14ac:dyDescent="0.25">
      <c r="A85" s="259"/>
      <c r="Q85" s="259"/>
      <c r="R85" s="259"/>
      <c r="S85" s="259"/>
      <c r="T85" s="259"/>
      <c r="U85" s="259"/>
      <c r="V85" s="259"/>
      <c r="W85" s="259"/>
      <c r="X85" s="259"/>
      <c r="Y85" s="259"/>
      <c r="Z85" s="259"/>
      <c r="AA85" s="259"/>
      <c r="AB85" s="259"/>
      <c r="AC85" s="259"/>
      <c r="AD85" s="259"/>
    </row>
    <row r="86" spans="1:30" x14ac:dyDescent="0.25">
      <c r="A86" s="259"/>
      <c r="Q86" s="259"/>
      <c r="R86" s="259"/>
      <c r="S86" s="259"/>
      <c r="T86" s="259"/>
      <c r="U86" s="259"/>
      <c r="V86" s="259"/>
      <c r="W86" s="259"/>
      <c r="X86" s="259"/>
      <c r="Y86" s="259"/>
      <c r="Z86" s="259"/>
      <c r="AA86" s="259"/>
      <c r="AB86" s="259"/>
      <c r="AC86" s="259"/>
      <c r="AD86" s="259"/>
    </row>
    <row r="87" spans="1:30" x14ac:dyDescent="0.25">
      <c r="A87" s="259"/>
      <c r="Q87" s="259"/>
      <c r="R87" s="259"/>
      <c r="S87" s="259"/>
      <c r="T87" s="259"/>
      <c r="U87" s="259"/>
      <c r="V87" s="259"/>
      <c r="W87" s="259"/>
      <c r="X87" s="259"/>
      <c r="Y87" s="259"/>
      <c r="Z87" s="259"/>
      <c r="AA87" s="259"/>
      <c r="AB87" s="259"/>
      <c r="AC87" s="259"/>
      <c r="AD87" s="259"/>
    </row>
    <row r="88" spans="1:30" x14ac:dyDescent="0.25">
      <c r="A88" s="259"/>
      <c r="Q88" s="259"/>
      <c r="R88" s="259"/>
      <c r="S88" s="259"/>
      <c r="T88" s="259"/>
      <c r="U88" s="259"/>
      <c r="V88" s="259"/>
      <c r="W88" s="259"/>
      <c r="X88" s="259"/>
      <c r="Y88" s="259"/>
      <c r="Z88" s="259"/>
      <c r="AA88" s="259"/>
      <c r="AB88" s="259"/>
      <c r="AC88" s="259"/>
      <c r="AD88" s="259"/>
    </row>
    <row r="89" spans="1:30" x14ac:dyDescent="0.25">
      <c r="A89" s="259"/>
      <c r="Q89" s="259"/>
      <c r="R89" s="259"/>
      <c r="S89" s="259"/>
      <c r="T89" s="259"/>
      <c r="U89" s="259"/>
      <c r="V89" s="259"/>
      <c r="W89" s="259"/>
      <c r="X89" s="259"/>
      <c r="Y89" s="259"/>
      <c r="Z89" s="259"/>
      <c r="AA89" s="259"/>
      <c r="AB89" s="259"/>
      <c r="AC89" s="259"/>
      <c r="AD89" s="259"/>
    </row>
    <row r="90" spans="1:30" x14ac:dyDescent="0.25">
      <c r="A90" s="259"/>
      <c r="Q90" s="259"/>
      <c r="R90" s="259"/>
      <c r="S90" s="259"/>
      <c r="T90" s="259"/>
      <c r="U90" s="259"/>
      <c r="V90" s="259"/>
      <c r="W90" s="259"/>
      <c r="X90" s="259"/>
      <c r="Y90" s="259"/>
      <c r="Z90" s="259"/>
      <c r="AA90" s="259"/>
      <c r="AB90" s="259"/>
      <c r="AC90" s="259"/>
      <c r="AD90" s="259"/>
    </row>
    <row r="91" spans="1:30" x14ac:dyDescent="0.25">
      <c r="A91" s="259"/>
      <c r="Q91" s="259"/>
      <c r="R91" s="259"/>
      <c r="S91" s="259"/>
      <c r="T91" s="259"/>
      <c r="U91" s="259"/>
      <c r="V91" s="259"/>
      <c r="W91" s="259"/>
      <c r="X91" s="259"/>
      <c r="Y91" s="259"/>
      <c r="Z91" s="259"/>
      <c r="AA91" s="259"/>
      <c r="AB91" s="259"/>
      <c r="AC91" s="259"/>
      <c r="AD91" s="259"/>
    </row>
    <row r="92" spans="1:30" x14ac:dyDescent="0.25">
      <c r="A92" s="259"/>
      <c r="Q92" s="259"/>
      <c r="R92" s="259"/>
      <c r="S92" s="259"/>
      <c r="T92" s="259"/>
      <c r="U92" s="259"/>
      <c r="V92" s="259"/>
      <c r="W92" s="259"/>
      <c r="X92" s="259"/>
      <c r="Y92" s="259"/>
      <c r="Z92" s="259"/>
      <c r="AA92" s="259"/>
      <c r="AB92" s="259"/>
      <c r="AC92" s="259"/>
      <c r="AD92" s="259"/>
    </row>
    <row r="93" spans="1:30" x14ac:dyDescent="0.25">
      <c r="A93" s="259"/>
      <c r="Q93" s="259"/>
      <c r="R93" s="259"/>
      <c r="S93" s="259"/>
      <c r="T93" s="259"/>
      <c r="U93" s="259"/>
      <c r="V93" s="259"/>
      <c r="W93" s="259"/>
      <c r="X93" s="259"/>
      <c r="Y93" s="259"/>
      <c r="Z93" s="259"/>
      <c r="AA93" s="259"/>
      <c r="AB93" s="259"/>
      <c r="AC93" s="259"/>
      <c r="AD93" s="259"/>
    </row>
    <row r="94" spans="1:30" x14ac:dyDescent="0.25">
      <c r="A94" s="259"/>
      <c r="Q94" s="259"/>
      <c r="R94" s="259"/>
      <c r="S94" s="259"/>
      <c r="T94" s="259"/>
      <c r="U94" s="259"/>
      <c r="V94" s="259"/>
      <c r="W94" s="259"/>
      <c r="X94" s="259"/>
      <c r="Y94" s="259"/>
      <c r="Z94" s="259"/>
      <c r="AA94" s="259"/>
      <c r="AB94" s="259"/>
      <c r="AC94" s="259"/>
      <c r="AD94" s="259"/>
    </row>
    <row r="95" spans="1:30" x14ac:dyDescent="0.25">
      <c r="A95" s="259"/>
      <c r="Q95" s="259"/>
      <c r="R95" s="259"/>
      <c r="S95" s="259"/>
      <c r="T95" s="259"/>
      <c r="U95" s="259"/>
      <c r="V95" s="259"/>
      <c r="W95" s="259"/>
      <c r="X95" s="259"/>
      <c r="Y95" s="259"/>
      <c r="Z95" s="259"/>
      <c r="AA95" s="259"/>
      <c r="AB95" s="259"/>
      <c r="AC95" s="259"/>
      <c r="AD95" s="259"/>
    </row>
    <row r="96" spans="1:30" x14ac:dyDescent="0.25">
      <c r="A96" s="259"/>
      <c r="Q96" s="259"/>
      <c r="R96" s="259"/>
      <c r="S96" s="259"/>
      <c r="T96" s="259"/>
      <c r="U96" s="259"/>
      <c r="V96" s="259"/>
      <c r="W96" s="259"/>
      <c r="X96" s="259"/>
      <c r="Y96" s="259"/>
      <c r="Z96" s="259"/>
      <c r="AA96" s="259"/>
      <c r="AB96" s="259"/>
      <c r="AC96" s="259"/>
      <c r="AD96" s="259"/>
    </row>
    <row r="97" spans="1:30" x14ac:dyDescent="0.25">
      <c r="A97" s="259"/>
      <c r="Q97" s="259"/>
      <c r="R97" s="259"/>
      <c r="S97" s="259"/>
      <c r="T97" s="259"/>
      <c r="U97" s="259"/>
      <c r="V97" s="259"/>
      <c r="W97" s="259"/>
      <c r="X97" s="259"/>
      <c r="Y97" s="259"/>
      <c r="Z97" s="259"/>
      <c r="AA97" s="259"/>
      <c r="AB97" s="259"/>
      <c r="AC97" s="259"/>
      <c r="AD97" s="259"/>
    </row>
    <row r="98" spans="1:30" x14ac:dyDescent="0.25">
      <c r="A98" s="259"/>
      <c r="Q98" s="259"/>
      <c r="R98" s="259"/>
      <c r="S98" s="259"/>
      <c r="T98" s="259"/>
      <c r="U98" s="259"/>
      <c r="V98" s="259"/>
      <c r="W98" s="259"/>
      <c r="X98" s="259"/>
      <c r="Y98" s="259"/>
      <c r="Z98" s="259"/>
      <c r="AA98" s="259"/>
      <c r="AB98" s="259"/>
      <c r="AC98" s="259"/>
      <c r="AD98" s="259"/>
    </row>
    <row r="99" spans="1:30" x14ac:dyDescent="0.25">
      <c r="A99" s="259"/>
      <c r="Q99" s="259"/>
      <c r="R99" s="259"/>
      <c r="S99" s="259"/>
      <c r="T99" s="259"/>
      <c r="U99" s="259"/>
      <c r="V99" s="259"/>
      <c r="W99" s="259"/>
      <c r="X99" s="259"/>
      <c r="Y99" s="259"/>
      <c r="Z99" s="259"/>
      <c r="AA99" s="259"/>
      <c r="AB99" s="259"/>
      <c r="AC99" s="259"/>
      <c r="AD99" s="259"/>
    </row>
    <row r="100" spans="1:30" x14ac:dyDescent="0.25">
      <c r="A100" s="259"/>
      <c r="Q100" s="259"/>
      <c r="R100" s="259"/>
      <c r="S100" s="259"/>
      <c r="T100" s="259"/>
      <c r="U100" s="259"/>
      <c r="V100" s="259"/>
      <c r="W100" s="259"/>
      <c r="X100" s="259"/>
      <c r="Y100" s="259"/>
      <c r="Z100" s="259"/>
      <c r="AA100" s="259"/>
      <c r="AB100" s="259"/>
      <c r="AC100" s="259"/>
      <c r="AD100" s="259"/>
    </row>
    <row r="101" spans="1:30" x14ac:dyDescent="0.25">
      <c r="A101" s="259"/>
      <c r="Q101" s="259"/>
      <c r="R101" s="259"/>
      <c r="S101" s="259"/>
      <c r="T101" s="259"/>
      <c r="U101" s="259"/>
      <c r="V101" s="259"/>
      <c r="W101" s="259"/>
      <c r="X101" s="259"/>
      <c r="Y101" s="259"/>
      <c r="Z101" s="259"/>
      <c r="AA101" s="259"/>
      <c r="AB101" s="259"/>
      <c r="AC101" s="259"/>
      <c r="AD101" s="259"/>
    </row>
    <row r="102" spans="1:30" x14ac:dyDescent="0.25">
      <c r="Q102" s="259"/>
      <c r="R102" s="259"/>
      <c r="S102" s="259"/>
      <c r="T102" s="259"/>
      <c r="U102" s="259"/>
      <c r="V102" s="259"/>
      <c r="W102" s="259"/>
      <c r="X102" s="259"/>
      <c r="Y102" s="259"/>
      <c r="Z102" s="259"/>
      <c r="AA102" s="259"/>
      <c r="AB102" s="259"/>
      <c r="AC102" s="259"/>
      <c r="AD102" s="259"/>
    </row>
    <row r="103" spans="1:30" x14ac:dyDescent="0.25">
      <c r="Q103" s="259"/>
      <c r="R103" s="259"/>
      <c r="S103" s="259"/>
      <c r="T103" s="259"/>
      <c r="U103" s="259"/>
      <c r="V103" s="259"/>
      <c r="W103" s="259"/>
      <c r="X103" s="259"/>
      <c r="Y103" s="259"/>
      <c r="Z103" s="259"/>
      <c r="AA103" s="259"/>
      <c r="AB103" s="259"/>
      <c r="AC103" s="259"/>
      <c r="AD103" s="259"/>
    </row>
    <row r="104" spans="1:30" x14ac:dyDescent="0.25">
      <c r="Q104" s="259"/>
      <c r="R104" s="259"/>
      <c r="S104" s="259"/>
      <c r="T104" s="259"/>
      <c r="U104" s="259"/>
      <c r="V104" s="259"/>
      <c r="W104" s="259"/>
      <c r="X104" s="259"/>
      <c r="Y104" s="259"/>
      <c r="Z104" s="259"/>
      <c r="AA104" s="259"/>
      <c r="AB104" s="259"/>
      <c r="AC104" s="259"/>
      <c r="AD104" s="259"/>
    </row>
    <row r="105" spans="1:30" x14ac:dyDescent="0.25">
      <c r="Q105" s="259"/>
      <c r="R105" s="259"/>
      <c r="S105" s="259"/>
      <c r="T105" s="259"/>
      <c r="U105" s="259"/>
      <c r="V105" s="259"/>
      <c r="W105" s="259"/>
      <c r="X105" s="259"/>
      <c r="Y105" s="259"/>
      <c r="Z105" s="259"/>
      <c r="AA105" s="259"/>
      <c r="AB105" s="259"/>
      <c r="AC105" s="259"/>
      <c r="AD105" s="259"/>
    </row>
    <row r="106" spans="1:30" x14ac:dyDescent="0.25">
      <c r="Q106" s="259"/>
      <c r="R106" s="259"/>
      <c r="S106" s="259"/>
      <c r="T106" s="259"/>
      <c r="U106" s="259"/>
      <c r="V106" s="259"/>
      <c r="W106" s="259"/>
      <c r="X106" s="259"/>
      <c r="Y106" s="259"/>
      <c r="Z106" s="259"/>
      <c r="AA106" s="259"/>
      <c r="AB106" s="259"/>
      <c r="AC106" s="259"/>
      <c r="AD106" s="259"/>
    </row>
    <row r="107" spans="1:30" x14ac:dyDescent="0.25">
      <c r="Q107" s="259"/>
      <c r="R107" s="259"/>
      <c r="S107" s="259"/>
      <c r="T107" s="259"/>
      <c r="U107" s="259"/>
      <c r="V107" s="259"/>
      <c r="W107" s="259"/>
      <c r="X107" s="259"/>
      <c r="Y107" s="259"/>
      <c r="Z107" s="259"/>
      <c r="AA107" s="259"/>
      <c r="AB107" s="259"/>
      <c r="AC107" s="259"/>
      <c r="AD107" s="259"/>
    </row>
    <row r="108" spans="1:30" x14ac:dyDescent="0.25">
      <c r="Q108" s="259"/>
      <c r="R108" s="259"/>
      <c r="S108" s="259"/>
      <c r="T108" s="259"/>
      <c r="U108" s="259"/>
      <c r="V108" s="259"/>
      <c r="W108" s="259"/>
      <c r="X108" s="259"/>
      <c r="Y108" s="259"/>
      <c r="Z108" s="259"/>
      <c r="AA108" s="259"/>
      <c r="AB108" s="259"/>
      <c r="AC108" s="259"/>
      <c r="AD108" s="259"/>
    </row>
    <row r="109" spans="1:30" x14ac:dyDescent="0.25">
      <c r="Q109" s="259"/>
      <c r="R109" s="259"/>
      <c r="S109" s="259"/>
      <c r="T109" s="259"/>
      <c r="U109" s="259"/>
      <c r="V109" s="259"/>
      <c r="W109" s="259"/>
      <c r="X109" s="259"/>
      <c r="Y109" s="259"/>
      <c r="Z109" s="259"/>
      <c r="AA109" s="259"/>
      <c r="AB109" s="259"/>
      <c r="AC109" s="259"/>
      <c r="AD109" s="259"/>
    </row>
    <row r="110" spans="1:30" x14ac:dyDescent="0.25">
      <c r="Q110" s="259"/>
      <c r="R110" s="259"/>
      <c r="S110" s="259"/>
      <c r="T110" s="259"/>
      <c r="U110" s="259"/>
      <c r="V110" s="259"/>
      <c r="W110" s="259"/>
      <c r="X110" s="259"/>
      <c r="Y110" s="259"/>
      <c r="Z110" s="259"/>
      <c r="AA110" s="259"/>
      <c r="AB110" s="259"/>
      <c r="AC110" s="259"/>
      <c r="AD110" s="259"/>
    </row>
    <row r="111" spans="1:30" x14ac:dyDescent="0.25">
      <c r="Q111" s="259"/>
      <c r="R111" s="259"/>
      <c r="S111" s="259"/>
      <c r="T111" s="259"/>
      <c r="U111" s="259"/>
      <c r="V111" s="259"/>
      <c r="W111" s="259"/>
      <c r="X111" s="259"/>
      <c r="Y111" s="259"/>
      <c r="Z111" s="259"/>
      <c r="AA111" s="259"/>
      <c r="AB111" s="259"/>
      <c r="AC111" s="259"/>
      <c r="AD111" s="259"/>
    </row>
    <row r="112" spans="1:30" x14ac:dyDescent="0.25">
      <c r="Q112" s="259"/>
      <c r="R112" s="259"/>
      <c r="S112" s="259"/>
      <c r="T112" s="259"/>
      <c r="U112" s="259"/>
      <c r="V112" s="259"/>
      <c r="W112" s="259"/>
      <c r="X112" s="259"/>
      <c r="Y112" s="259"/>
      <c r="Z112" s="259"/>
      <c r="AA112" s="259"/>
      <c r="AB112" s="259"/>
      <c r="AC112" s="259"/>
      <c r="AD112" s="259"/>
    </row>
    <row r="113" spans="17:30" x14ac:dyDescent="0.25">
      <c r="Q113" s="259"/>
      <c r="R113" s="259"/>
      <c r="S113" s="259"/>
      <c r="T113" s="259"/>
      <c r="U113" s="259"/>
      <c r="V113" s="259"/>
      <c r="W113" s="259"/>
      <c r="X113" s="259"/>
      <c r="Y113" s="259"/>
      <c r="Z113" s="259"/>
      <c r="AA113" s="259"/>
      <c r="AB113" s="259"/>
      <c r="AC113" s="259"/>
      <c r="AD113" s="259"/>
    </row>
    <row r="114" spans="17:30" x14ac:dyDescent="0.25">
      <c r="Q114" s="259"/>
      <c r="R114" s="259"/>
      <c r="S114" s="259"/>
      <c r="T114" s="259"/>
      <c r="U114" s="259"/>
      <c r="V114" s="259"/>
      <c r="W114" s="259"/>
      <c r="X114" s="259"/>
      <c r="Y114" s="259"/>
      <c r="Z114" s="259"/>
      <c r="AA114" s="259"/>
      <c r="AB114" s="259"/>
      <c r="AC114" s="259"/>
      <c r="AD114" s="259"/>
    </row>
    <row r="115" spans="17:30" x14ac:dyDescent="0.25">
      <c r="Q115" s="259"/>
      <c r="R115" s="259"/>
      <c r="S115" s="259"/>
      <c r="T115" s="259"/>
      <c r="U115" s="259"/>
      <c r="V115" s="259"/>
      <c r="W115" s="259"/>
      <c r="X115" s="259"/>
      <c r="Y115" s="259"/>
      <c r="Z115" s="259"/>
      <c r="AA115" s="259"/>
      <c r="AB115" s="259"/>
      <c r="AC115" s="259"/>
      <c r="AD115" s="259"/>
    </row>
    <row r="116" spans="17:30" x14ac:dyDescent="0.25">
      <c r="Q116" s="259"/>
      <c r="R116" s="259"/>
      <c r="S116" s="259"/>
      <c r="T116" s="259"/>
      <c r="U116" s="259"/>
      <c r="V116" s="259"/>
      <c r="W116" s="259"/>
      <c r="X116" s="259"/>
      <c r="Y116" s="259"/>
      <c r="Z116" s="259"/>
      <c r="AA116" s="259"/>
      <c r="AB116" s="259"/>
      <c r="AC116" s="259"/>
      <c r="AD116" s="259"/>
    </row>
    <row r="117" spans="17:30" x14ac:dyDescent="0.25">
      <c r="Q117" s="259"/>
      <c r="R117" s="259"/>
      <c r="S117" s="259"/>
      <c r="T117" s="259"/>
      <c r="U117" s="259"/>
      <c r="V117" s="259"/>
      <c r="W117" s="259"/>
      <c r="X117" s="259"/>
      <c r="Y117" s="259"/>
      <c r="Z117" s="259"/>
      <c r="AA117" s="259"/>
      <c r="AB117" s="259"/>
      <c r="AC117" s="259"/>
      <c r="AD117" s="259"/>
    </row>
    <row r="118" spans="17:30" x14ac:dyDescent="0.25">
      <c r="Q118" s="259"/>
      <c r="R118" s="259"/>
      <c r="S118" s="259"/>
      <c r="T118" s="259"/>
      <c r="U118" s="259"/>
      <c r="V118" s="259"/>
      <c r="W118" s="259"/>
      <c r="X118" s="259"/>
      <c r="Y118" s="259"/>
      <c r="Z118" s="259"/>
      <c r="AA118" s="259"/>
      <c r="AB118" s="259"/>
      <c r="AC118" s="259"/>
      <c r="AD118" s="259"/>
    </row>
    <row r="119" spans="17:30" x14ac:dyDescent="0.25">
      <c r="Q119" s="259"/>
      <c r="R119" s="259"/>
      <c r="S119" s="259"/>
      <c r="T119" s="259"/>
      <c r="U119" s="259"/>
      <c r="V119" s="259"/>
      <c r="W119" s="259"/>
      <c r="X119" s="259"/>
      <c r="Y119" s="259"/>
      <c r="Z119" s="259"/>
      <c r="AA119" s="259"/>
      <c r="AB119" s="259"/>
      <c r="AC119" s="259"/>
      <c r="AD119" s="259"/>
    </row>
    <row r="120" spans="17:30" x14ac:dyDescent="0.25">
      <c r="Q120" s="259"/>
      <c r="R120" s="259"/>
      <c r="S120" s="259"/>
      <c r="T120" s="259"/>
      <c r="U120" s="259"/>
      <c r="V120" s="259"/>
      <c r="W120" s="259"/>
      <c r="X120" s="259"/>
      <c r="Y120" s="259"/>
      <c r="Z120" s="259"/>
      <c r="AA120" s="259"/>
      <c r="AB120" s="259"/>
      <c r="AC120" s="259"/>
      <c r="AD120" s="259"/>
    </row>
    <row r="121" spans="17:30" x14ac:dyDescent="0.25">
      <c r="Q121" s="259"/>
      <c r="R121" s="259"/>
      <c r="S121" s="259"/>
      <c r="T121" s="259"/>
      <c r="U121" s="259"/>
      <c r="V121" s="259"/>
      <c r="W121" s="259"/>
      <c r="X121" s="259"/>
      <c r="Y121" s="259"/>
      <c r="Z121" s="259"/>
      <c r="AA121" s="259"/>
      <c r="AB121" s="259"/>
      <c r="AC121" s="259"/>
      <c r="AD121" s="259"/>
    </row>
    <row r="122" spans="17:30" x14ac:dyDescent="0.25">
      <c r="Q122" s="259"/>
      <c r="R122" s="259"/>
      <c r="S122" s="259"/>
      <c r="T122" s="259"/>
      <c r="U122" s="259"/>
      <c r="V122" s="259"/>
      <c r="W122" s="259"/>
      <c r="X122" s="259"/>
      <c r="Y122" s="259"/>
      <c r="Z122" s="259"/>
      <c r="AA122" s="259"/>
      <c r="AB122" s="259"/>
      <c r="AC122" s="259"/>
      <c r="AD122" s="259"/>
    </row>
    <row r="123" spans="17:30" x14ac:dyDescent="0.25">
      <c r="Q123" s="259"/>
      <c r="R123" s="259"/>
      <c r="S123" s="259"/>
      <c r="T123" s="259"/>
      <c r="U123" s="259"/>
      <c r="V123" s="259"/>
      <c r="W123" s="259"/>
      <c r="X123" s="259"/>
      <c r="Y123" s="259"/>
      <c r="Z123" s="259"/>
      <c r="AA123" s="259"/>
      <c r="AB123" s="259"/>
      <c r="AC123" s="259"/>
      <c r="AD123" s="259"/>
    </row>
    <row r="124" spans="17:30" x14ac:dyDescent="0.25">
      <c r="Q124" s="259"/>
      <c r="R124" s="259"/>
      <c r="S124" s="259"/>
      <c r="T124" s="259"/>
      <c r="U124" s="259"/>
      <c r="V124" s="259"/>
      <c r="W124" s="259"/>
      <c r="X124" s="259"/>
      <c r="Y124" s="259"/>
      <c r="Z124" s="259"/>
      <c r="AA124" s="259"/>
      <c r="AB124" s="259"/>
      <c r="AC124" s="259"/>
      <c r="AD124" s="259"/>
    </row>
    <row r="125" spans="17:30" x14ac:dyDescent="0.25">
      <c r="Q125" s="259"/>
      <c r="R125" s="259"/>
      <c r="S125" s="259"/>
      <c r="T125" s="259"/>
      <c r="U125" s="259"/>
      <c r="V125" s="259"/>
      <c r="W125" s="259"/>
      <c r="X125" s="259"/>
      <c r="Y125" s="259"/>
      <c r="Z125" s="259"/>
      <c r="AA125" s="259"/>
      <c r="AB125" s="259"/>
      <c r="AC125" s="259"/>
      <c r="AD125" s="259"/>
    </row>
    <row r="126" spans="17:30" x14ac:dyDescent="0.25">
      <c r="Q126" s="259"/>
      <c r="R126" s="259"/>
      <c r="S126" s="259"/>
      <c r="T126" s="259"/>
      <c r="U126" s="259"/>
      <c r="V126" s="259"/>
      <c r="W126" s="259"/>
      <c r="X126" s="259"/>
      <c r="Y126" s="259"/>
      <c r="Z126" s="259"/>
      <c r="AA126" s="259"/>
      <c r="AB126" s="259"/>
      <c r="AC126" s="259"/>
      <c r="AD126" s="259"/>
    </row>
    <row r="127" spans="17:30" x14ac:dyDescent="0.25">
      <c r="Q127" s="259"/>
      <c r="R127" s="259"/>
      <c r="S127" s="259"/>
      <c r="T127" s="259"/>
      <c r="U127" s="259"/>
      <c r="V127" s="259"/>
      <c r="W127" s="259"/>
      <c r="X127" s="259"/>
      <c r="Y127" s="259"/>
      <c r="Z127" s="259"/>
      <c r="AA127" s="259"/>
      <c r="AB127" s="259"/>
      <c r="AC127" s="259"/>
      <c r="AD127" s="259"/>
    </row>
    <row r="128" spans="17:30" x14ac:dyDescent="0.25">
      <c r="Q128" s="259"/>
      <c r="R128" s="259"/>
      <c r="S128" s="259"/>
      <c r="T128" s="259"/>
      <c r="U128" s="259"/>
      <c r="V128" s="259"/>
      <c r="W128" s="259"/>
      <c r="X128" s="259"/>
      <c r="Y128" s="259"/>
      <c r="Z128" s="259"/>
      <c r="AA128" s="259"/>
      <c r="AB128" s="259"/>
      <c r="AC128" s="259"/>
      <c r="AD128" s="259"/>
    </row>
    <row r="129" spans="17:30" x14ac:dyDescent="0.25">
      <c r="Q129" s="259"/>
      <c r="R129" s="259"/>
      <c r="S129" s="259"/>
      <c r="T129" s="259"/>
      <c r="U129" s="259"/>
      <c r="V129" s="259"/>
      <c r="W129" s="259"/>
      <c r="X129" s="259"/>
      <c r="Y129" s="259"/>
      <c r="Z129" s="259"/>
      <c r="AA129" s="259"/>
      <c r="AB129" s="259"/>
      <c r="AC129" s="259"/>
      <c r="AD129" s="259"/>
    </row>
    <row r="130" spans="17:30" x14ac:dyDescent="0.25">
      <c r="Q130" s="259"/>
      <c r="R130" s="259"/>
      <c r="S130" s="259"/>
      <c r="T130" s="259"/>
      <c r="U130" s="259"/>
      <c r="V130" s="259"/>
      <c r="W130" s="259"/>
      <c r="X130" s="259"/>
      <c r="Y130" s="259"/>
      <c r="Z130" s="259"/>
      <c r="AA130" s="259"/>
      <c r="AB130" s="259"/>
      <c r="AC130" s="259"/>
      <c r="AD130" s="259"/>
    </row>
    <row r="131" spans="17:30" x14ac:dyDescent="0.25">
      <c r="Q131" s="259"/>
      <c r="R131" s="259"/>
      <c r="S131" s="259"/>
      <c r="T131" s="259"/>
      <c r="U131" s="259"/>
      <c r="V131" s="259"/>
      <c r="W131" s="259"/>
      <c r="X131" s="259"/>
      <c r="Y131" s="259"/>
      <c r="Z131" s="259"/>
      <c r="AA131" s="259"/>
      <c r="AB131" s="259"/>
      <c r="AC131" s="259"/>
      <c r="AD131" s="259"/>
    </row>
    <row r="132" spans="17:30" x14ac:dyDescent="0.25">
      <c r="Q132" s="259"/>
      <c r="R132" s="259"/>
      <c r="S132" s="259"/>
      <c r="T132" s="259"/>
      <c r="U132" s="259"/>
      <c r="V132" s="259"/>
      <c r="W132" s="259"/>
      <c r="X132" s="259"/>
      <c r="Y132" s="259"/>
      <c r="Z132" s="259"/>
      <c r="AA132" s="259"/>
      <c r="AB132" s="259"/>
      <c r="AC132" s="259"/>
      <c r="AD132" s="259"/>
    </row>
    <row r="133" spans="17:30" x14ac:dyDescent="0.25">
      <c r="Q133" s="259"/>
      <c r="R133" s="259"/>
      <c r="S133" s="259"/>
      <c r="T133" s="259"/>
      <c r="U133" s="259"/>
      <c r="V133" s="259"/>
      <c r="W133" s="259"/>
      <c r="X133" s="259"/>
      <c r="Y133" s="259"/>
      <c r="Z133" s="259"/>
      <c r="AA133" s="259"/>
      <c r="AB133" s="259"/>
      <c r="AC133" s="259"/>
      <c r="AD133" s="259"/>
    </row>
    <row r="134" spans="17:30" x14ac:dyDescent="0.25">
      <c r="Q134" s="259"/>
      <c r="R134" s="259"/>
      <c r="S134" s="259"/>
      <c r="T134" s="259"/>
      <c r="U134" s="259"/>
      <c r="V134" s="259"/>
      <c r="W134" s="259"/>
      <c r="X134" s="259"/>
      <c r="Y134" s="259"/>
      <c r="Z134" s="259"/>
      <c r="AA134" s="259"/>
      <c r="AB134" s="259"/>
      <c r="AC134" s="259"/>
      <c r="AD134" s="259"/>
    </row>
    <row r="135" spans="17:30" x14ac:dyDescent="0.25">
      <c r="Q135" s="259"/>
      <c r="R135" s="259"/>
      <c r="S135" s="259"/>
      <c r="T135" s="259"/>
      <c r="U135" s="259"/>
      <c r="V135" s="259"/>
      <c r="W135" s="259"/>
      <c r="X135" s="259"/>
      <c r="Y135" s="259"/>
      <c r="Z135" s="259"/>
      <c r="AA135" s="259"/>
      <c r="AB135" s="259"/>
      <c r="AC135" s="259"/>
      <c r="AD135" s="259"/>
    </row>
    <row r="136" spans="17:30" x14ac:dyDescent="0.25">
      <c r="Q136" s="259"/>
      <c r="R136" s="259"/>
      <c r="S136" s="259"/>
      <c r="T136" s="259"/>
      <c r="U136" s="259"/>
      <c r="V136" s="259"/>
      <c r="W136" s="259"/>
      <c r="X136" s="259"/>
      <c r="Y136" s="259"/>
      <c r="Z136" s="259"/>
      <c r="AA136" s="259"/>
      <c r="AB136" s="259"/>
      <c r="AC136" s="259"/>
      <c r="AD136" s="259"/>
    </row>
    <row r="137" spans="17:30" x14ac:dyDescent="0.25">
      <c r="Q137" s="259"/>
      <c r="R137" s="259"/>
      <c r="S137" s="259"/>
      <c r="T137" s="259"/>
      <c r="U137" s="259"/>
      <c r="V137" s="259"/>
      <c r="W137" s="259"/>
      <c r="X137" s="259"/>
      <c r="Y137" s="259"/>
      <c r="Z137" s="259"/>
      <c r="AA137" s="259"/>
      <c r="AB137" s="259"/>
      <c r="AC137" s="259"/>
      <c r="AD137" s="259"/>
    </row>
    <row r="138" spans="17:30" x14ac:dyDescent="0.25">
      <c r="Q138" s="259"/>
      <c r="R138" s="259"/>
      <c r="S138" s="259"/>
      <c r="T138" s="259"/>
      <c r="U138" s="259"/>
      <c r="V138" s="259"/>
      <c r="W138" s="259"/>
      <c r="X138" s="259"/>
      <c r="Y138" s="259"/>
      <c r="Z138" s="259"/>
      <c r="AA138" s="259"/>
      <c r="AB138" s="259"/>
      <c r="AC138" s="259"/>
      <c r="AD138" s="259"/>
    </row>
    <row r="139" spans="17:30" x14ac:dyDescent="0.25">
      <c r="Q139" s="259"/>
      <c r="R139" s="259"/>
      <c r="S139" s="259"/>
      <c r="T139" s="259"/>
      <c r="U139" s="259"/>
      <c r="V139" s="259"/>
      <c r="W139" s="259"/>
      <c r="X139" s="259"/>
      <c r="Y139" s="259"/>
      <c r="Z139" s="259"/>
      <c r="AA139" s="259"/>
      <c r="AB139" s="259"/>
      <c r="AC139" s="259"/>
      <c r="AD139" s="259"/>
    </row>
    <row r="140" spans="17:30" x14ac:dyDescent="0.25">
      <c r="Q140" s="259"/>
      <c r="R140" s="259"/>
      <c r="S140" s="259"/>
      <c r="T140" s="259"/>
      <c r="U140" s="259"/>
      <c r="V140" s="259"/>
      <c r="W140" s="259"/>
      <c r="X140" s="259"/>
      <c r="Y140" s="259"/>
      <c r="Z140" s="259"/>
      <c r="AA140" s="259"/>
      <c r="AB140" s="259"/>
      <c r="AC140" s="259"/>
      <c r="AD140" s="259"/>
    </row>
    <row r="141" spans="17:30" x14ac:dyDescent="0.25">
      <c r="Q141" s="259"/>
      <c r="R141" s="259"/>
      <c r="S141" s="259"/>
      <c r="T141" s="259"/>
      <c r="U141" s="259"/>
      <c r="V141" s="259"/>
      <c r="W141" s="259"/>
      <c r="X141" s="259"/>
      <c r="Y141" s="259"/>
      <c r="Z141" s="259"/>
      <c r="AA141" s="259"/>
      <c r="AB141" s="259"/>
      <c r="AC141" s="259"/>
      <c r="AD141" s="259"/>
    </row>
    <row r="142" spans="17:30" x14ac:dyDescent="0.25">
      <c r="Q142" s="259"/>
      <c r="R142" s="259"/>
      <c r="S142" s="259"/>
      <c r="T142" s="259"/>
      <c r="U142" s="259"/>
      <c r="V142" s="259"/>
      <c r="W142" s="259"/>
      <c r="X142" s="259"/>
      <c r="Y142" s="259"/>
      <c r="Z142" s="259"/>
      <c r="AA142" s="259"/>
      <c r="AB142" s="259"/>
      <c r="AC142" s="259"/>
      <c r="AD142" s="259"/>
    </row>
    <row r="143" spans="17:30" x14ac:dyDescent="0.25">
      <c r="Q143" s="259"/>
      <c r="R143" s="259"/>
      <c r="S143" s="259"/>
      <c r="T143" s="259"/>
      <c r="U143" s="259"/>
      <c r="V143" s="259"/>
      <c r="W143" s="259"/>
      <c r="X143" s="259"/>
      <c r="Y143" s="259"/>
      <c r="Z143" s="259"/>
      <c r="AA143" s="259"/>
      <c r="AB143" s="259"/>
      <c r="AC143" s="259"/>
      <c r="AD143" s="259"/>
    </row>
    <row r="144" spans="17:30" x14ac:dyDescent="0.25">
      <c r="Q144" s="259"/>
      <c r="R144" s="259"/>
      <c r="S144" s="259"/>
      <c r="T144" s="259"/>
      <c r="U144" s="259"/>
      <c r="V144" s="259"/>
      <c r="W144" s="259"/>
      <c r="X144" s="259"/>
      <c r="Y144" s="259"/>
      <c r="Z144" s="259"/>
      <c r="AA144" s="259"/>
      <c r="AB144" s="259"/>
      <c r="AC144" s="259"/>
      <c r="AD144" s="259"/>
    </row>
    <row r="145" spans="17:30" x14ac:dyDescent="0.25">
      <c r="Q145" s="259"/>
      <c r="R145" s="259"/>
      <c r="S145" s="259"/>
      <c r="T145" s="259"/>
      <c r="U145" s="259"/>
      <c r="V145" s="259"/>
      <c r="W145" s="259"/>
      <c r="X145" s="259"/>
      <c r="Y145" s="259"/>
      <c r="Z145" s="259"/>
      <c r="AA145" s="259"/>
      <c r="AB145" s="259"/>
      <c r="AC145" s="259"/>
      <c r="AD145" s="259"/>
    </row>
    <row r="146" spans="17:30" x14ac:dyDescent="0.25">
      <c r="Q146" s="259"/>
      <c r="R146" s="259"/>
      <c r="S146" s="259"/>
      <c r="T146" s="259"/>
      <c r="U146" s="259"/>
      <c r="V146" s="259"/>
      <c r="W146" s="259"/>
      <c r="X146" s="259"/>
      <c r="Y146" s="259"/>
      <c r="Z146" s="259"/>
      <c r="AA146" s="259"/>
      <c r="AB146" s="259"/>
      <c r="AC146" s="259"/>
      <c r="AD146" s="259"/>
    </row>
    <row r="147" spans="17:30" x14ac:dyDescent="0.25">
      <c r="Q147" s="259"/>
      <c r="R147" s="259"/>
      <c r="S147" s="259"/>
      <c r="T147" s="259"/>
      <c r="U147" s="259"/>
      <c r="V147" s="259"/>
      <c r="W147" s="259"/>
      <c r="X147" s="259"/>
      <c r="Y147" s="259"/>
      <c r="Z147" s="259"/>
      <c r="AA147" s="259"/>
      <c r="AB147" s="259"/>
      <c r="AC147" s="259"/>
      <c r="AD147" s="259"/>
    </row>
    <row r="148" spans="17:30" x14ac:dyDescent="0.25">
      <c r="Q148" s="259"/>
      <c r="R148" s="259"/>
      <c r="S148" s="259"/>
      <c r="T148" s="259"/>
      <c r="U148" s="259"/>
      <c r="V148" s="259"/>
      <c r="W148" s="259"/>
      <c r="X148" s="259"/>
      <c r="Y148" s="259"/>
      <c r="Z148" s="259"/>
      <c r="AA148" s="259"/>
      <c r="AB148" s="259"/>
      <c r="AC148" s="259"/>
      <c r="AD148" s="259"/>
    </row>
    <row r="149" spans="17:30" x14ac:dyDescent="0.25">
      <c r="Q149" s="259"/>
      <c r="R149" s="259"/>
      <c r="S149" s="259"/>
      <c r="T149" s="259"/>
      <c r="U149" s="259"/>
      <c r="V149" s="259"/>
      <c r="W149" s="259"/>
      <c r="X149" s="259"/>
      <c r="Y149" s="259"/>
      <c r="Z149" s="259"/>
      <c r="AA149" s="259"/>
      <c r="AB149" s="259"/>
      <c r="AC149" s="259"/>
      <c r="AD149" s="259"/>
    </row>
    <row r="150" spans="17:30" x14ac:dyDescent="0.25">
      <c r="Q150" s="259"/>
      <c r="R150" s="259"/>
      <c r="S150" s="259"/>
      <c r="T150" s="259"/>
      <c r="U150" s="259"/>
      <c r="V150" s="259"/>
      <c r="W150" s="259"/>
      <c r="X150" s="259"/>
      <c r="Y150" s="259"/>
      <c r="Z150" s="259"/>
      <c r="AA150" s="259"/>
      <c r="AB150" s="259"/>
      <c r="AC150" s="259"/>
      <c r="AD150" s="259"/>
    </row>
    <row r="151" spans="17:30" x14ac:dyDescent="0.25">
      <c r="Q151" s="259"/>
      <c r="R151" s="259"/>
      <c r="S151" s="259"/>
      <c r="T151" s="259"/>
      <c r="U151" s="259"/>
      <c r="V151" s="259"/>
      <c r="W151" s="259"/>
      <c r="X151" s="259"/>
      <c r="Y151" s="259"/>
      <c r="Z151" s="259"/>
      <c r="AA151" s="259"/>
      <c r="AB151" s="259"/>
      <c r="AC151" s="259"/>
      <c r="AD151" s="259"/>
    </row>
    <row r="152" spans="17:30" x14ac:dyDescent="0.25">
      <c r="Q152" s="259"/>
      <c r="R152" s="259"/>
      <c r="S152" s="259"/>
      <c r="T152" s="259"/>
      <c r="U152" s="259"/>
      <c r="V152" s="259"/>
      <c r="W152" s="259"/>
      <c r="X152" s="259"/>
      <c r="Y152" s="259"/>
      <c r="Z152" s="259"/>
      <c r="AA152" s="259"/>
      <c r="AB152" s="259"/>
      <c r="AC152" s="259"/>
      <c r="AD152" s="259"/>
    </row>
    <row r="153" spans="17:30" x14ac:dyDescent="0.25">
      <c r="Q153" s="259"/>
      <c r="R153" s="259"/>
      <c r="S153" s="259"/>
      <c r="T153" s="259"/>
      <c r="U153" s="259"/>
      <c r="V153" s="259"/>
      <c r="W153" s="259"/>
      <c r="X153" s="259"/>
      <c r="Y153" s="259"/>
      <c r="Z153" s="259"/>
      <c r="AA153" s="259"/>
      <c r="AB153" s="259"/>
      <c r="AC153" s="259"/>
      <c r="AD153" s="259"/>
    </row>
    <row r="154" spans="17:30" x14ac:dyDescent="0.25">
      <c r="Q154" s="259"/>
      <c r="R154" s="259"/>
      <c r="S154" s="259"/>
      <c r="T154" s="259"/>
      <c r="U154" s="259"/>
      <c r="V154" s="259"/>
      <c r="W154" s="259"/>
      <c r="X154" s="259"/>
      <c r="Y154" s="259"/>
      <c r="Z154" s="259"/>
      <c r="AA154" s="259"/>
      <c r="AB154" s="259"/>
      <c r="AC154" s="259"/>
      <c r="AD154" s="259"/>
    </row>
    <row r="155" spans="17:30" x14ac:dyDescent="0.25">
      <c r="Q155" s="259"/>
      <c r="R155" s="259"/>
      <c r="S155" s="259"/>
      <c r="T155" s="259"/>
      <c r="U155" s="259"/>
      <c r="V155" s="259"/>
      <c r="W155" s="259"/>
      <c r="X155" s="259"/>
      <c r="Y155" s="259"/>
      <c r="Z155" s="259"/>
      <c r="AA155" s="259"/>
      <c r="AB155" s="259"/>
      <c r="AC155" s="259"/>
      <c r="AD155" s="259"/>
    </row>
    <row r="156" spans="17:30" x14ac:dyDescent="0.25">
      <c r="Q156" s="259"/>
      <c r="R156" s="259"/>
      <c r="S156" s="259"/>
      <c r="T156" s="259"/>
      <c r="U156" s="259"/>
      <c r="V156" s="259"/>
      <c r="W156" s="259"/>
      <c r="X156" s="259"/>
      <c r="Y156" s="259"/>
      <c r="Z156" s="259"/>
      <c r="AA156" s="259"/>
      <c r="AB156" s="259"/>
      <c r="AC156" s="259"/>
      <c r="AD156" s="259"/>
    </row>
    <row r="157" spans="17:30" x14ac:dyDescent="0.25">
      <c r="Q157" s="259"/>
      <c r="R157" s="259"/>
      <c r="S157" s="259"/>
      <c r="T157" s="259"/>
      <c r="U157" s="259"/>
      <c r="V157" s="259"/>
      <c r="W157" s="259"/>
      <c r="X157" s="259"/>
      <c r="Y157" s="259"/>
      <c r="Z157" s="259"/>
      <c r="AA157" s="259"/>
      <c r="AB157" s="259"/>
      <c r="AC157" s="259"/>
      <c r="AD157" s="259"/>
    </row>
    <row r="158" spans="17:30" x14ac:dyDescent="0.25">
      <c r="Q158" s="259"/>
      <c r="R158" s="259"/>
      <c r="S158" s="259"/>
      <c r="T158" s="259"/>
      <c r="U158" s="259"/>
      <c r="V158" s="259"/>
      <c r="W158" s="259"/>
      <c r="X158" s="259"/>
      <c r="Y158" s="259"/>
      <c r="Z158" s="259"/>
      <c r="AA158" s="259"/>
      <c r="AB158" s="259"/>
      <c r="AC158" s="259"/>
      <c r="AD158" s="259"/>
    </row>
    <row r="159" spans="17:30" x14ac:dyDescent="0.25">
      <c r="Q159" s="259"/>
      <c r="R159" s="259"/>
      <c r="S159" s="259"/>
      <c r="T159" s="259"/>
      <c r="U159" s="259"/>
      <c r="V159" s="259"/>
      <c r="W159" s="259"/>
      <c r="X159" s="259"/>
      <c r="Y159" s="259"/>
      <c r="Z159" s="259"/>
      <c r="AA159" s="259"/>
      <c r="AB159" s="259"/>
      <c r="AC159" s="259"/>
      <c r="AD159" s="259"/>
    </row>
    <row r="160" spans="17:30" x14ac:dyDescent="0.25">
      <c r="Q160" s="259"/>
      <c r="R160" s="259"/>
      <c r="S160" s="259"/>
      <c r="T160" s="259"/>
      <c r="U160" s="259"/>
      <c r="V160" s="259"/>
      <c r="W160" s="259"/>
      <c r="X160" s="259"/>
      <c r="Y160" s="259"/>
      <c r="Z160" s="259"/>
      <c r="AA160" s="259"/>
      <c r="AB160" s="259"/>
      <c r="AC160" s="259"/>
      <c r="AD160" s="259"/>
    </row>
    <row r="161" spans="17:30" x14ac:dyDescent="0.25">
      <c r="Q161" s="259"/>
      <c r="R161" s="259"/>
      <c r="S161" s="259"/>
      <c r="T161" s="259"/>
      <c r="U161" s="259"/>
      <c r="V161" s="259"/>
      <c r="W161" s="259"/>
      <c r="X161" s="259"/>
      <c r="Y161" s="259"/>
      <c r="Z161" s="259"/>
      <c r="AA161" s="259"/>
      <c r="AB161" s="259"/>
      <c r="AC161" s="259"/>
      <c r="AD161" s="259"/>
    </row>
    <row r="162" spans="17:30" x14ac:dyDescent="0.25">
      <c r="Q162" s="259"/>
      <c r="R162" s="259"/>
      <c r="S162" s="259"/>
      <c r="T162" s="259"/>
      <c r="U162" s="259"/>
      <c r="V162" s="259"/>
      <c r="W162" s="259"/>
      <c r="X162" s="259"/>
      <c r="Y162" s="259"/>
      <c r="Z162" s="259"/>
      <c r="AA162" s="259"/>
      <c r="AB162" s="259"/>
      <c r="AC162" s="259"/>
      <c r="AD162" s="259"/>
    </row>
    <row r="163" spans="17:30" x14ac:dyDescent="0.25">
      <c r="Q163" s="259"/>
      <c r="R163" s="259"/>
      <c r="S163" s="259"/>
      <c r="T163" s="259"/>
      <c r="U163" s="259"/>
      <c r="V163" s="259"/>
      <c r="W163" s="259"/>
      <c r="X163" s="259"/>
      <c r="Y163" s="259"/>
      <c r="Z163" s="259"/>
      <c r="AA163" s="259"/>
      <c r="AB163" s="259"/>
      <c r="AC163" s="259"/>
      <c r="AD163" s="259"/>
    </row>
    <row r="164" spans="17:30" x14ac:dyDescent="0.25">
      <c r="Q164" s="259"/>
      <c r="R164" s="259"/>
      <c r="S164" s="259"/>
      <c r="T164" s="259"/>
      <c r="U164" s="259"/>
      <c r="V164" s="259"/>
      <c r="W164" s="259"/>
      <c r="X164" s="259"/>
      <c r="Y164" s="259"/>
      <c r="Z164" s="259"/>
      <c r="AA164" s="259"/>
      <c r="AB164" s="259"/>
      <c r="AC164" s="259"/>
      <c r="AD164" s="259"/>
    </row>
    <row r="165" spans="17:30" x14ac:dyDescent="0.25">
      <c r="Q165" s="259"/>
      <c r="R165" s="259"/>
      <c r="S165" s="259"/>
      <c r="T165" s="259"/>
      <c r="U165" s="259"/>
      <c r="V165" s="259"/>
      <c r="W165" s="259"/>
      <c r="X165" s="259"/>
      <c r="Y165" s="259"/>
      <c r="Z165" s="259"/>
      <c r="AA165" s="259"/>
      <c r="AB165" s="259"/>
      <c r="AC165" s="259"/>
      <c r="AD165" s="259"/>
    </row>
    <row r="166" spans="17:30" x14ac:dyDescent="0.25">
      <c r="Q166" s="259"/>
      <c r="R166" s="259"/>
      <c r="S166" s="259"/>
      <c r="T166" s="259"/>
      <c r="U166" s="259"/>
      <c r="V166" s="259"/>
      <c r="W166" s="259"/>
      <c r="X166" s="259"/>
      <c r="Y166" s="259"/>
      <c r="Z166" s="259"/>
      <c r="AA166" s="259"/>
      <c r="AB166" s="259"/>
      <c r="AC166" s="259"/>
      <c r="AD166" s="259"/>
    </row>
    <row r="167" spans="17:30" x14ac:dyDescent="0.25">
      <c r="Q167" s="259"/>
      <c r="R167" s="259"/>
      <c r="S167" s="259"/>
      <c r="T167" s="259"/>
      <c r="U167" s="259"/>
      <c r="V167" s="259"/>
      <c r="W167" s="259"/>
      <c r="X167" s="259"/>
      <c r="Y167" s="259"/>
      <c r="Z167" s="259"/>
      <c r="AA167" s="259"/>
      <c r="AB167" s="259"/>
      <c r="AC167" s="259"/>
      <c r="AD167" s="259"/>
    </row>
    <row r="168" spans="17:30" x14ac:dyDescent="0.25">
      <c r="Q168" s="259"/>
      <c r="R168" s="259"/>
      <c r="S168" s="259"/>
      <c r="T168" s="259"/>
      <c r="U168" s="259"/>
      <c r="V168" s="259"/>
      <c r="W168" s="259"/>
      <c r="X168" s="259"/>
      <c r="Y168" s="259"/>
      <c r="Z168" s="259"/>
      <c r="AA168" s="259"/>
      <c r="AB168" s="259"/>
      <c r="AC168" s="259"/>
      <c r="AD168" s="259"/>
    </row>
    <row r="169" spans="17:30" x14ac:dyDescent="0.25">
      <c r="Q169" s="259"/>
      <c r="R169" s="259"/>
      <c r="S169" s="259"/>
      <c r="T169" s="259"/>
      <c r="U169" s="259"/>
      <c r="V169" s="259"/>
      <c r="W169" s="259"/>
      <c r="X169" s="259"/>
      <c r="Y169" s="259"/>
      <c r="Z169" s="259"/>
      <c r="AA169" s="259"/>
      <c r="AB169" s="259"/>
      <c r="AC169" s="259"/>
      <c r="AD169" s="259"/>
    </row>
    <row r="170" spans="17:30" x14ac:dyDescent="0.25">
      <c r="Q170" s="259"/>
      <c r="R170" s="259"/>
      <c r="S170" s="259"/>
      <c r="T170" s="259"/>
      <c r="U170" s="259"/>
      <c r="V170" s="259"/>
      <c r="W170" s="259"/>
      <c r="X170" s="259"/>
      <c r="Y170" s="259"/>
      <c r="Z170" s="259"/>
      <c r="AA170" s="259"/>
      <c r="AB170" s="259"/>
      <c r="AC170" s="259"/>
      <c r="AD170" s="259"/>
    </row>
    <row r="171" spans="17:30" x14ac:dyDescent="0.25">
      <c r="Q171" s="259"/>
      <c r="R171" s="259"/>
      <c r="S171" s="259"/>
      <c r="T171" s="259"/>
      <c r="U171" s="259"/>
      <c r="V171" s="259"/>
      <c r="W171" s="259"/>
      <c r="X171" s="259"/>
      <c r="Y171" s="259"/>
      <c r="Z171" s="259"/>
      <c r="AA171" s="259"/>
      <c r="AB171" s="259"/>
      <c r="AC171" s="259"/>
      <c r="AD171" s="259"/>
    </row>
    <row r="172" spans="17:30" x14ac:dyDescent="0.25">
      <c r="Q172" s="259"/>
      <c r="R172" s="259"/>
      <c r="S172" s="259"/>
      <c r="T172" s="259"/>
      <c r="U172" s="259"/>
      <c r="V172" s="259"/>
      <c r="W172" s="259"/>
      <c r="X172" s="259"/>
      <c r="Y172" s="259"/>
      <c r="Z172" s="259"/>
      <c r="AA172" s="259"/>
      <c r="AB172" s="259"/>
      <c r="AC172" s="259"/>
      <c r="AD172" s="259"/>
    </row>
    <row r="173" spans="17:30" x14ac:dyDescent="0.25">
      <c r="Q173" s="259"/>
      <c r="R173" s="259"/>
      <c r="S173" s="259"/>
      <c r="T173" s="259"/>
      <c r="U173" s="259"/>
      <c r="V173" s="259"/>
      <c r="W173" s="259"/>
      <c r="X173" s="259"/>
      <c r="Y173" s="259"/>
      <c r="Z173" s="259"/>
      <c r="AA173" s="259"/>
      <c r="AB173" s="259"/>
      <c r="AC173" s="259"/>
      <c r="AD173" s="259"/>
    </row>
    <row r="174" spans="17:30" x14ac:dyDescent="0.25">
      <c r="Q174" s="259"/>
      <c r="R174" s="259"/>
      <c r="S174" s="259"/>
      <c r="T174" s="259"/>
      <c r="U174" s="259"/>
      <c r="V174" s="259"/>
      <c r="W174" s="259"/>
      <c r="X174" s="259"/>
      <c r="Y174" s="259"/>
      <c r="Z174" s="259"/>
      <c r="AA174" s="259"/>
      <c r="AB174" s="259"/>
      <c r="AC174" s="259"/>
      <c r="AD174" s="259"/>
    </row>
    <row r="175" spans="17:30" x14ac:dyDescent="0.25">
      <c r="Q175" s="259"/>
      <c r="R175" s="259"/>
      <c r="S175" s="259"/>
      <c r="T175" s="259"/>
      <c r="U175" s="259"/>
      <c r="V175" s="259"/>
      <c r="W175" s="259"/>
      <c r="X175" s="259"/>
      <c r="Y175" s="259"/>
      <c r="Z175" s="259"/>
      <c r="AA175" s="259"/>
      <c r="AB175" s="259"/>
      <c r="AC175" s="259"/>
      <c r="AD175" s="259"/>
    </row>
    <row r="176" spans="17:30" x14ac:dyDescent="0.25">
      <c r="Q176" s="259"/>
      <c r="R176" s="259"/>
      <c r="S176" s="259"/>
      <c r="T176" s="259"/>
      <c r="U176" s="259"/>
      <c r="V176" s="259"/>
      <c r="W176" s="259"/>
      <c r="X176" s="259"/>
      <c r="Y176" s="259"/>
      <c r="Z176" s="259"/>
      <c r="AA176" s="259"/>
      <c r="AB176" s="259"/>
      <c r="AC176" s="259"/>
      <c r="AD176" s="259"/>
    </row>
    <row r="177" spans="17:30" x14ac:dyDescent="0.25">
      <c r="Q177" s="259"/>
      <c r="R177" s="259"/>
      <c r="S177" s="259"/>
      <c r="T177" s="259"/>
      <c r="U177" s="259"/>
      <c r="V177" s="259"/>
      <c r="W177" s="259"/>
      <c r="X177" s="259"/>
      <c r="Y177" s="259"/>
      <c r="Z177" s="259"/>
      <c r="AA177" s="259"/>
      <c r="AB177" s="259"/>
      <c r="AC177" s="259"/>
      <c r="AD177" s="259"/>
    </row>
    <row r="178" spans="17:30" x14ac:dyDescent="0.25">
      <c r="Q178" s="259"/>
      <c r="R178" s="259"/>
      <c r="S178" s="259"/>
      <c r="T178" s="259"/>
      <c r="U178" s="259"/>
      <c r="V178" s="259"/>
      <c r="W178" s="259"/>
      <c r="X178" s="259"/>
      <c r="Y178" s="259"/>
      <c r="Z178" s="259"/>
      <c r="AA178" s="259"/>
      <c r="AB178" s="259"/>
      <c r="AC178" s="259"/>
      <c r="AD178" s="259"/>
    </row>
    <row r="179" spans="17:30" x14ac:dyDescent="0.25">
      <c r="Q179" s="259"/>
      <c r="R179" s="259"/>
      <c r="S179" s="259"/>
      <c r="T179" s="259"/>
      <c r="U179" s="259"/>
      <c r="V179" s="259"/>
      <c r="W179" s="259"/>
      <c r="X179" s="259"/>
      <c r="Y179" s="259"/>
      <c r="Z179" s="259"/>
      <c r="AA179" s="259"/>
      <c r="AB179" s="259"/>
      <c r="AC179" s="259"/>
      <c r="AD179" s="259"/>
    </row>
    <row r="180" spans="17:30" x14ac:dyDescent="0.25">
      <c r="Q180" s="259"/>
      <c r="R180" s="259"/>
      <c r="S180" s="259"/>
      <c r="T180" s="259"/>
      <c r="U180" s="259"/>
      <c r="V180" s="259"/>
      <c r="W180" s="259"/>
      <c r="X180" s="259"/>
      <c r="Y180" s="259"/>
      <c r="Z180" s="259"/>
      <c r="AA180" s="259"/>
      <c r="AB180" s="259"/>
      <c r="AC180" s="259"/>
      <c r="AD180" s="259"/>
    </row>
    <row r="181" spans="17:30" x14ac:dyDescent="0.25">
      <c r="Q181" s="259"/>
      <c r="R181" s="259"/>
      <c r="S181" s="259"/>
      <c r="T181" s="259"/>
      <c r="U181" s="259"/>
      <c r="V181" s="259"/>
      <c r="W181" s="259"/>
      <c r="X181" s="259"/>
      <c r="Y181" s="259"/>
      <c r="Z181" s="259"/>
      <c r="AA181" s="259"/>
      <c r="AB181" s="259"/>
      <c r="AC181" s="259"/>
      <c r="AD181" s="259"/>
    </row>
    <row r="182" spans="17:30" x14ac:dyDescent="0.25">
      <c r="Q182" s="259"/>
      <c r="R182" s="259"/>
      <c r="S182" s="259"/>
      <c r="T182" s="259"/>
      <c r="U182" s="259"/>
      <c r="V182" s="259"/>
      <c r="W182" s="259"/>
      <c r="X182" s="259"/>
      <c r="Y182" s="259"/>
      <c r="Z182" s="259"/>
      <c r="AA182" s="259"/>
      <c r="AB182" s="259"/>
      <c r="AC182" s="259"/>
      <c r="AD182" s="259"/>
    </row>
    <row r="183" spans="17:30" x14ac:dyDescent="0.25">
      <c r="Q183" s="259"/>
      <c r="R183" s="259"/>
      <c r="S183" s="259"/>
      <c r="T183" s="259"/>
      <c r="U183" s="259"/>
      <c r="V183" s="259"/>
      <c r="W183" s="259"/>
      <c r="X183" s="259"/>
      <c r="Y183" s="259"/>
      <c r="Z183" s="259"/>
      <c r="AA183" s="259"/>
      <c r="AB183" s="259"/>
      <c r="AC183" s="259"/>
      <c r="AD183" s="259"/>
    </row>
    <row r="184" spans="17:30" x14ac:dyDescent="0.25">
      <c r="Q184" s="259"/>
      <c r="R184" s="259"/>
      <c r="S184" s="259"/>
      <c r="T184" s="259"/>
      <c r="U184" s="259"/>
      <c r="V184" s="259"/>
      <c r="W184" s="259"/>
      <c r="X184" s="259"/>
      <c r="Y184" s="259"/>
      <c r="Z184" s="259"/>
      <c r="AA184" s="259"/>
      <c r="AB184" s="259"/>
      <c r="AC184" s="259"/>
      <c r="AD184" s="259"/>
    </row>
    <row r="185" spans="17:30" x14ac:dyDescent="0.25">
      <c r="Q185" s="259"/>
      <c r="R185" s="259"/>
      <c r="S185" s="259"/>
      <c r="T185" s="259"/>
      <c r="U185" s="259"/>
      <c r="V185" s="259"/>
      <c r="W185" s="259"/>
      <c r="X185" s="259"/>
      <c r="Y185" s="259"/>
      <c r="Z185" s="259"/>
      <c r="AA185" s="259"/>
      <c r="AB185" s="259"/>
      <c r="AC185" s="259"/>
      <c r="AD185" s="259"/>
    </row>
    <row r="186" spans="17:30" x14ac:dyDescent="0.25">
      <c r="Q186" s="259"/>
      <c r="R186" s="259"/>
      <c r="S186" s="259"/>
      <c r="T186" s="259"/>
      <c r="U186" s="259"/>
      <c r="V186" s="259"/>
      <c r="W186" s="259"/>
      <c r="X186" s="259"/>
      <c r="Y186" s="259"/>
      <c r="Z186" s="259"/>
      <c r="AA186" s="259"/>
      <c r="AB186" s="259"/>
      <c r="AC186" s="259"/>
      <c r="AD186" s="259"/>
    </row>
    <row r="187" spans="17:30" x14ac:dyDescent="0.25">
      <c r="Q187" s="259"/>
      <c r="R187" s="259"/>
      <c r="S187" s="259"/>
      <c r="T187" s="259"/>
      <c r="U187" s="259"/>
      <c r="V187" s="259"/>
      <c r="W187" s="259"/>
      <c r="X187" s="259"/>
      <c r="Y187" s="259"/>
      <c r="Z187" s="259"/>
      <c r="AA187" s="259"/>
      <c r="AB187" s="259"/>
      <c r="AC187" s="259"/>
      <c r="AD187" s="259"/>
    </row>
    <row r="188" spans="17:30" x14ac:dyDescent="0.25">
      <c r="Q188" s="259"/>
      <c r="R188" s="259"/>
      <c r="S188" s="259"/>
      <c r="T188" s="259"/>
      <c r="U188" s="259"/>
      <c r="V188" s="259"/>
      <c r="W188" s="259"/>
      <c r="X188" s="259"/>
      <c r="Y188" s="259"/>
      <c r="Z188" s="259"/>
      <c r="AA188" s="259"/>
      <c r="AB188" s="259"/>
      <c r="AC188" s="259"/>
      <c r="AD188" s="259"/>
    </row>
    <row r="189" spans="17:30" x14ac:dyDescent="0.25">
      <c r="Q189" s="259"/>
      <c r="R189" s="259"/>
      <c r="S189" s="259"/>
      <c r="T189" s="259"/>
      <c r="U189" s="259"/>
      <c r="V189" s="259"/>
      <c r="W189" s="259"/>
      <c r="X189" s="259"/>
      <c r="Y189" s="259"/>
      <c r="Z189" s="259"/>
      <c r="AA189" s="259"/>
      <c r="AB189" s="259"/>
      <c r="AC189" s="259"/>
      <c r="AD189" s="259"/>
    </row>
    <row r="190" spans="17:30" x14ac:dyDescent="0.25">
      <c r="Q190" s="259"/>
      <c r="R190" s="259"/>
      <c r="S190" s="259"/>
      <c r="T190" s="259"/>
      <c r="U190" s="259"/>
      <c r="V190" s="259"/>
      <c r="W190" s="259"/>
      <c r="X190" s="259"/>
      <c r="Y190" s="259"/>
      <c r="Z190" s="259"/>
      <c r="AA190" s="259"/>
      <c r="AB190" s="259"/>
      <c r="AC190" s="259"/>
      <c r="AD190" s="259"/>
    </row>
    <row r="191" spans="17:30" x14ac:dyDescent="0.25">
      <c r="Q191" s="259"/>
      <c r="R191" s="259"/>
      <c r="S191" s="259"/>
      <c r="T191" s="259"/>
      <c r="U191" s="259"/>
      <c r="V191" s="259"/>
      <c r="W191" s="259"/>
      <c r="X191" s="259"/>
      <c r="Y191" s="259"/>
      <c r="Z191" s="259"/>
      <c r="AA191" s="259"/>
      <c r="AB191" s="259"/>
      <c r="AC191" s="259"/>
      <c r="AD191" s="259"/>
    </row>
    <row r="192" spans="17:30" x14ac:dyDescent="0.25">
      <c r="Q192" s="259"/>
      <c r="R192" s="259"/>
      <c r="S192" s="259"/>
      <c r="T192" s="259"/>
      <c r="U192" s="259"/>
      <c r="V192" s="259"/>
      <c r="W192" s="259"/>
      <c r="X192" s="259"/>
      <c r="Y192" s="259"/>
      <c r="Z192" s="259"/>
      <c r="AA192" s="259"/>
      <c r="AB192" s="259"/>
      <c r="AC192" s="259"/>
      <c r="AD192" s="259"/>
    </row>
    <row r="193" spans="17:30" x14ac:dyDescent="0.25">
      <c r="Q193" s="259"/>
      <c r="R193" s="259"/>
      <c r="S193" s="259"/>
      <c r="T193" s="259"/>
      <c r="U193" s="259"/>
      <c r="V193" s="259"/>
      <c r="W193" s="259"/>
      <c r="X193" s="259"/>
      <c r="Y193" s="259"/>
      <c r="Z193" s="259"/>
      <c r="AA193" s="259"/>
      <c r="AB193" s="259"/>
      <c r="AC193" s="259"/>
      <c r="AD193" s="259"/>
    </row>
    <row r="194" spans="17:30" x14ac:dyDescent="0.25">
      <c r="Q194" s="259"/>
      <c r="R194" s="259"/>
      <c r="S194" s="259"/>
      <c r="T194" s="259"/>
      <c r="U194" s="259"/>
      <c r="V194" s="259"/>
      <c r="W194" s="259"/>
      <c r="X194" s="259"/>
      <c r="Y194" s="259"/>
      <c r="Z194" s="259"/>
      <c r="AA194" s="259"/>
      <c r="AB194" s="259"/>
      <c r="AC194" s="259"/>
      <c r="AD194" s="259"/>
    </row>
    <row r="195" spans="17:30" x14ac:dyDescent="0.25">
      <c r="Q195" s="259"/>
      <c r="R195" s="259"/>
      <c r="S195" s="259"/>
      <c r="T195" s="259"/>
      <c r="U195" s="259"/>
      <c r="V195" s="259"/>
      <c r="W195" s="259"/>
      <c r="X195" s="259"/>
      <c r="Y195" s="259"/>
      <c r="Z195" s="259"/>
      <c r="AA195" s="259"/>
      <c r="AB195" s="259"/>
      <c r="AC195" s="259"/>
      <c r="AD195" s="259"/>
    </row>
    <row r="196" spans="17:30" x14ac:dyDescent="0.25">
      <c r="Q196" s="259"/>
      <c r="R196" s="259"/>
      <c r="S196" s="259"/>
      <c r="T196" s="259"/>
      <c r="U196" s="259"/>
      <c r="V196" s="259"/>
      <c r="W196" s="259"/>
      <c r="X196" s="259"/>
      <c r="Y196" s="259"/>
      <c r="Z196" s="259"/>
      <c r="AA196" s="259"/>
      <c r="AB196" s="259"/>
      <c r="AC196" s="259"/>
      <c r="AD196" s="259"/>
    </row>
    <row r="197" spans="17:30" x14ac:dyDescent="0.25">
      <c r="Q197" s="259"/>
      <c r="R197" s="259"/>
      <c r="S197" s="259"/>
      <c r="T197" s="259"/>
      <c r="U197" s="259"/>
      <c r="V197" s="259"/>
      <c r="W197" s="259"/>
      <c r="X197" s="259"/>
      <c r="Y197" s="259"/>
      <c r="Z197" s="259"/>
      <c r="AA197" s="259"/>
      <c r="AB197" s="259"/>
      <c r="AC197" s="259"/>
      <c r="AD197" s="259"/>
    </row>
    <row r="198" spans="17:30" x14ac:dyDescent="0.25">
      <c r="Q198" s="259"/>
      <c r="R198" s="259"/>
      <c r="S198" s="259"/>
      <c r="T198" s="259"/>
      <c r="U198" s="259"/>
      <c r="V198" s="259"/>
      <c r="W198" s="259"/>
      <c r="X198" s="259"/>
      <c r="Y198" s="259"/>
      <c r="Z198" s="259"/>
      <c r="AA198" s="259"/>
      <c r="AB198" s="259"/>
      <c r="AC198" s="259"/>
      <c r="AD198" s="259"/>
    </row>
    <row r="199" spans="17:30" x14ac:dyDescent="0.25">
      <c r="Q199" s="259"/>
      <c r="R199" s="259"/>
      <c r="S199" s="259"/>
      <c r="T199" s="259"/>
      <c r="U199" s="259"/>
      <c r="V199" s="259"/>
      <c r="W199" s="259"/>
      <c r="X199" s="259"/>
      <c r="Y199" s="259"/>
      <c r="Z199" s="259"/>
      <c r="AA199" s="259"/>
      <c r="AB199" s="259"/>
      <c r="AC199" s="259"/>
      <c r="AD199" s="259"/>
    </row>
    <row r="200" spans="17:30" x14ac:dyDescent="0.25">
      <c r="Q200" s="259"/>
      <c r="R200" s="259"/>
      <c r="S200" s="259"/>
      <c r="T200" s="259"/>
      <c r="U200" s="259"/>
      <c r="V200" s="259"/>
      <c r="W200" s="259"/>
      <c r="X200" s="259"/>
      <c r="Y200" s="259"/>
      <c r="Z200" s="259"/>
      <c r="AA200" s="259"/>
      <c r="AB200" s="259"/>
      <c r="AC200" s="259"/>
      <c r="AD200" s="259"/>
    </row>
    <row r="201" spans="17:30" x14ac:dyDescent="0.25">
      <c r="Q201" s="259"/>
      <c r="R201" s="259"/>
      <c r="S201" s="259"/>
      <c r="T201" s="259"/>
      <c r="U201" s="259"/>
      <c r="V201" s="259"/>
      <c r="W201" s="259"/>
      <c r="X201" s="259"/>
      <c r="Y201" s="259"/>
      <c r="Z201" s="259"/>
      <c r="AA201" s="259"/>
      <c r="AB201" s="259"/>
      <c r="AC201" s="259"/>
      <c r="AD201" s="259"/>
    </row>
    <row r="202" spans="17:30" x14ac:dyDescent="0.25">
      <c r="Q202" s="259"/>
      <c r="R202" s="259"/>
      <c r="S202" s="259"/>
      <c r="T202" s="259"/>
      <c r="U202" s="259"/>
      <c r="V202" s="259"/>
      <c r="W202" s="259"/>
      <c r="X202" s="259"/>
      <c r="Y202" s="259"/>
      <c r="Z202" s="259"/>
      <c r="AA202" s="259"/>
      <c r="AB202" s="259"/>
      <c r="AC202" s="259"/>
      <c r="AD202" s="259"/>
    </row>
    <row r="203" spans="17:30" x14ac:dyDescent="0.25">
      <c r="Q203" s="259"/>
      <c r="R203" s="259"/>
      <c r="S203" s="259"/>
      <c r="T203" s="259"/>
      <c r="U203" s="259"/>
      <c r="V203" s="259"/>
      <c r="W203" s="259"/>
      <c r="X203" s="259"/>
      <c r="Y203" s="259"/>
      <c r="Z203" s="259"/>
      <c r="AA203" s="259"/>
      <c r="AB203" s="259"/>
      <c r="AC203" s="259"/>
      <c r="AD203" s="259"/>
    </row>
    <row r="204" spans="17:30" x14ac:dyDescent="0.25">
      <c r="Q204" s="259"/>
      <c r="R204" s="259"/>
      <c r="S204" s="259"/>
      <c r="T204" s="259"/>
      <c r="U204" s="259"/>
      <c r="V204" s="259"/>
      <c r="W204" s="259"/>
      <c r="X204" s="259"/>
      <c r="Y204" s="259"/>
      <c r="Z204" s="259"/>
      <c r="AA204" s="259"/>
      <c r="AB204" s="259"/>
      <c r="AC204" s="259"/>
      <c r="AD204" s="259"/>
    </row>
    <row r="205" spans="17:30" x14ac:dyDescent="0.25">
      <c r="Q205" s="259"/>
      <c r="R205" s="259"/>
      <c r="S205" s="259"/>
      <c r="T205" s="259"/>
      <c r="U205" s="259"/>
      <c r="V205" s="259"/>
      <c r="W205" s="259"/>
      <c r="X205" s="259"/>
      <c r="Y205" s="259"/>
      <c r="Z205" s="259"/>
      <c r="AA205" s="259"/>
      <c r="AB205" s="259"/>
      <c r="AC205" s="259"/>
      <c r="AD205" s="259"/>
    </row>
    <row r="206" spans="17:30" x14ac:dyDescent="0.25">
      <c r="Q206" s="259"/>
      <c r="R206" s="259"/>
      <c r="S206" s="259"/>
      <c r="T206" s="259"/>
      <c r="U206" s="259"/>
      <c r="V206" s="259"/>
      <c r="W206" s="259"/>
      <c r="X206" s="259"/>
      <c r="Y206" s="259"/>
      <c r="Z206" s="259"/>
      <c r="AA206" s="259"/>
      <c r="AB206" s="259"/>
      <c r="AC206" s="259"/>
      <c r="AD206" s="259"/>
    </row>
    <row r="207" spans="17:30" x14ac:dyDescent="0.25">
      <c r="Q207" s="259"/>
      <c r="R207" s="259"/>
      <c r="S207" s="259"/>
      <c r="T207" s="259"/>
      <c r="U207" s="259"/>
      <c r="V207" s="259"/>
      <c r="W207" s="259"/>
      <c r="X207" s="259"/>
      <c r="Y207" s="259"/>
      <c r="Z207" s="259"/>
      <c r="AA207" s="259"/>
      <c r="AB207" s="259"/>
      <c r="AC207" s="259"/>
      <c r="AD207" s="259"/>
    </row>
    <row r="208" spans="17:30" x14ac:dyDescent="0.25">
      <c r="Q208" s="259"/>
      <c r="R208" s="259"/>
      <c r="S208" s="259"/>
      <c r="T208" s="259"/>
      <c r="U208" s="259"/>
      <c r="V208" s="259"/>
      <c r="W208" s="259"/>
      <c r="X208" s="259"/>
      <c r="Y208" s="259"/>
      <c r="Z208" s="259"/>
      <c r="AA208" s="259"/>
      <c r="AB208" s="259"/>
      <c r="AC208" s="259"/>
      <c r="AD208" s="259"/>
    </row>
    <row r="209" spans="17:30" x14ac:dyDescent="0.25">
      <c r="Q209" s="259"/>
      <c r="R209" s="259"/>
      <c r="S209" s="259"/>
      <c r="T209" s="259"/>
      <c r="U209" s="259"/>
      <c r="V209" s="259"/>
      <c r="W209" s="259"/>
      <c r="X209" s="259"/>
      <c r="Y209" s="259"/>
      <c r="Z209" s="259"/>
      <c r="AA209" s="259"/>
      <c r="AB209" s="259"/>
      <c r="AC209" s="259"/>
      <c r="AD209" s="259"/>
    </row>
    <row r="210" spans="17:30" x14ac:dyDescent="0.25">
      <c r="Q210" s="259"/>
      <c r="R210" s="259"/>
      <c r="S210" s="259"/>
      <c r="T210" s="259"/>
      <c r="U210" s="259"/>
      <c r="V210" s="259"/>
      <c r="W210" s="259"/>
      <c r="X210" s="259"/>
      <c r="Y210" s="259"/>
      <c r="Z210" s="259"/>
      <c r="AA210" s="259"/>
      <c r="AB210" s="259"/>
      <c r="AC210" s="259"/>
      <c r="AD210" s="259"/>
    </row>
    <row r="211" spans="17:30" x14ac:dyDescent="0.25">
      <c r="Q211" s="259"/>
      <c r="R211" s="259"/>
      <c r="S211" s="259"/>
      <c r="T211" s="259"/>
      <c r="U211" s="259"/>
      <c r="V211" s="259"/>
      <c r="W211" s="259"/>
      <c r="X211" s="259"/>
      <c r="Y211" s="259"/>
      <c r="Z211" s="259"/>
      <c r="AA211" s="259"/>
      <c r="AB211" s="259"/>
      <c r="AC211" s="259"/>
      <c r="AD211" s="259"/>
    </row>
    <row r="212" spans="17:30" x14ac:dyDescent="0.25">
      <c r="Q212" s="259"/>
      <c r="R212" s="259"/>
      <c r="S212" s="259"/>
      <c r="T212" s="259"/>
      <c r="U212" s="259"/>
      <c r="V212" s="259"/>
      <c r="W212" s="259"/>
      <c r="X212" s="259"/>
      <c r="Y212" s="259"/>
      <c r="Z212" s="259"/>
      <c r="AA212" s="259"/>
      <c r="AB212" s="259"/>
      <c r="AC212" s="259"/>
      <c r="AD212" s="259"/>
    </row>
    <row r="213" spans="17:30" x14ac:dyDescent="0.25">
      <c r="Q213" s="259"/>
      <c r="R213" s="259"/>
      <c r="S213" s="259"/>
      <c r="T213" s="259"/>
      <c r="U213" s="259"/>
      <c r="V213" s="259"/>
      <c r="W213" s="259"/>
      <c r="X213" s="259"/>
      <c r="Y213" s="259"/>
      <c r="Z213" s="259"/>
      <c r="AA213" s="259"/>
      <c r="AB213" s="259"/>
      <c r="AC213" s="259"/>
      <c r="AD213" s="259"/>
    </row>
    <row r="214" spans="17:30" x14ac:dyDescent="0.25">
      <c r="Q214" s="259"/>
      <c r="R214" s="259"/>
      <c r="S214" s="259"/>
      <c r="T214" s="259"/>
      <c r="U214" s="259"/>
      <c r="V214" s="259"/>
      <c r="W214" s="259"/>
      <c r="X214" s="259"/>
      <c r="Y214" s="259"/>
      <c r="Z214" s="259"/>
      <c r="AA214" s="259"/>
      <c r="AB214" s="259"/>
      <c r="AC214" s="259"/>
      <c r="AD214" s="259"/>
    </row>
    <row r="215" spans="17:30" x14ac:dyDescent="0.25">
      <c r="Q215" s="259"/>
      <c r="R215" s="259"/>
      <c r="S215" s="259"/>
      <c r="T215" s="259"/>
      <c r="U215" s="259"/>
      <c r="V215" s="259"/>
      <c r="W215" s="259"/>
      <c r="X215" s="259"/>
      <c r="Y215" s="259"/>
      <c r="Z215" s="259"/>
      <c r="AA215" s="259"/>
      <c r="AB215" s="259"/>
      <c r="AC215" s="259"/>
      <c r="AD215" s="259"/>
    </row>
    <row r="216" spans="17:30" x14ac:dyDescent="0.25">
      <c r="Q216" s="259"/>
      <c r="R216" s="259"/>
      <c r="S216" s="259"/>
      <c r="T216" s="259"/>
      <c r="U216" s="259"/>
      <c r="V216" s="259"/>
      <c r="W216" s="259"/>
      <c r="X216" s="259"/>
      <c r="Y216" s="259"/>
      <c r="Z216" s="259"/>
      <c r="AA216" s="259"/>
      <c r="AB216" s="259"/>
      <c r="AC216" s="259"/>
      <c r="AD216" s="259"/>
    </row>
    <row r="217" spans="17:30" x14ac:dyDescent="0.25">
      <c r="Q217" s="259"/>
      <c r="R217" s="259"/>
      <c r="S217" s="259"/>
      <c r="T217" s="259"/>
      <c r="U217" s="259"/>
      <c r="V217" s="259"/>
      <c r="W217" s="259"/>
      <c r="X217" s="259"/>
      <c r="Y217" s="259"/>
      <c r="Z217" s="259"/>
      <c r="AA217" s="259"/>
      <c r="AB217" s="259"/>
      <c r="AC217" s="259"/>
      <c r="AD217" s="259"/>
    </row>
    <row r="218" spans="17:30" x14ac:dyDescent="0.25">
      <c r="Q218" s="259"/>
      <c r="R218" s="259"/>
      <c r="S218" s="259"/>
      <c r="T218" s="259"/>
      <c r="U218" s="259"/>
      <c r="V218" s="259"/>
      <c r="W218" s="259"/>
      <c r="X218" s="259"/>
      <c r="Y218" s="259"/>
      <c r="Z218" s="259"/>
      <c r="AA218" s="259"/>
      <c r="AB218" s="259"/>
      <c r="AC218" s="259"/>
      <c r="AD218" s="259"/>
    </row>
    <row r="219" spans="17:30" x14ac:dyDescent="0.25">
      <c r="Q219" s="259"/>
      <c r="R219" s="259"/>
      <c r="S219" s="259"/>
      <c r="T219" s="259"/>
      <c r="U219" s="259"/>
      <c r="V219" s="259"/>
      <c r="W219" s="259"/>
      <c r="X219" s="259"/>
      <c r="Y219" s="259"/>
      <c r="Z219" s="259"/>
      <c r="AA219" s="259"/>
      <c r="AB219" s="259"/>
      <c r="AC219" s="259"/>
      <c r="AD219" s="259"/>
    </row>
    <row r="220" spans="17:30" x14ac:dyDescent="0.25">
      <c r="Q220" s="259"/>
      <c r="R220" s="259"/>
      <c r="S220" s="259"/>
      <c r="T220" s="259"/>
      <c r="U220" s="259"/>
      <c r="V220" s="259"/>
      <c r="W220" s="259"/>
      <c r="X220" s="259"/>
      <c r="Y220" s="259"/>
      <c r="Z220" s="259"/>
      <c r="AA220" s="259"/>
      <c r="AB220" s="259"/>
      <c r="AC220" s="259"/>
      <c r="AD220" s="259"/>
    </row>
    <row r="221" spans="17:30" x14ac:dyDescent="0.25">
      <c r="Q221" s="259"/>
      <c r="R221" s="259"/>
      <c r="S221" s="259"/>
      <c r="T221" s="259"/>
      <c r="U221" s="259"/>
      <c r="V221" s="259"/>
      <c r="W221" s="259"/>
      <c r="X221" s="259"/>
      <c r="Y221" s="259"/>
      <c r="Z221" s="259"/>
      <c r="AA221" s="259"/>
      <c r="AB221" s="259"/>
      <c r="AC221" s="259"/>
      <c r="AD221" s="259"/>
    </row>
    <row r="222" spans="17:30" x14ac:dyDescent="0.25">
      <c r="Q222" s="259"/>
      <c r="R222" s="259"/>
      <c r="S222" s="259"/>
      <c r="T222" s="259"/>
      <c r="U222" s="259"/>
      <c r="V222" s="259"/>
      <c r="W222" s="259"/>
      <c r="X222" s="259"/>
      <c r="Y222" s="259"/>
      <c r="Z222" s="259"/>
      <c r="AA222" s="259"/>
      <c r="AB222" s="259"/>
      <c r="AC222" s="259"/>
      <c r="AD222" s="259"/>
    </row>
    <row r="223" spans="17:30" x14ac:dyDescent="0.25">
      <c r="Q223" s="259"/>
      <c r="R223" s="259"/>
      <c r="S223" s="259"/>
      <c r="T223" s="259"/>
      <c r="U223" s="259"/>
      <c r="V223" s="259"/>
      <c r="W223" s="259"/>
      <c r="X223" s="259"/>
      <c r="Y223" s="259"/>
      <c r="Z223" s="259"/>
      <c r="AA223" s="259"/>
      <c r="AB223" s="259"/>
      <c r="AC223" s="259"/>
      <c r="AD223" s="259"/>
    </row>
    <row r="224" spans="17:30" x14ac:dyDescent="0.25">
      <c r="Q224" s="259"/>
      <c r="R224" s="259"/>
      <c r="S224" s="259"/>
      <c r="T224" s="259"/>
      <c r="U224" s="259"/>
      <c r="V224" s="259"/>
      <c r="W224" s="259"/>
      <c r="X224" s="259"/>
      <c r="Y224" s="259"/>
      <c r="Z224" s="259"/>
      <c r="AA224" s="259"/>
      <c r="AB224" s="259"/>
      <c r="AC224" s="259"/>
      <c r="AD224" s="259"/>
    </row>
    <row r="225" spans="17:30" x14ac:dyDescent="0.25">
      <c r="Q225" s="259"/>
      <c r="R225" s="259"/>
      <c r="S225" s="259"/>
      <c r="T225" s="259"/>
      <c r="U225" s="259"/>
      <c r="V225" s="259"/>
      <c r="W225" s="259"/>
      <c r="X225" s="259"/>
      <c r="Y225" s="259"/>
      <c r="Z225" s="259"/>
      <c r="AA225" s="259"/>
      <c r="AB225" s="259"/>
      <c r="AC225" s="259"/>
      <c r="AD225" s="259"/>
    </row>
    <row r="226" spans="17:30" x14ac:dyDescent="0.25">
      <c r="Q226" s="259"/>
      <c r="R226" s="259"/>
      <c r="S226" s="259"/>
      <c r="T226" s="259"/>
      <c r="U226" s="259"/>
      <c r="V226" s="259"/>
      <c r="W226" s="259"/>
      <c r="X226" s="259"/>
      <c r="Y226" s="259"/>
      <c r="Z226" s="259"/>
      <c r="AA226" s="259"/>
      <c r="AB226" s="259"/>
      <c r="AC226" s="259"/>
      <c r="AD226" s="259"/>
    </row>
    <row r="227" spans="17:30" x14ac:dyDescent="0.25">
      <c r="Q227" s="259"/>
      <c r="R227" s="259"/>
      <c r="S227" s="259"/>
      <c r="T227" s="259"/>
      <c r="U227" s="259"/>
      <c r="V227" s="259"/>
      <c r="W227" s="259"/>
      <c r="X227" s="259"/>
      <c r="Y227" s="259"/>
      <c r="Z227" s="259"/>
      <c r="AA227" s="259"/>
      <c r="AB227" s="259"/>
      <c r="AC227" s="259"/>
      <c r="AD227" s="259"/>
    </row>
    <row r="228" spans="17:30" x14ac:dyDescent="0.25">
      <c r="Q228" s="259"/>
      <c r="R228" s="259"/>
      <c r="S228" s="259"/>
      <c r="T228" s="259"/>
      <c r="U228" s="259"/>
      <c r="V228" s="259"/>
      <c r="W228" s="259"/>
      <c r="X228" s="259"/>
      <c r="Y228" s="259"/>
      <c r="Z228" s="259"/>
      <c r="AA228" s="259"/>
      <c r="AB228" s="259"/>
      <c r="AC228" s="259"/>
      <c r="AD228" s="259"/>
    </row>
    <row r="229" spans="17:30" x14ac:dyDescent="0.25">
      <c r="Q229" s="259"/>
      <c r="R229" s="259"/>
      <c r="S229" s="259"/>
      <c r="T229" s="259"/>
      <c r="U229" s="259"/>
      <c r="V229" s="259"/>
      <c r="W229" s="259"/>
      <c r="X229" s="259"/>
      <c r="Y229" s="259"/>
      <c r="Z229" s="259"/>
      <c r="AA229" s="259"/>
      <c r="AB229" s="259"/>
      <c r="AC229" s="259"/>
      <c r="AD229" s="259"/>
    </row>
    <row r="230" spans="17:30" x14ac:dyDescent="0.25">
      <c r="Q230" s="259"/>
      <c r="R230" s="259"/>
      <c r="S230" s="259"/>
      <c r="T230" s="259"/>
      <c r="U230" s="259"/>
      <c r="V230" s="259"/>
      <c r="W230" s="259"/>
      <c r="X230" s="259"/>
      <c r="Y230" s="259"/>
      <c r="Z230" s="259"/>
      <c r="AA230" s="259"/>
      <c r="AB230" s="259"/>
      <c r="AC230" s="259"/>
      <c r="AD230" s="259"/>
    </row>
    <row r="231" spans="17:30" x14ac:dyDescent="0.25">
      <c r="Q231" s="259"/>
      <c r="R231" s="259"/>
      <c r="S231" s="259"/>
      <c r="T231" s="259"/>
      <c r="U231" s="259"/>
      <c r="V231" s="259"/>
      <c r="W231" s="259"/>
      <c r="X231" s="259"/>
      <c r="Y231" s="259"/>
      <c r="Z231" s="259"/>
      <c r="AA231" s="259"/>
      <c r="AB231" s="259"/>
      <c r="AC231" s="259"/>
      <c r="AD231" s="259"/>
    </row>
    <row r="232" spans="17:30" x14ac:dyDescent="0.25">
      <c r="Q232" s="259"/>
      <c r="R232" s="259"/>
      <c r="S232" s="259"/>
      <c r="T232" s="259"/>
      <c r="U232" s="259"/>
      <c r="V232" s="259"/>
      <c r="W232" s="259"/>
      <c r="X232" s="259"/>
      <c r="Y232" s="259"/>
      <c r="Z232" s="259"/>
      <c r="AA232" s="259"/>
      <c r="AB232" s="259"/>
      <c r="AC232" s="259"/>
      <c r="AD232" s="259"/>
    </row>
    <row r="233" spans="17:30" x14ac:dyDescent="0.25">
      <c r="Q233" s="259"/>
      <c r="R233" s="259"/>
      <c r="S233" s="259"/>
      <c r="T233" s="259"/>
      <c r="U233" s="259"/>
      <c r="V233" s="259"/>
      <c r="W233" s="259"/>
      <c r="X233" s="259"/>
      <c r="Y233" s="259"/>
      <c r="Z233" s="259"/>
      <c r="AA233" s="259"/>
      <c r="AB233" s="259"/>
      <c r="AC233" s="259"/>
      <c r="AD233" s="259"/>
    </row>
    <row r="234" spans="17:30" x14ac:dyDescent="0.25">
      <c r="Q234" s="259"/>
      <c r="R234" s="259"/>
      <c r="S234" s="259"/>
      <c r="T234" s="259"/>
      <c r="U234" s="259"/>
      <c r="V234" s="259"/>
      <c r="W234" s="259"/>
      <c r="X234" s="259"/>
      <c r="Y234" s="259"/>
      <c r="Z234" s="259"/>
      <c r="AA234" s="259"/>
      <c r="AB234" s="259"/>
      <c r="AC234" s="259"/>
      <c r="AD234" s="259"/>
    </row>
    <row r="235" spans="17:30" x14ac:dyDescent="0.25">
      <c r="Q235" s="259"/>
      <c r="R235" s="259"/>
      <c r="S235" s="259"/>
      <c r="T235" s="259"/>
      <c r="U235" s="259"/>
      <c r="V235" s="259"/>
      <c r="W235" s="259"/>
      <c r="X235" s="259"/>
      <c r="Y235" s="259"/>
      <c r="Z235" s="259"/>
      <c r="AA235" s="259"/>
      <c r="AB235" s="259"/>
      <c r="AC235" s="259"/>
      <c r="AD235" s="259"/>
    </row>
    <row r="236" spans="17:30" x14ac:dyDescent="0.25">
      <c r="Q236" s="259"/>
      <c r="R236" s="259"/>
      <c r="S236" s="259"/>
      <c r="T236" s="259"/>
      <c r="U236" s="259"/>
      <c r="V236" s="259"/>
      <c r="W236" s="259"/>
      <c r="X236" s="259"/>
      <c r="Y236" s="259"/>
      <c r="Z236" s="259"/>
      <c r="AA236" s="259"/>
      <c r="AB236" s="259"/>
      <c r="AC236" s="259"/>
      <c r="AD236" s="259"/>
    </row>
    <row r="237" spans="17:30" x14ac:dyDescent="0.25">
      <c r="Q237" s="259"/>
      <c r="R237" s="259"/>
      <c r="S237" s="259"/>
      <c r="T237" s="259"/>
      <c r="U237" s="259"/>
      <c r="V237" s="259"/>
      <c r="W237" s="259"/>
      <c r="X237" s="259"/>
      <c r="Y237" s="259"/>
      <c r="Z237" s="259"/>
      <c r="AA237" s="259"/>
      <c r="AB237" s="259"/>
      <c r="AC237" s="259"/>
      <c r="AD237" s="259"/>
    </row>
    <row r="238" spans="17:30" x14ac:dyDescent="0.25">
      <c r="Q238" s="259"/>
      <c r="R238" s="259"/>
      <c r="S238" s="259"/>
      <c r="T238" s="259"/>
      <c r="U238" s="259"/>
      <c r="V238" s="259"/>
      <c r="W238" s="259"/>
      <c r="X238" s="259"/>
      <c r="Y238" s="259"/>
      <c r="Z238" s="259"/>
      <c r="AA238" s="259"/>
      <c r="AB238" s="259"/>
      <c r="AC238" s="259"/>
      <c r="AD238" s="259"/>
    </row>
    <row r="239" spans="17:30" x14ac:dyDescent="0.25">
      <c r="Q239" s="259"/>
      <c r="R239" s="259"/>
      <c r="S239" s="259"/>
      <c r="T239" s="259"/>
      <c r="U239" s="259"/>
      <c r="V239" s="259"/>
      <c r="W239" s="259"/>
      <c r="X239" s="259"/>
      <c r="Y239" s="259"/>
      <c r="Z239" s="259"/>
      <c r="AA239" s="259"/>
      <c r="AB239" s="259"/>
      <c r="AC239" s="259"/>
      <c r="AD239" s="259"/>
    </row>
    <row r="240" spans="17:30" x14ac:dyDescent="0.25">
      <c r="Q240" s="259"/>
      <c r="R240" s="259"/>
      <c r="S240" s="259"/>
      <c r="T240" s="259"/>
      <c r="U240" s="259"/>
      <c r="V240" s="259"/>
      <c r="W240" s="259"/>
      <c r="X240" s="259"/>
      <c r="Y240" s="259"/>
      <c r="Z240" s="259"/>
      <c r="AA240" s="259"/>
      <c r="AB240" s="259"/>
      <c r="AC240" s="259"/>
      <c r="AD240" s="259"/>
    </row>
    <row r="241" spans="17:30" x14ac:dyDescent="0.25">
      <c r="Q241" s="259"/>
      <c r="R241" s="259"/>
      <c r="S241" s="259"/>
      <c r="T241" s="259"/>
      <c r="U241" s="259"/>
      <c r="V241" s="259"/>
      <c r="W241" s="259"/>
      <c r="X241" s="259"/>
      <c r="Y241" s="259"/>
      <c r="Z241" s="259"/>
      <c r="AA241" s="259"/>
      <c r="AB241" s="259"/>
      <c r="AC241" s="259"/>
      <c r="AD241" s="259"/>
    </row>
    <row r="242" spans="17:30" x14ac:dyDescent="0.25">
      <c r="Q242" s="259"/>
      <c r="R242" s="259"/>
      <c r="S242" s="259"/>
      <c r="T242" s="259"/>
      <c r="U242" s="259"/>
      <c r="V242" s="259"/>
      <c r="W242" s="259"/>
      <c r="X242" s="259"/>
      <c r="Y242" s="259"/>
      <c r="Z242" s="259"/>
      <c r="AA242" s="259"/>
      <c r="AB242" s="259"/>
      <c r="AC242" s="259"/>
      <c r="AD242" s="259"/>
    </row>
    <row r="243" spans="17:30" x14ac:dyDescent="0.25">
      <c r="Q243" s="259"/>
      <c r="R243" s="259"/>
      <c r="S243" s="259"/>
      <c r="T243" s="259"/>
      <c r="U243" s="259"/>
      <c r="V243" s="259"/>
      <c r="W243" s="259"/>
      <c r="X243" s="259"/>
      <c r="Y243" s="259"/>
      <c r="Z243" s="259"/>
      <c r="AA243" s="259"/>
      <c r="AB243" s="259"/>
      <c r="AC243" s="259"/>
      <c r="AD243" s="259"/>
    </row>
    <row r="244" spans="17:30" x14ac:dyDescent="0.25">
      <c r="Q244" s="259"/>
      <c r="R244" s="259"/>
      <c r="S244" s="259"/>
      <c r="T244" s="259"/>
      <c r="U244" s="259"/>
      <c r="V244" s="259"/>
      <c r="W244" s="259"/>
      <c r="X244" s="259"/>
      <c r="Y244" s="259"/>
      <c r="Z244" s="259"/>
      <c r="AA244" s="259"/>
      <c r="AB244" s="259"/>
      <c r="AC244" s="259"/>
      <c r="AD244" s="259"/>
    </row>
    <row r="245" spans="17:30" x14ac:dyDescent="0.25">
      <c r="Q245" s="259"/>
      <c r="R245" s="259"/>
      <c r="S245" s="259"/>
      <c r="T245" s="259"/>
      <c r="U245" s="259"/>
      <c r="V245" s="259"/>
      <c r="W245" s="259"/>
      <c r="X245" s="259"/>
      <c r="Y245" s="259"/>
      <c r="Z245" s="259"/>
      <c r="AA245" s="259"/>
      <c r="AB245" s="259"/>
      <c r="AC245" s="259"/>
      <c r="AD245" s="259"/>
    </row>
    <row r="246" spans="17:30" x14ac:dyDescent="0.25">
      <c r="Q246" s="259"/>
      <c r="R246" s="259"/>
      <c r="S246" s="259"/>
      <c r="T246" s="259"/>
      <c r="U246" s="259"/>
      <c r="V246" s="259"/>
      <c r="W246" s="259"/>
      <c r="X246" s="259"/>
      <c r="Y246" s="259"/>
      <c r="Z246" s="259"/>
      <c r="AA246" s="259"/>
      <c r="AB246" s="259"/>
      <c r="AC246" s="259"/>
      <c r="AD246" s="259"/>
    </row>
    <row r="247" spans="17:30" x14ac:dyDescent="0.25">
      <c r="Q247" s="259"/>
      <c r="R247" s="259"/>
      <c r="S247" s="259"/>
      <c r="T247" s="259"/>
      <c r="U247" s="259"/>
      <c r="V247" s="259"/>
      <c r="W247" s="259"/>
      <c r="X247" s="259"/>
      <c r="Y247" s="259"/>
      <c r="Z247" s="259"/>
      <c r="AA247" s="259"/>
      <c r="AB247" s="259"/>
      <c r="AC247" s="259"/>
      <c r="AD247" s="259"/>
    </row>
    <row r="248" spans="17:30" x14ac:dyDescent="0.25">
      <c r="Q248" s="259"/>
      <c r="R248" s="259"/>
      <c r="S248" s="259"/>
      <c r="T248" s="259"/>
      <c r="U248" s="259"/>
      <c r="V248" s="259"/>
      <c r="W248" s="259"/>
      <c r="X248" s="259"/>
      <c r="Y248" s="259"/>
      <c r="Z248" s="259"/>
      <c r="AA248" s="259"/>
      <c r="AB248" s="259"/>
      <c r="AC248" s="259"/>
      <c r="AD248" s="259"/>
    </row>
    <row r="249" spans="17:30" x14ac:dyDescent="0.25">
      <c r="Q249" s="259"/>
      <c r="R249" s="259"/>
      <c r="S249" s="259"/>
      <c r="T249" s="259"/>
      <c r="U249" s="259"/>
      <c r="V249" s="259"/>
      <c r="W249" s="259"/>
      <c r="X249" s="259"/>
      <c r="Y249" s="259"/>
      <c r="Z249" s="259"/>
      <c r="AA249" s="259"/>
      <c r="AB249" s="259"/>
      <c r="AC249" s="259"/>
      <c r="AD249" s="259"/>
    </row>
    <row r="250" spans="17:30" x14ac:dyDescent="0.25">
      <c r="Q250" s="259"/>
      <c r="R250" s="259"/>
      <c r="S250" s="259"/>
      <c r="T250" s="259"/>
      <c r="U250" s="259"/>
      <c r="V250" s="259"/>
      <c r="W250" s="259"/>
      <c r="X250" s="259"/>
      <c r="Y250" s="259"/>
      <c r="Z250" s="259"/>
      <c r="AA250" s="259"/>
      <c r="AB250" s="259"/>
      <c r="AC250" s="259"/>
      <c r="AD250" s="259"/>
    </row>
    <row r="251" spans="17:30" x14ac:dyDescent="0.25">
      <c r="Q251" s="259"/>
      <c r="R251" s="259"/>
      <c r="S251" s="259"/>
      <c r="T251" s="259"/>
      <c r="U251" s="259"/>
      <c r="V251" s="259"/>
      <c r="W251" s="259"/>
      <c r="X251" s="259"/>
      <c r="Y251" s="259"/>
      <c r="Z251" s="259"/>
      <c r="AA251" s="259"/>
      <c r="AB251" s="259"/>
      <c r="AC251" s="259"/>
      <c r="AD251" s="259"/>
    </row>
    <row r="252" spans="17:30" x14ac:dyDescent="0.25">
      <c r="Q252" s="259"/>
      <c r="R252" s="259"/>
      <c r="S252" s="259"/>
      <c r="T252" s="259"/>
      <c r="U252" s="259"/>
      <c r="V252" s="259"/>
      <c r="W252" s="259"/>
      <c r="X252" s="259"/>
      <c r="Y252" s="259"/>
      <c r="Z252" s="259"/>
      <c r="AA252" s="259"/>
      <c r="AB252" s="259"/>
      <c r="AC252" s="259"/>
      <c r="AD252" s="259"/>
    </row>
    <row r="253" spans="17:30" x14ac:dyDescent="0.25">
      <c r="Q253" s="259"/>
      <c r="R253" s="259"/>
      <c r="S253" s="259"/>
      <c r="T253" s="259"/>
      <c r="U253" s="259"/>
      <c r="V253" s="259"/>
      <c r="W253" s="259"/>
      <c r="X253" s="259"/>
      <c r="Y253" s="259"/>
      <c r="Z253" s="259"/>
      <c r="AA253" s="259"/>
      <c r="AB253" s="259"/>
      <c r="AC253" s="259"/>
      <c r="AD253" s="259"/>
    </row>
    <row r="254" spans="17:30" x14ac:dyDescent="0.25">
      <c r="Q254" s="259"/>
      <c r="R254" s="259"/>
      <c r="S254" s="259"/>
      <c r="T254" s="259"/>
      <c r="U254" s="259"/>
      <c r="V254" s="259"/>
      <c r="W254" s="259"/>
      <c r="X254" s="259"/>
      <c r="Y254" s="259"/>
      <c r="Z254" s="259"/>
      <c r="AA254" s="259"/>
      <c r="AB254" s="259"/>
      <c r="AC254" s="259"/>
      <c r="AD254" s="259"/>
    </row>
    <row r="255" spans="17:30" x14ac:dyDescent="0.25">
      <c r="Q255" s="259"/>
      <c r="R255" s="259"/>
      <c r="S255" s="259"/>
      <c r="T255" s="259"/>
      <c r="U255" s="259"/>
      <c r="V255" s="259"/>
      <c r="W255" s="259"/>
      <c r="X255" s="259"/>
      <c r="Y255" s="259"/>
      <c r="Z255" s="259"/>
      <c r="AA255" s="259"/>
      <c r="AB255" s="259"/>
      <c r="AC255" s="259"/>
      <c r="AD255" s="259"/>
    </row>
    <row r="256" spans="17:30" x14ac:dyDescent="0.25">
      <c r="Q256" s="259"/>
      <c r="R256" s="259"/>
      <c r="S256" s="259"/>
      <c r="T256" s="259"/>
      <c r="U256" s="259"/>
      <c r="V256" s="259"/>
      <c r="W256" s="259"/>
      <c r="X256" s="259"/>
      <c r="Y256" s="259"/>
      <c r="Z256" s="259"/>
      <c r="AA256" s="259"/>
      <c r="AB256" s="259"/>
      <c r="AC256" s="259"/>
      <c r="AD256" s="259"/>
    </row>
    <row r="257" spans="17:30" x14ac:dyDescent="0.25">
      <c r="Q257" s="259"/>
      <c r="R257" s="259"/>
      <c r="S257" s="259"/>
      <c r="T257" s="259"/>
      <c r="U257" s="259"/>
      <c r="V257" s="259"/>
      <c r="W257" s="259"/>
      <c r="X257" s="259"/>
      <c r="Y257" s="259"/>
      <c r="Z257" s="259"/>
      <c r="AA257" s="259"/>
      <c r="AB257" s="259"/>
      <c r="AC257" s="259"/>
      <c r="AD257" s="259"/>
    </row>
    <row r="258" spans="17:30" x14ac:dyDescent="0.25">
      <c r="Q258" s="259"/>
      <c r="R258" s="259"/>
      <c r="S258" s="259"/>
      <c r="T258" s="259"/>
      <c r="U258" s="259"/>
      <c r="V258" s="259"/>
      <c r="W258" s="259"/>
      <c r="X258" s="259"/>
      <c r="Y258" s="259"/>
      <c r="Z258" s="259"/>
      <c r="AA258" s="259"/>
      <c r="AB258" s="259"/>
      <c r="AC258" s="259"/>
      <c r="AD258" s="259"/>
    </row>
    <row r="259" spans="17:30" x14ac:dyDescent="0.25">
      <c r="Q259" s="259"/>
      <c r="R259" s="259"/>
      <c r="S259" s="259"/>
      <c r="T259" s="259"/>
      <c r="U259" s="259"/>
      <c r="V259" s="259"/>
      <c r="W259" s="259"/>
      <c r="X259" s="259"/>
      <c r="Y259" s="259"/>
      <c r="Z259" s="259"/>
      <c r="AA259" s="259"/>
      <c r="AB259" s="259"/>
      <c r="AC259" s="259"/>
      <c r="AD259" s="259"/>
    </row>
    <row r="260" spans="17:30" x14ac:dyDescent="0.25">
      <c r="Q260" s="259"/>
      <c r="R260" s="259"/>
      <c r="S260" s="259"/>
      <c r="T260" s="259"/>
      <c r="U260" s="259"/>
      <c r="V260" s="259"/>
      <c r="W260" s="259"/>
      <c r="X260" s="259"/>
      <c r="Y260" s="259"/>
      <c r="Z260" s="259"/>
      <c r="AA260" s="259"/>
      <c r="AB260" s="259"/>
      <c r="AC260" s="259"/>
      <c r="AD260" s="259"/>
    </row>
    <row r="261" spans="17:30" x14ac:dyDescent="0.25">
      <c r="Q261" s="259"/>
      <c r="R261" s="259"/>
      <c r="S261" s="259"/>
      <c r="T261" s="259"/>
      <c r="U261" s="259"/>
      <c r="V261" s="259"/>
      <c r="W261" s="259"/>
      <c r="X261" s="259"/>
      <c r="Y261" s="259"/>
      <c r="Z261" s="259"/>
      <c r="AA261" s="259"/>
      <c r="AB261" s="259"/>
      <c r="AC261" s="259"/>
      <c r="AD261" s="259"/>
    </row>
    <row r="262" spans="17:30" x14ac:dyDescent="0.25">
      <c r="Q262" s="259"/>
      <c r="R262" s="259"/>
      <c r="S262" s="259"/>
      <c r="T262" s="259"/>
      <c r="U262" s="259"/>
      <c r="V262" s="259"/>
      <c r="W262" s="259"/>
      <c r="X262" s="259"/>
      <c r="Y262" s="259"/>
      <c r="Z262" s="259"/>
      <c r="AA262" s="259"/>
      <c r="AB262" s="259"/>
      <c r="AC262" s="259"/>
      <c r="AD262" s="259"/>
    </row>
    <row r="263" spans="17:30" x14ac:dyDescent="0.25">
      <c r="Q263" s="259"/>
      <c r="R263" s="259"/>
      <c r="S263" s="259"/>
      <c r="T263" s="259"/>
      <c r="U263" s="259"/>
      <c r="V263" s="259"/>
      <c r="W263" s="259"/>
      <c r="X263" s="259"/>
      <c r="Y263" s="259"/>
      <c r="Z263" s="259"/>
      <c r="AA263" s="259"/>
      <c r="AB263" s="259"/>
      <c r="AC263" s="259"/>
      <c r="AD263" s="259"/>
    </row>
    <row r="264" spans="17:30" x14ac:dyDescent="0.25">
      <c r="Q264" s="259"/>
      <c r="R264" s="259"/>
      <c r="S264" s="259"/>
      <c r="T264" s="259"/>
      <c r="U264" s="259"/>
      <c r="V264" s="259"/>
      <c r="W264" s="259"/>
      <c r="X264" s="259"/>
      <c r="Y264" s="259"/>
      <c r="Z264" s="259"/>
      <c r="AA264" s="259"/>
      <c r="AB264" s="259"/>
      <c r="AC264" s="259"/>
      <c r="AD264" s="259"/>
    </row>
    <row r="265" spans="17:30" x14ac:dyDescent="0.25">
      <c r="Q265" s="259"/>
      <c r="R265" s="259"/>
      <c r="S265" s="259"/>
      <c r="T265" s="259"/>
      <c r="U265" s="259"/>
      <c r="V265" s="259"/>
      <c r="W265" s="259"/>
      <c r="X265" s="259"/>
      <c r="Y265" s="259"/>
      <c r="Z265" s="259"/>
      <c r="AA265" s="259"/>
      <c r="AB265" s="259"/>
      <c r="AC265" s="259"/>
      <c r="AD265" s="259"/>
    </row>
    <row r="266" spans="17:30" x14ac:dyDescent="0.25">
      <c r="Q266" s="259"/>
      <c r="R266" s="259"/>
      <c r="S266" s="259"/>
      <c r="T266" s="259"/>
      <c r="U266" s="259"/>
      <c r="V266" s="259"/>
      <c r="W266" s="259"/>
      <c r="X266" s="259"/>
      <c r="Y266" s="259"/>
      <c r="Z266" s="259"/>
      <c r="AA266" s="259"/>
      <c r="AB266" s="259"/>
      <c r="AC266" s="259"/>
      <c r="AD266" s="259"/>
    </row>
    <row r="267" spans="17:30" x14ac:dyDescent="0.25">
      <c r="Q267" s="259"/>
      <c r="R267" s="259"/>
      <c r="S267" s="259"/>
      <c r="T267" s="259"/>
      <c r="U267" s="259"/>
      <c r="V267" s="259"/>
      <c r="W267" s="259"/>
      <c r="X267" s="259"/>
      <c r="Y267" s="259"/>
      <c r="Z267" s="259"/>
      <c r="AA267" s="259"/>
      <c r="AB267" s="259"/>
      <c r="AC267" s="259"/>
      <c r="AD267" s="259"/>
    </row>
    <row r="268" spans="17:30" x14ac:dyDescent="0.25">
      <c r="Q268" s="259"/>
      <c r="R268" s="259"/>
      <c r="S268" s="259"/>
      <c r="T268" s="259"/>
      <c r="U268" s="259"/>
      <c r="V268" s="259"/>
      <c r="W268" s="259"/>
      <c r="X268" s="259"/>
      <c r="Y268" s="259"/>
      <c r="Z268" s="259"/>
      <c r="AA268" s="259"/>
      <c r="AB268" s="259"/>
      <c r="AC268" s="259"/>
      <c r="AD268" s="259"/>
    </row>
    <row r="269" spans="17:30" x14ac:dyDescent="0.25">
      <c r="Q269" s="259"/>
      <c r="R269" s="259"/>
      <c r="S269" s="259"/>
      <c r="T269" s="259"/>
      <c r="U269" s="259"/>
      <c r="V269" s="259"/>
      <c r="W269" s="259"/>
      <c r="X269" s="259"/>
      <c r="Y269" s="259"/>
      <c r="Z269" s="259"/>
      <c r="AA269" s="259"/>
      <c r="AB269" s="259"/>
      <c r="AC269" s="259"/>
      <c r="AD269" s="259"/>
    </row>
    <row r="270" spans="17:30" x14ac:dyDescent="0.25">
      <c r="Q270" s="259"/>
      <c r="R270" s="259"/>
      <c r="S270" s="259"/>
      <c r="T270" s="259"/>
      <c r="U270" s="259"/>
      <c r="V270" s="259"/>
      <c r="W270" s="259"/>
      <c r="X270" s="259"/>
      <c r="Y270" s="259"/>
      <c r="Z270" s="259"/>
      <c r="AA270" s="259"/>
      <c r="AB270" s="259"/>
      <c r="AC270" s="259"/>
      <c r="AD270" s="259"/>
    </row>
    <row r="271" spans="17:30" x14ac:dyDescent="0.25">
      <c r="Q271" s="259"/>
      <c r="R271" s="259"/>
      <c r="S271" s="259"/>
      <c r="T271" s="259"/>
      <c r="U271" s="259"/>
      <c r="V271" s="259"/>
      <c r="W271" s="259"/>
      <c r="X271" s="259"/>
      <c r="Y271" s="259"/>
      <c r="Z271" s="259"/>
      <c r="AA271" s="259"/>
      <c r="AB271" s="259"/>
      <c r="AC271" s="259"/>
      <c r="AD271" s="259"/>
    </row>
    <row r="272" spans="17:30" x14ac:dyDescent="0.25">
      <c r="Q272" s="259"/>
      <c r="R272" s="259"/>
      <c r="S272" s="259"/>
      <c r="T272" s="259"/>
      <c r="U272" s="259"/>
      <c r="V272" s="259"/>
      <c r="W272" s="259"/>
      <c r="X272" s="259"/>
      <c r="Y272" s="259"/>
      <c r="Z272" s="259"/>
      <c r="AA272" s="259"/>
      <c r="AB272" s="259"/>
      <c r="AC272" s="259"/>
      <c r="AD272" s="259"/>
    </row>
    <row r="273" spans="17:30" x14ac:dyDescent="0.25">
      <c r="Q273" s="259"/>
      <c r="R273" s="259"/>
      <c r="S273" s="259"/>
      <c r="T273" s="259"/>
      <c r="U273" s="259"/>
      <c r="V273" s="259"/>
      <c r="W273" s="259"/>
      <c r="X273" s="259"/>
      <c r="Y273" s="259"/>
      <c r="Z273" s="259"/>
      <c r="AA273" s="259"/>
      <c r="AB273" s="259"/>
      <c r="AC273" s="259"/>
      <c r="AD273" s="259"/>
    </row>
    <row r="274" spans="17:30" x14ac:dyDescent="0.25">
      <c r="Q274" s="259"/>
      <c r="R274" s="259"/>
      <c r="S274" s="259"/>
      <c r="T274" s="259"/>
      <c r="U274" s="259"/>
      <c r="V274" s="259"/>
      <c r="W274" s="259"/>
      <c r="X274" s="259"/>
      <c r="Y274" s="259"/>
      <c r="Z274" s="259"/>
      <c r="AA274" s="259"/>
      <c r="AB274" s="259"/>
      <c r="AC274" s="259"/>
      <c r="AD274" s="259"/>
    </row>
    <row r="275" spans="17:30" x14ac:dyDescent="0.25">
      <c r="Q275" s="259"/>
      <c r="R275" s="259"/>
      <c r="S275" s="259"/>
      <c r="T275" s="259"/>
      <c r="U275" s="259"/>
      <c r="V275" s="259"/>
      <c r="W275" s="259"/>
      <c r="X275" s="259"/>
      <c r="Y275" s="259"/>
      <c r="Z275" s="259"/>
      <c r="AA275" s="259"/>
      <c r="AB275" s="259"/>
      <c r="AC275" s="259"/>
      <c r="AD275" s="259"/>
    </row>
    <row r="276" spans="17:30" x14ac:dyDescent="0.25">
      <c r="Q276" s="259"/>
      <c r="R276" s="259"/>
      <c r="S276" s="259"/>
      <c r="T276" s="259"/>
      <c r="U276" s="259"/>
      <c r="V276" s="259"/>
      <c r="W276" s="259"/>
      <c r="X276" s="259"/>
      <c r="Y276" s="259"/>
      <c r="Z276" s="259"/>
      <c r="AA276" s="259"/>
      <c r="AB276" s="259"/>
      <c r="AC276" s="259"/>
      <c r="AD276" s="259"/>
    </row>
    <row r="277" spans="17:30" x14ac:dyDescent="0.25">
      <c r="Q277" s="259"/>
      <c r="R277" s="259"/>
      <c r="S277" s="259"/>
      <c r="T277" s="259"/>
      <c r="U277" s="259"/>
      <c r="V277" s="259"/>
      <c r="W277" s="259"/>
      <c r="X277" s="259"/>
      <c r="Y277" s="259"/>
      <c r="Z277" s="259"/>
      <c r="AA277" s="259"/>
      <c r="AB277" s="259"/>
      <c r="AC277" s="259"/>
      <c r="AD277" s="259"/>
    </row>
    <row r="278" spans="17:30" x14ac:dyDescent="0.25">
      <c r="Q278" s="259"/>
      <c r="R278" s="259"/>
      <c r="S278" s="259"/>
      <c r="T278" s="259"/>
      <c r="U278" s="259"/>
      <c r="V278" s="259"/>
      <c r="W278" s="259"/>
      <c r="X278" s="259"/>
      <c r="Y278" s="259"/>
      <c r="Z278" s="259"/>
      <c r="AA278" s="259"/>
      <c r="AB278" s="259"/>
      <c r="AC278" s="259"/>
      <c r="AD278" s="259"/>
    </row>
    <row r="279" spans="17:30" x14ac:dyDescent="0.25">
      <c r="Q279" s="259"/>
      <c r="R279" s="259"/>
      <c r="S279" s="259"/>
      <c r="T279" s="259"/>
      <c r="U279" s="259"/>
      <c r="V279" s="259"/>
      <c r="W279" s="259"/>
      <c r="X279" s="259"/>
      <c r="Y279" s="259"/>
      <c r="Z279" s="259"/>
      <c r="AA279" s="259"/>
      <c r="AB279" s="259"/>
      <c r="AC279" s="259"/>
      <c r="AD279" s="259"/>
    </row>
    <row r="280" spans="17:30" x14ac:dyDescent="0.25">
      <c r="Q280" s="259"/>
      <c r="R280" s="259"/>
      <c r="S280" s="259"/>
      <c r="T280" s="259"/>
      <c r="U280" s="259"/>
      <c r="V280" s="259"/>
      <c r="W280" s="259"/>
      <c r="X280" s="259"/>
      <c r="Y280" s="259"/>
      <c r="Z280" s="259"/>
      <c r="AA280" s="259"/>
      <c r="AB280" s="259"/>
      <c r="AC280" s="259"/>
      <c r="AD280" s="259"/>
    </row>
    <row r="281" spans="17:30" x14ac:dyDescent="0.25">
      <c r="Q281" s="259"/>
      <c r="R281" s="259"/>
      <c r="S281" s="259"/>
      <c r="T281" s="259"/>
      <c r="U281" s="259"/>
      <c r="V281" s="259"/>
      <c r="W281" s="259"/>
      <c r="X281" s="259"/>
      <c r="Y281" s="259"/>
      <c r="Z281" s="259"/>
      <c r="AA281" s="259"/>
      <c r="AB281" s="259"/>
      <c r="AC281" s="259"/>
      <c r="AD281" s="259"/>
    </row>
    <row r="282" spans="17:30" x14ac:dyDescent="0.25">
      <c r="Q282" s="259"/>
      <c r="R282" s="259"/>
      <c r="S282" s="259"/>
      <c r="T282" s="259"/>
      <c r="U282" s="259"/>
      <c r="V282" s="259"/>
      <c r="W282" s="259"/>
      <c r="X282" s="259"/>
      <c r="Y282" s="259"/>
      <c r="Z282" s="259"/>
      <c r="AA282" s="259"/>
      <c r="AB282" s="259"/>
      <c r="AC282" s="259"/>
      <c r="AD282" s="259"/>
    </row>
    <row r="283" spans="17:30" x14ac:dyDescent="0.25">
      <c r="Q283" s="259"/>
      <c r="R283" s="259"/>
      <c r="S283" s="259"/>
      <c r="T283" s="259"/>
      <c r="U283" s="259"/>
      <c r="V283" s="259"/>
      <c r="W283" s="259"/>
      <c r="X283" s="259"/>
      <c r="Y283" s="259"/>
      <c r="Z283" s="259"/>
      <c r="AA283" s="259"/>
      <c r="AB283" s="259"/>
      <c r="AC283" s="259"/>
      <c r="AD283" s="259"/>
    </row>
    <row r="284" spans="17:30" x14ac:dyDescent="0.25">
      <c r="Q284" s="259"/>
      <c r="R284" s="259"/>
      <c r="S284" s="259"/>
      <c r="T284" s="259"/>
      <c r="U284" s="259"/>
      <c r="V284" s="259"/>
      <c r="W284" s="259"/>
      <c r="X284" s="259"/>
      <c r="Y284" s="259"/>
      <c r="Z284" s="259"/>
      <c r="AA284" s="259"/>
      <c r="AB284" s="259"/>
      <c r="AC284" s="259"/>
      <c r="AD284" s="259"/>
    </row>
    <row r="285" spans="17:30" x14ac:dyDescent="0.25">
      <c r="Q285" s="259"/>
      <c r="R285" s="259"/>
      <c r="S285" s="259"/>
      <c r="T285" s="259"/>
      <c r="U285" s="259"/>
      <c r="V285" s="259"/>
      <c r="W285" s="259"/>
      <c r="X285" s="259"/>
      <c r="Y285" s="259"/>
      <c r="Z285" s="259"/>
      <c r="AA285" s="259"/>
      <c r="AB285" s="259"/>
      <c r="AC285" s="259"/>
      <c r="AD285" s="259"/>
    </row>
    <row r="286" spans="17:30" x14ac:dyDescent="0.25">
      <c r="Q286" s="259"/>
      <c r="R286" s="259"/>
      <c r="S286" s="259"/>
      <c r="T286" s="259"/>
      <c r="U286" s="259"/>
      <c r="V286" s="259"/>
      <c r="W286" s="259"/>
      <c r="X286" s="259"/>
      <c r="Y286" s="259"/>
      <c r="Z286" s="259"/>
      <c r="AA286" s="259"/>
      <c r="AB286" s="259"/>
      <c r="AC286" s="259"/>
      <c r="AD286" s="259"/>
    </row>
    <row r="287" spans="17:30" x14ac:dyDescent="0.25">
      <c r="Q287" s="259"/>
      <c r="R287" s="259"/>
      <c r="S287" s="259"/>
      <c r="T287" s="259"/>
      <c r="U287" s="259"/>
      <c r="V287" s="259"/>
      <c r="W287" s="259"/>
      <c r="X287" s="259"/>
      <c r="Y287" s="259"/>
      <c r="Z287" s="259"/>
      <c r="AA287" s="259"/>
      <c r="AB287" s="259"/>
      <c r="AC287" s="259"/>
      <c r="AD287" s="259"/>
    </row>
    <row r="288" spans="17:30" x14ac:dyDescent="0.25">
      <c r="Q288" s="259"/>
      <c r="R288" s="259"/>
      <c r="S288" s="259"/>
      <c r="T288" s="259"/>
      <c r="U288" s="259"/>
      <c r="V288" s="259"/>
      <c r="W288" s="259"/>
      <c r="X288" s="259"/>
      <c r="Y288" s="259"/>
      <c r="Z288" s="259"/>
      <c r="AA288" s="259"/>
      <c r="AB288" s="259"/>
      <c r="AC288" s="259"/>
      <c r="AD288" s="259"/>
    </row>
    <row r="289" spans="17:30" x14ac:dyDescent="0.25">
      <c r="Q289" s="259"/>
      <c r="R289" s="259"/>
      <c r="S289" s="259"/>
      <c r="T289" s="259"/>
      <c r="U289" s="259"/>
      <c r="V289" s="259"/>
      <c r="W289" s="259"/>
      <c r="X289" s="259"/>
      <c r="Y289" s="259"/>
      <c r="Z289" s="259"/>
      <c r="AA289" s="259"/>
      <c r="AB289" s="259"/>
      <c r="AC289" s="259"/>
      <c r="AD289" s="259"/>
    </row>
    <row r="290" spans="17:30" x14ac:dyDescent="0.25">
      <c r="Q290" s="259"/>
      <c r="R290" s="259"/>
      <c r="S290" s="259"/>
      <c r="T290" s="259"/>
      <c r="U290" s="259"/>
      <c r="V290" s="259"/>
      <c r="W290" s="259"/>
      <c r="X290" s="259"/>
      <c r="Y290" s="259"/>
      <c r="Z290" s="259"/>
      <c r="AA290" s="259"/>
      <c r="AB290" s="259"/>
      <c r="AC290" s="259"/>
      <c r="AD290" s="259"/>
    </row>
    <row r="291" spans="17:30" x14ac:dyDescent="0.25">
      <c r="Q291" s="259"/>
      <c r="R291" s="259"/>
      <c r="S291" s="259"/>
      <c r="T291" s="259"/>
      <c r="U291" s="259"/>
      <c r="V291" s="259"/>
      <c r="W291" s="259"/>
      <c r="X291" s="259"/>
      <c r="Y291" s="259"/>
      <c r="Z291" s="259"/>
      <c r="AA291" s="259"/>
      <c r="AB291" s="259"/>
      <c r="AC291" s="259"/>
      <c r="AD291" s="259"/>
    </row>
    <row r="292" spans="17:30" x14ac:dyDescent="0.25">
      <c r="Q292" s="259"/>
      <c r="R292" s="259"/>
      <c r="S292" s="259"/>
      <c r="T292" s="259"/>
      <c r="U292" s="259"/>
      <c r="V292" s="259"/>
      <c r="W292" s="259"/>
      <c r="X292" s="259"/>
      <c r="Y292" s="259"/>
      <c r="Z292" s="259"/>
      <c r="AA292" s="259"/>
      <c r="AB292" s="259"/>
      <c r="AC292" s="259"/>
      <c r="AD292" s="259"/>
    </row>
    <row r="293" spans="17:30" x14ac:dyDescent="0.25">
      <c r="Q293" s="259"/>
      <c r="R293" s="259"/>
      <c r="S293" s="259"/>
      <c r="T293" s="259"/>
      <c r="U293" s="259"/>
      <c r="V293" s="259"/>
      <c r="W293" s="259"/>
      <c r="X293" s="259"/>
      <c r="Y293" s="259"/>
      <c r="Z293" s="259"/>
      <c r="AA293" s="259"/>
      <c r="AB293" s="259"/>
      <c r="AC293" s="259"/>
      <c r="AD293" s="259"/>
    </row>
    <row r="294" spans="17:30" x14ac:dyDescent="0.25">
      <c r="Q294" s="259"/>
      <c r="R294" s="259"/>
      <c r="S294" s="259"/>
      <c r="T294" s="259"/>
      <c r="U294" s="259"/>
      <c r="V294" s="259"/>
      <c r="W294" s="259"/>
      <c r="X294" s="259"/>
      <c r="Y294" s="259"/>
      <c r="Z294" s="259"/>
      <c r="AA294" s="259"/>
      <c r="AB294" s="259"/>
      <c r="AC294" s="259"/>
      <c r="AD294" s="259"/>
    </row>
    <row r="295" spans="17:30" x14ac:dyDescent="0.25">
      <c r="Q295" s="259"/>
      <c r="R295" s="259"/>
      <c r="S295" s="259"/>
      <c r="T295" s="259"/>
      <c r="U295" s="259"/>
      <c r="V295" s="259"/>
      <c r="W295" s="259"/>
      <c r="X295" s="259"/>
      <c r="Y295" s="259"/>
      <c r="Z295" s="259"/>
      <c r="AA295" s="259"/>
      <c r="AB295" s="259"/>
      <c r="AC295" s="259"/>
      <c r="AD295" s="259"/>
    </row>
    <row r="296" spans="17:30" x14ac:dyDescent="0.25">
      <c r="Q296" s="259"/>
      <c r="R296" s="259"/>
      <c r="S296" s="259"/>
      <c r="T296" s="259"/>
      <c r="U296" s="259"/>
      <c r="V296" s="259"/>
      <c r="W296" s="259"/>
      <c r="X296" s="259"/>
      <c r="Y296" s="259"/>
      <c r="Z296" s="259"/>
      <c r="AA296" s="259"/>
      <c r="AB296" s="259"/>
      <c r="AC296" s="259"/>
      <c r="AD296" s="259"/>
    </row>
    <row r="297" spans="17:30" x14ac:dyDescent="0.25">
      <c r="Q297" s="259"/>
      <c r="R297" s="259"/>
      <c r="S297" s="259"/>
      <c r="T297" s="259"/>
      <c r="U297" s="259"/>
      <c r="V297" s="259"/>
      <c r="W297" s="259"/>
      <c r="X297" s="259"/>
      <c r="Y297" s="259"/>
      <c r="Z297" s="259"/>
      <c r="AA297" s="259"/>
      <c r="AB297" s="259"/>
      <c r="AC297" s="259"/>
      <c r="AD297" s="259"/>
    </row>
    <row r="298" spans="17:30" x14ac:dyDescent="0.25">
      <c r="Q298" s="259"/>
      <c r="R298" s="259"/>
      <c r="S298" s="259"/>
      <c r="T298" s="259"/>
      <c r="U298" s="259"/>
      <c r="V298" s="259"/>
      <c r="W298" s="259"/>
      <c r="X298" s="259"/>
      <c r="Y298" s="259"/>
      <c r="Z298" s="259"/>
      <c r="AA298" s="259"/>
      <c r="AB298" s="259"/>
      <c r="AC298" s="259"/>
      <c r="AD298" s="259"/>
    </row>
    <row r="299" spans="17:30" x14ac:dyDescent="0.25">
      <c r="Q299" s="259"/>
      <c r="R299" s="259"/>
      <c r="S299" s="259"/>
      <c r="T299" s="259"/>
      <c r="U299" s="259"/>
      <c r="V299" s="259"/>
      <c r="W299" s="259"/>
      <c r="X299" s="259"/>
      <c r="Y299" s="259"/>
      <c r="Z299" s="259"/>
      <c r="AA299" s="259"/>
      <c r="AB299" s="259"/>
      <c r="AC299" s="259"/>
      <c r="AD299" s="259"/>
    </row>
    <row r="300" spans="17:30" x14ac:dyDescent="0.25">
      <c r="Q300" s="259"/>
      <c r="R300" s="259"/>
      <c r="S300" s="259"/>
      <c r="T300" s="259"/>
      <c r="U300" s="259"/>
      <c r="V300" s="259"/>
      <c r="W300" s="259"/>
      <c r="X300" s="259"/>
      <c r="Y300" s="259"/>
      <c r="Z300" s="259"/>
      <c r="AA300" s="259"/>
      <c r="AB300" s="259"/>
      <c r="AC300" s="259"/>
      <c r="AD300" s="259"/>
    </row>
    <row r="301" spans="17:30" x14ac:dyDescent="0.25">
      <c r="Q301" s="259"/>
      <c r="R301" s="259"/>
      <c r="S301" s="259"/>
      <c r="T301" s="259"/>
      <c r="U301" s="259"/>
      <c r="V301" s="259"/>
      <c r="W301" s="259"/>
      <c r="X301" s="259"/>
      <c r="Y301" s="259"/>
      <c r="Z301" s="259"/>
      <c r="AA301" s="259"/>
      <c r="AB301" s="259"/>
      <c r="AC301" s="259"/>
      <c r="AD301" s="259"/>
    </row>
    <row r="302" spans="17:30" x14ac:dyDescent="0.25">
      <c r="Q302" s="259"/>
      <c r="R302" s="259"/>
      <c r="S302" s="259"/>
      <c r="T302" s="259"/>
      <c r="U302" s="259"/>
      <c r="V302" s="259"/>
      <c r="W302" s="259"/>
      <c r="X302" s="259"/>
      <c r="Y302" s="259"/>
      <c r="Z302" s="259"/>
      <c r="AA302" s="259"/>
      <c r="AB302" s="259"/>
      <c r="AC302" s="259"/>
      <c r="AD302" s="259"/>
    </row>
    <row r="303" spans="17:30" x14ac:dyDescent="0.25">
      <c r="Q303" s="259"/>
      <c r="R303" s="259"/>
      <c r="S303" s="259"/>
      <c r="T303" s="259"/>
      <c r="U303" s="259"/>
      <c r="V303" s="259"/>
      <c r="W303" s="259"/>
      <c r="X303" s="259"/>
      <c r="Y303" s="259"/>
      <c r="Z303" s="259"/>
      <c r="AA303" s="259"/>
      <c r="AB303" s="259"/>
      <c r="AC303" s="259"/>
      <c r="AD303" s="259"/>
    </row>
  </sheetData>
  <mergeCells count="85">
    <mergeCell ref="Q40:AD41"/>
    <mergeCell ref="I7:J9"/>
    <mergeCell ref="K7:L9"/>
    <mergeCell ref="M7:N7"/>
    <mergeCell ref="A1:A4"/>
    <mergeCell ref="B1:AA1"/>
    <mergeCell ref="AB1:AD1"/>
    <mergeCell ref="B2:AA2"/>
    <mergeCell ref="AB2:AD2"/>
    <mergeCell ref="B3:AA4"/>
    <mergeCell ref="AB3:AD3"/>
    <mergeCell ref="O7:P7"/>
    <mergeCell ref="M8:N8"/>
    <mergeCell ref="O8:P8"/>
    <mergeCell ref="M9:N9"/>
    <mergeCell ref="O9:P9"/>
    <mergeCell ref="A19:AD19"/>
    <mergeCell ref="C20:P20"/>
    <mergeCell ref="AB4:AD4"/>
    <mergeCell ref="A11:B13"/>
    <mergeCell ref="C11:AD13"/>
    <mergeCell ref="A7:B9"/>
    <mergeCell ref="C7:C9"/>
    <mergeCell ref="D7:H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A34:AD35"/>
    <mergeCell ref="Q36:AD36"/>
    <mergeCell ref="Q37:AD37"/>
    <mergeCell ref="A38:A39"/>
    <mergeCell ref="B38:B39"/>
    <mergeCell ref="Q38:AD39"/>
    <mergeCell ref="A34:A35"/>
    <mergeCell ref="B34:B35"/>
    <mergeCell ref="Q34:S35"/>
    <mergeCell ref="T34:V35"/>
    <mergeCell ref="W34:Z35"/>
    <mergeCell ref="A40:A41"/>
    <mergeCell ref="B40:B41"/>
    <mergeCell ref="A36:A37"/>
    <mergeCell ref="B36:B37"/>
    <mergeCell ref="C36:P36"/>
    <mergeCell ref="A61:A62"/>
    <mergeCell ref="B61:B62"/>
    <mergeCell ref="A55:A56"/>
    <mergeCell ref="B55:B56"/>
    <mergeCell ref="C55:P55"/>
    <mergeCell ref="A57:A58"/>
    <mergeCell ref="B57:B58"/>
    <mergeCell ref="A59:A60"/>
    <mergeCell ref="B59:B60"/>
  </mergeCells>
  <dataValidations count="3">
    <dataValidation type="textLength" operator="lessThanOrEqual" allowBlank="1" showInputMessage="1" showErrorMessage="1" errorTitle="Máximo 2.000 caracteres" error="Máximo 2.000 caracteres" sqref="Q38:AD39 Q40 W34 Q34 AA34" xr:uid="{00000000-0002-0000-0700-000000000000}">
      <formula1>2000</formula1>
    </dataValidation>
    <dataValidation type="textLength" operator="lessThanOrEqual" allowBlank="1" showInputMessage="1" showErrorMessage="1" errorTitle="Máximo 2.000 caracteres" error="Máximo 2.000 caracteres" promptTitle="2.000 caracteres" sqref="Q30:AD30" xr:uid="{00000000-0002-0000-0700-000001000000}">
      <formula1>2000</formula1>
    </dataValidation>
    <dataValidation type="list" allowBlank="1" showInputMessage="1" showErrorMessage="1" sqref="C7:C9" xr:uid="{00000000-0002-0000-0700-000002000000}">
      <formula1>$C$21:$N$21</formula1>
    </dataValidation>
  </dataValidations>
  <pageMargins left="0.25" right="0.25" top="1" bottom="1" header="0.3" footer="0.3"/>
  <pageSetup paperSize="9" scale="24"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AY23"/>
  <sheetViews>
    <sheetView topLeftCell="Q16" zoomScale="60" zoomScaleNormal="60" workbookViewId="0">
      <selection activeCell="Z15" sqref="Z15:AW15"/>
    </sheetView>
  </sheetViews>
  <sheetFormatPr baseColWidth="10" defaultColWidth="10.7109375" defaultRowHeight="15" x14ac:dyDescent="0.25"/>
  <cols>
    <col min="1" max="1" width="10.140625" style="108" customWidth="1"/>
    <col min="2" max="2" width="10" style="108" customWidth="1"/>
    <col min="3" max="3" width="26.42578125" style="108" customWidth="1"/>
    <col min="4" max="6" width="8.28515625" style="108" customWidth="1"/>
    <col min="7" max="8" width="14.7109375" style="108" customWidth="1"/>
    <col min="9" max="9" width="32.42578125" style="108" customWidth="1"/>
    <col min="10" max="10" width="35.140625" style="108" customWidth="1"/>
    <col min="11" max="11" width="16.7109375" style="108" customWidth="1"/>
    <col min="12" max="13" width="15.28515625" style="108" customWidth="1"/>
    <col min="14" max="14" width="25.140625" style="108" customWidth="1"/>
    <col min="15" max="19" width="8.7109375" style="108" customWidth="1"/>
    <col min="20" max="20" width="22.28515625" style="108" customWidth="1"/>
    <col min="21" max="21" width="17" style="108" customWidth="1"/>
    <col min="22" max="27" width="5.7109375" style="108" customWidth="1"/>
    <col min="28" max="28" width="6" style="108" customWidth="1"/>
    <col min="29" max="45" width="5.7109375" style="108" customWidth="1"/>
    <col min="46" max="46" width="17.140625" style="108" customWidth="1"/>
    <col min="47" max="47" width="15.7109375" style="198" customWidth="1"/>
    <col min="48" max="48" width="25.7109375" style="108" customWidth="1"/>
    <col min="49" max="49" width="20.28515625" style="108" customWidth="1"/>
    <col min="50" max="51" width="24.42578125" style="108" customWidth="1"/>
    <col min="52" max="16384" width="10.7109375" style="108"/>
  </cols>
  <sheetData>
    <row r="1" spans="1:51" ht="15.75" customHeight="1" x14ac:dyDescent="0.25">
      <c r="A1" s="846" t="s">
        <v>0</v>
      </c>
      <c r="B1" s="847"/>
      <c r="C1" s="847"/>
      <c r="D1" s="847"/>
      <c r="E1" s="847"/>
      <c r="F1" s="847"/>
      <c r="G1" s="847"/>
      <c r="H1" s="847"/>
      <c r="I1" s="847"/>
      <c r="J1" s="847"/>
      <c r="K1" s="847"/>
      <c r="L1" s="847"/>
      <c r="M1" s="847"/>
      <c r="N1" s="847"/>
      <c r="O1" s="847"/>
      <c r="P1" s="847"/>
      <c r="Q1" s="847"/>
      <c r="R1" s="847"/>
      <c r="S1" s="847"/>
      <c r="T1" s="847"/>
      <c r="U1" s="847"/>
      <c r="V1" s="847"/>
      <c r="W1" s="847"/>
      <c r="X1" s="847"/>
      <c r="Y1" s="847"/>
      <c r="Z1" s="847"/>
      <c r="AA1" s="847"/>
      <c r="AB1" s="847"/>
      <c r="AC1" s="847"/>
      <c r="AD1" s="847"/>
      <c r="AE1" s="847"/>
      <c r="AF1" s="847"/>
      <c r="AG1" s="847"/>
      <c r="AH1" s="847"/>
      <c r="AI1" s="847"/>
      <c r="AJ1" s="847"/>
      <c r="AK1" s="847"/>
      <c r="AL1" s="847"/>
      <c r="AM1" s="847"/>
      <c r="AN1" s="847"/>
      <c r="AO1" s="847"/>
      <c r="AP1" s="847"/>
      <c r="AQ1" s="847"/>
      <c r="AR1" s="847"/>
      <c r="AS1" s="847"/>
      <c r="AT1" s="847"/>
      <c r="AU1" s="847"/>
      <c r="AV1" s="847"/>
      <c r="AW1" s="848"/>
      <c r="AX1" s="573" t="s">
        <v>1</v>
      </c>
      <c r="AY1" s="574"/>
    </row>
    <row r="2" spans="1:51" ht="15.75" customHeight="1" x14ac:dyDescent="0.25">
      <c r="A2" s="840" t="s">
        <v>2</v>
      </c>
      <c r="B2" s="841"/>
      <c r="C2" s="841"/>
      <c r="D2" s="841"/>
      <c r="E2" s="841"/>
      <c r="F2" s="841"/>
      <c r="G2" s="841"/>
      <c r="H2" s="841"/>
      <c r="I2" s="841"/>
      <c r="J2" s="841"/>
      <c r="K2" s="841"/>
      <c r="L2" s="841"/>
      <c r="M2" s="841"/>
      <c r="N2" s="841"/>
      <c r="O2" s="841"/>
      <c r="P2" s="841"/>
      <c r="Q2" s="841"/>
      <c r="R2" s="841"/>
      <c r="S2" s="841"/>
      <c r="T2" s="841"/>
      <c r="U2" s="841"/>
      <c r="V2" s="841"/>
      <c r="W2" s="841"/>
      <c r="X2" s="841"/>
      <c r="Y2" s="841"/>
      <c r="Z2" s="841"/>
      <c r="AA2" s="841"/>
      <c r="AB2" s="841"/>
      <c r="AC2" s="841"/>
      <c r="AD2" s="841"/>
      <c r="AE2" s="841"/>
      <c r="AF2" s="841"/>
      <c r="AG2" s="841"/>
      <c r="AH2" s="841"/>
      <c r="AI2" s="841"/>
      <c r="AJ2" s="841"/>
      <c r="AK2" s="841"/>
      <c r="AL2" s="841"/>
      <c r="AM2" s="841"/>
      <c r="AN2" s="841"/>
      <c r="AO2" s="841"/>
      <c r="AP2" s="841"/>
      <c r="AQ2" s="841"/>
      <c r="AR2" s="841"/>
      <c r="AS2" s="841"/>
      <c r="AT2" s="841"/>
      <c r="AU2" s="841"/>
      <c r="AV2" s="841"/>
      <c r="AW2" s="842"/>
      <c r="AX2" s="843" t="s">
        <v>3</v>
      </c>
      <c r="AY2" s="844"/>
    </row>
    <row r="3" spans="1:51" ht="15" customHeight="1" x14ac:dyDescent="0.25">
      <c r="A3" s="849" t="s">
        <v>153</v>
      </c>
      <c r="B3" s="850"/>
      <c r="C3" s="850"/>
      <c r="D3" s="850"/>
      <c r="E3" s="850"/>
      <c r="F3" s="850"/>
      <c r="G3" s="850"/>
      <c r="H3" s="850"/>
      <c r="I3" s="850"/>
      <c r="J3" s="850"/>
      <c r="K3" s="850"/>
      <c r="L3" s="850"/>
      <c r="M3" s="850"/>
      <c r="N3" s="850"/>
      <c r="O3" s="850"/>
      <c r="P3" s="850"/>
      <c r="Q3" s="850"/>
      <c r="R3" s="850"/>
      <c r="S3" s="850"/>
      <c r="T3" s="850"/>
      <c r="U3" s="850"/>
      <c r="V3" s="850"/>
      <c r="W3" s="850"/>
      <c r="X3" s="850"/>
      <c r="Y3" s="850"/>
      <c r="Z3" s="850"/>
      <c r="AA3" s="850"/>
      <c r="AB3" s="850"/>
      <c r="AC3" s="850"/>
      <c r="AD3" s="850"/>
      <c r="AE3" s="850"/>
      <c r="AF3" s="850"/>
      <c r="AG3" s="850"/>
      <c r="AH3" s="850"/>
      <c r="AI3" s="850"/>
      <c r="AJ3" s="850"/>
      <c r="AK3" s="850"/>
      <c r="AL3" s="850"/>
      <c r="AM3" s="850"/>
      <c r="AN3" s="850"/>
      <c r="AO3" s="850"/>
      <c r="AP3" s="850"/>
      <c r="AQ3" s="850"/>
      <c r="AR3" s="850"/>
      <c r="AS3" s="850"/>
      <c r="AT3" s="850"/>
      <c r="AU3" s="850"/>
      <c r="AV3" s="850"/>
      <c r="AW3" s="851"/>
      <c r="AX3" s="843" t="s">
        <v>5</v>
      </c>
      <c r="AY3" s="844"/>
    </row>
    <row r="4" spans="1:51" ht="15.75" customHeight="1" x14ac:dyDescent="0.25">
      <c r="A4" s="846"/>
      <c r="B4" s="847"/>
      <c r="C4" s="847"/>
      <c r="D4" s="847"/>
      <c r="E4" s="847"/>
      <c r="F4" s="847"/>
      <c r="G4" s="847"/>
      <c r="H4" s="847"/>
      <c r="I4" s="847"/>
      <c r="J4" s="847"/>
      <c r="K4" s="847"/>
      <c r="L4" s="847"/>
      <c r="M4" s="847"/>
      <c r="N4" s="847"/>
      <c r="O4" s="847"/>
      <c r="P4" s="847"/>
      <c r="Q4" s="847"/>
      <c r="R4" s="847"/>
      <c r="S4" s="847"/>
      <c r="T4" s="847"/>
      <c r="U4" s="847"/>
      <c r="V4" s="847"/>
      <c r="W4" s="847"/>
      <c r="X4" s="847"/>
      <c r="Y4" s="847"/>
      <c r="Z4" s="847"/>
      <c r="AA4" s="847"/>
      <c r="AB4" s="847"/>
      <c r="AC4" s="847"/>
      <c r="AD4" s="847"/>
      <c r="AE4" s="847"/>
      <c r="AF4" s="847"/>
      <c r="AG4" s="847"/>
      <c r="AH4" s="847"/>
      <c r="AI4" s="847"/>
      <c r="AJ4" s="847"/>
      <c r="AK4" s="847"/>
      <c r="AL4" s="847"/>
      <c r="AM4" s="847"/>
      <c r="AN4" s="847"/>
      <c r="AO4" s="847"/>
      <c r="AP4" s="847"/>
      <c r="AQ4" s="847"/>
      <c r="AR4" s="847"/>
      <c r="AS4" s="847"/>
      <c r="AT4" s="847"/>
      <c r="AU4" s="847"/>
      <c r="AV4" s="847"/>
      <c r="AW4" s="848"/>
      <c r="AX4" s="845" t="s">
        <v>154</v>
      </c>
      <c r="AY4" s="845"/>
    </row>
    <row r="5" spans="1:51" ht="15" customHeight="1" x14ac:dyDescent="0.25">
      <c r="A5" s="840" t="s">
        <v>155</v>
      </c>
      <c r="B5" s="841"/>
      <c r="C5" s="841"/>
      <c r="D5" s="841"/>
      <c r="E5" s="841"/>
      <c r="F5" s="841"/>
      <c r="G5" s="841"/>
      <c r="H5" s="841"/>
      <c r="I5" s="841"/>
      <c r="J5" s="841"/>
      <c r="K5" s="841"/>
      <c r="L5" s="841"/>
      <c r="M5" s="841"/>
      <c r="N5" s="841"/>
      <c r="O5" s="841"/>
      <c r="P5" s="841"/>
      <c r="Q5" s="841"/>
      <c r="R5" s="841"/>
      <c r="S5" s="841"/>
      <c r="T5" s="841"/>
      <c r="U5" s="841"/>
      <c r="V5" s="841"/>
      <c r="W5" s="841"/>
      <c r="X5" s="841"/>
      <c r="Y5" s="841"/>
      <c r="Z5" s="841"/>
      <c r="AA5" s="841"/>
      <c r="AB5" s="841"/>
      <c r="AC5" s="841"/>
      <c r="AD5" s="841"/>
      <c r="AE5" s="841"/>
      <c r="AF5" s="841"/>
      <c r="AG5" s="842"/>
      <c r="AH5" s="849" t="s">
        <v>13</v>
      </c>
      <c r="AI5" s="850"/>
      <c r="AJ5" s="850"/>
      <c r="AK5" s="850"/>
      <c r="AL5" s="850"/>
      <c r="AM5" s="850"/>
      <c r="AN5" s="850"/>
      <c r="AO5" s="850"/>
      <c r="AP5" s="850"/>
      <c r="AQ5" s="850"/>
      <c r="AR5" s="850"/>
      <c r="AS5" s="850"/>
      <c r="AT5" s="850"/>
      <c r="AU5" s="851"/>
      <c r="AV5" s="829" t="s">
        <v>156</v>
      </c>
      <c r="AW5" s="829" t="s">
        <v>157</v>
      </c>
      <c r="AX5" s="829" t="s">
        <v>158</v>
      </c>
      <c r="AY5" s="829" t="s">
        <v>159</v>
      </c>
    </row>
    <row r="6" spans="1:51" ht="15" customHeight="1" x14ac:dyDescent="0.25">
      <c r="A6" s="857" t="s">
        <v>9</v>
      </c>
      <c r="B6" s="857"/>
      <c r="C6" s="857"/>
      <c r="D6" s="858">
        <v>45083</v>
      </c>
      <c r="E6" s="859"/>
      <c r="F6" s="849" t="s">
        <v>10</v>
      </c>
      <c r="G6" s="851"/>
      <c r="H6" s="817" t="s">
        <v>11</v>
      </c>
      <c r="I6" s="817"/>
      <c r="J6" s="111"/>
      <c r="K6" s="849"/>
      <c r="L6" s="850"/>
      <c r="M6" s="850"/>
      <c r="N6" s="850"/>
      <c r="O6" s="850"/>
      <c r="P6" s="850"/>
      <c r="Q6" s="850"/>
      <c r="R6" s="850"/>
      <c r="S6" s="850"/>
      <c r="T6" s="850"/>
      <c r="U6" s="850"/>
      <c r="V6" s="850"/>
      <c r="W6" s="850"/>
      <c r="X6" s="850"/>
      <c r="Y6" s="850"/>
      <c r="Z6" s="850"/>
      <c r="AA6" s="850"/>
      <c r="AB6" s="850"/>
      <c r="AC6" s="850"/>
      <c r="AD6" s="850"/>
      <c r="AE6" s="850"/>
      <c r="AF6" s="850"/>
      <c r="AG6" s="851"/>
      <c r="AH6" s="852"/>
      <c r="AI6" s="853"/>
      <c r="AJ6" s="853"/>
      <c r="AK6" s="853"/>
      <c r="AL6" s="853"/>
      <c r="AM6" s="853"/>
      <c r="AN6" s="853"/>
      <c r="AO6" s="853"/>
      <c r="AP6" s="853"/>
      <c r="AQ6" s="853"/>
      <c r="AR6" s="853"/>
      <c r="AS6" s="853"/>
      <c r="AT6" s="853"/>
      <c r="AU6" s="854"/>
      <c r="AV6" s="830"/>
      <c r="AW6" s="830"/>
      <c r="AX6" s="830"/>
      <c r="AY6" s="830"/>
    </row>
    <row r="7" spans="1:51" ht="15" customHeight="1" x14ac:dyDescent="0.25">
      <c r="A7" s="857"/>
      <c r="B7" s="857"/>
      <c r="C7" s="857"/>
      <c r="D7" s="859"/>
      <c r="E7" s="859"/>
      <c r="F7" s="852"/>
      <c r="G7" s="854"/>
      <c r="H7" s="817" t="s">
        <v>12</v>
      </c>
      <c r="I7" s="817"/>
      <c r="J7" s="111"/>
      <c r="K7" s="852"/>
      <c r="L7" s="853"/>
      <c r="M7" s="853"/>
      <c r="N7" s="853"/>
      <c r="O7" s="853"/>
      <c r="P7" s="853"/>
      <c r="Q7" s="853"/>
      <c r="R7" s="853"/>
      <c r="S7" s="853"/>
      <c r="T7" s="853"/>
      <c r="U7" s="853"/>
      <c r="V7" s="853"/>
      <c r="W7" s="853"/>
      <c r="X7" s="853"/>
      <c r="Y7" s="853"/>
      <c r="Z7" s="853"/>
      <c r="AA7" s="853"/>
      <c r="AB7" s="853"/>
      <c r="AC7" s="853"/>
      <c r="AD7" s="853"/>
      <c r="AE7" s="853"/>
      <c r="AF7" s="853"/>
      <c r="AG7" s="854"/>
      <c r="AH7" s="852"/>
      <c r="AI7" s="853"/>
      <c r="AJ7" s="853"/>
      <c r="AK7" s="853"/>
      <c r="AL7" s="853"/>
      <c r="AM7" s="853"/>
      <c r="AN7" s="853"/>
      <c r="AO7" s="853"/>
      <c r="AP7" s="853"/>
      <c r="AQ7" s="853"/>
      <c r="AR7" s="853"/>
      <c r="AS7" s="853"/>
      <c r="AT7" s="853"/>
      <c r="AU7" s="854"/>
      <c r="AV7" s="830"/>
      <c r="AW7" s="830"/>
      <c r="AX7" s="830"/>
      <c r="AY7" s="830"/>
    </row>
    <row r="8" spans="1:51" ht="15" customHeight="1" x14ac:dyDescent="0.25">
      <c r="A8" s="857"/>
      <c r="B8" s="857"/>
      <c r="C8" s="857"/>
      <c r="D8" s="859"/>
      <c r="E8" s="859"/>
      <c r="F8" s="846"/>
      <c r="G8" s="848"/>
      <c r="H8" s="817" t="s">
        <v>13</v>
      </c>
      <c r="I8" s="817"/>
      <c r="J8" s="111" t="s">
        <v>14</v>
      </c>
      <c r="K8" s="846"/>
      <c r="L8" s="847"/>
      <c r="M8" s="847"/>
      <c r="N8" s="847"/>
      <c r="O8" s="847"/>
      <c r="P8" s="847"/>
      <c r="Q8" s="847"/>
      <c r="R8" s="847"/>
      <c r="S8" s="847"/>
      <c r="T8" s="847"/>
      <c r="U8" s="847"/>
      <c r="V8" s="847"/>
      <c r="W8" s="847"/>
      <c r="X8" s="847"/>
      <c r="Y8" s="847"/>
      <c r="Z8" s="847"/>
      <c r="AA8" s="847"/>
      <c r="AB8" s="847"/>
      <c r="AC8" s="847"/>
      <c r="AD8" s="847"/>
      <c r="AE8" s="847"/>
      <c r="AF8" s="847"/>
      <c r="AG8" s="848"/>
      <c r="AH8" s="852"/>
      <c r="AI8" s="853"/>
      <c r="AJ8" s="853"/>
      <c r="AK8" s="853"/>
      <c r="AL8" s="853"/>
      <c r="AM8" s="853"/>
      <c r="AN8" s="853"/>
      <c r="AO8" s="853"/>
      <c r="AP8" s="853"/>
      <c r="AQ8" s="853"/>
      <c r="AR8" s="853"/>
      <c r="AS8" s="853"/>
      <c r="AT8" s="853"/>
      <c r="AU8" s="854"/>
      <c r="AV8" s="830"/>
      <c r="AW8" s="830"/>
      <c r="AX8" s="830"/>
      <c r="AY8" s="830"/>
    </row>
    <row r="9" spans="1:51" ht="15" customHeight="1" x14ac:dyDescent="0.25">
      <c r="A9" s="821" t="s">
        <v>160</v>
      </c>
      <c r="B9" s="822"/>
      <c r="C9" s="823"/>
      <c r="D9" s="855" t="s">
        <v>161</v>
      </c>
      <c r="E9" s="856"/>
      <c r="F9" s="856"/>
      <c r="G9" s="856"/>
      <c r="H9" s="856"/>
      <c r="I9" s="856"/>
      <c r="J9" s="856"/>
      <c r="K9" s="827"/>
      <c r="L9" s="827"/>
      <c r="M9" s="827"/>
      <c r="N9" s="827"/>
      <c r="O9" s="827"/>
      <c r="P9" s="827"/>
      <c r="Q9" s="827"/>
      <c r="R9" s="827"/>
      <c r="S9" s="827"/>
      <c r="T9" s="827"/>
      <c r="U9" s="827"/>
      <c r="V9" s="827"/>
      <c r="W9" s="827"/>
      <c r="X9" s="827"/>
      <c r="Y9" s="827"/>
      <c r="Z9" s="827"/>
      <c r="AA9" s="827"/>
      <c r="AB9" s="827"/>
      <c r="AC9" s="827"/>
      <c r="AD9" s="827"/>
      <c r="AE9" s="827"/>
      <c r="AF9" s="827"/>
      <c r="AG9" s="828"/>
      <c r="AH9" s="852"/>
      <c r="AI9" s="853"/>
      <c r="AJ9" s="853"/>
      <c r="AK9" s="853"/>
      <c r="AL9" s="853"/>
      <c r="AM9" s="853"/>
      <c r="AN9" s="853"/>
      <c r="AO9" s="853"/>
      <c r="AP9" s="853"/>
      <c r="AQ9" s="853"/>
      <c r="AR9" s="853"/>
      <c r="AS9" s="853"/>
      <c r="AT9" s="853"/>
      <c r="AU9" s="854"/>
      <c r="AV9" s="830"/>
      <c r="AW9" s="830"/>
      <c r="AX9" s="830"/>
      <c r="AY9" s="830"/>
    </row>
    <row r="10" spans="1:51" ht="15" customHeight="1" x14ac:dyDescent="0.25">
      <c r="A10" s="818" t="s">
        <v>162</v>
      </c>
      <c r="B10" s="819"/>
      <c r="C10" s="820"/>
      <c r="D10" s="826" t="s">
        <v>163</v>
      </c>
      <c r="E10" s="827"/>
      <c r="F10" s="827"/>
      <c r="G10" s="827"/>
      <c r="H10" s="827"/>
      <c r="I10" s="827"/>
      <c r="J10" s="827"/>
      <c r="K10" s="827"/>
      <c r="L10" s="827"/>
      <c r="M10" s="827"/>
      <c r="N10" s="827"/>
      <c r="O10" s="827"/>
      <c r="P10" s="827"/>
      <c r="Q10" s="827"/>
      <c r="R10" s="827"/>
      <c r="S10" s="827"/>
      <c r="T10" s="827"/>
      <c r="U10" s="827"/>
      <c r="V10" s="827"/>
      <c r="W10" s="827"/>
      <c r="X10" s="827"/>
      <c r="Y10" s="827"/>
      <c r="Z10" s="827"/>
      <c r="AA10" s="827"/>
      <c r="AB10" s="827"/>
      <c r="AC10" s="827"/>
      <c r="AD10" s="827"/>
      <c r="AE10" s="827"/>
      <c r="AF10" s="827"/>
      <c r="AG10" s="828"/>
      <c r="AH10" s="846"/>
      <c r="AI10" s="847"/>
      <c r="AJ10" s="847"/>
      <c r="AK10" s="847"/>
      <c r="AL10" s="847"/>
      <c r="AM10" s="847"/>
      <c r="AN10" s="847"/>
      <c r="AO10" s="847"/>
      <c r="AP10" s="847"/>
      <c r="AQ10" s="847"/>
      <c r="AR10" s="847"/>
      <c r="AS10" s="847"/>
      <c r="AT10" s="847"/>
      <c r="AU10" s="848"/>
      <c r="AV10" s="830"/>
      <c r="AW10" s="830"/>
      <c r="AX10" s="830"/>
      <c r="AY10" s="830"/>
    </row>
    <row r="11" spans="1:51" ht="39.75" customHeight="1" x14ac:dyDescent="0.25">
      <c r="A11" s="837" t="s">
        <v>164</v>
      </c>
      <c r="B11" s="838"/>
      <c r="C11" s="838"/>
      <c r="D11" s="838"/>
      <c r="E11" s="838"/>
      <c r="F11" s="839"/>
      <c r="G11" s="837" t="s">
        <v>165</v>
      </c>
      <c r="H11" s="839"/>
      <c r="I11" s="829" t="s">
        <v>166</v>
      </c>
      <c r="J11" s="829" t="s">
        <v>167</v>
      </c>
      <c r="K11" s="829" t="s">
        <v>168</v>
      </c>
      <c r="L11" s="829" t="s">
        <v>169</v>
      </c>
      <c r="M11" s="829" t="s">
        <v>170</v>
      </c>
      <c r="N11" s="829" t="s">
        <v>171</v>
      </c>
      <c r="O11" s="837" t="s">
        <v>172</v>
      </c>
      <c r="P11" s="838"/>
      <c r="Q11" s="838"/>
      <c r="R11" s="838"/>
      <c r="S11" s="839"/>
      <c r="T11" s="829" t="s">
        <v>173</v>
      </c>
      <c r="U11" s="829" t="s">
        <v>174</v>
      </c>
      <c r="V11" s="840" t="s">
        <v>175</v>
      </c>
      <c r="W11" s="841"/>
      <c r="X11" s="841"/>
      <c r="Y11" s="841"/>
      <c r="Z11" s="841"/>
      <c r="AA11" s="841"/>
      <c r="AB11" s="841"/>
      <c r="AC11" s="841"/>
      <c r="AD11" s="841"/>
      <c r="AE11" s="841"/>
      <c r="AF11" s="841"/>
      <c r="AG11" s="842"/>
      <c r="AH11" s="840" t="s">
        <v>176</v>
      </c>
      <c r="AI11" s="841"/>
      <c r="AJ11" s="841"/>
      <c r="AK11" s="841"/>
      <c r="AL11" s="841"/>
      <c r="AM11" s="841"/>
      <c r="AN11" s="841"/>
      <c r="AO11" s="841"/>
      <c r="AP11" s="841"/>
      <c r="AQ11" s="841"/>
      <c r="AR11" s="841"/>
      <c r="AS11" s="842"/>
      <c r="AT11" s="837" t="s">
        <v>40</v>
      </c>
      <c r="AU11" s="839"/>
      <c r="AV11" s="830"/>
      <c r="AW11" s="830"/>
      <c r="AX11" s="830"/>
      <c r="AY11" s="830"/>
    </row>
    <row r="12" spans="1:51" ht="42.75" x14ac:dyDescent="0.25">
      <c r="A12" s="185" t="s">
        <v>177</v>
      </c>
      <c r="B12" s="185" t="s">
        <v>178</v>
      </c>
      <c r="C12" s="185" t="s">
        <v>179</v>
      </c>
      <c r="D12" s="185" t="s">
        <v>180</v>
      </c>
      <c r="E12" s="185" t="s">
        <v>181</v>
      </c>
      <c r="F12" s="185" t="s">
        <v>182</v>
      </c>
      <c r="G12" s="185" t="s">
        <v>183</v>
      </c>
      <c r="H12" s="185" t="s">
        <v>184</v>
      </c>
      <c r="I12" s="831"/>
      <c r="J12" s="831"/>
      <c r="K12" s="831"/>
      <c r="L12" s="831"/>
      <c r="M12" s="831"/>
      <c r="N12" s="831"/>
      <c r="O12" s="185">
        <v>2020</v>
      </c>
      <c r="P12" s="185">
        <v>2021</v>
      </c>
      <c r="Q12" s="185">
        <v>2022</v>
      </c>
      <c r="R12" s="185">
        <v>2023</v>
      </c>
      <c r="S12" s="185">
        <v>2024</v>
      </c>
      <c r="T12" s="831"/>
      <c r="U12" s="831"/>
      <c r="V12" s="187" t="s">
        <v>29</v>
      </c>
      <c r="W12" s="187" t="s">
        <v>30</v>
      </c>
      <c r="X12" s="187" t="s">
        <v>31</v>
      </c>
      <c r="Y12" s="187" t="s">
        <v>8</v>
      </c>
      <c r="Z12" s="187" t="s">
        <v>32</v>
      </c>
      <c r="AA12" s="187" t="s">
        <v>33</v>
      </c>
      <c r="AB12" s="187" t="s">
        <v>34</v>
      </c>
      <c r="AC12" s="187" t="s">
        <v>35</v>
      </c>
      <c r="AD12" s="187" t="s">
        <v>36</v>
      </c>
      <c r="AE12" s="187" t="s">
        <v>37</v>
      </c>
      <c r="AF12" s="187" t="s">
        <v>38</v>
      </c>
      <c r="AG12" s="187" t="s">
        <v>39</v>
      </c>
      <c r="AH12" s="187" t="s">
        <v>29</v>
      </c>
      <c r="AI12" s="187" t="s">
        <v>30</v>
      </c>
      <c r="AJ12" s="187" t="s">
        <v>31</v>
      </c>
      <c r="AK12" s="187" t="s">
        <v>8</v>
      </c>
      <c r="AL12" s="187" t="s">
        <v>32</v>
      </c>
      <c r="AM12" s="187" t="s">
        <v>33</v>
      </c>
      <c r="AN12" s="187" t="s">
        <v>34</v>
      </c>
      <c r="AO12" s="187" t="s">
        <v>35</v>
      </c>
      <c r="AP12" s="187" t="s">
        <v>36</v>
      </c>
      <c r="AQ12" s="187" t="s">
        <v>37</v>
      </c>
      <c r="AR12" s="187" t="s">
        <v>38</v>
      </c>
      <c r="AS12" s="187" t="s">
        <v>39</v>
      </c>
      <c r="AT12" s="185" t="s">
        <v>185</v>
      </c>
      <c r="AU12" s="188" t="s">
        <v>186</v>
      </c>
      <c r="AV12" s="831"/>
      <c r="AW12" s="831"/>
      <c r="AX12" s="831"/>
      <c r="AY12" s="831"/>
    </row>
    <row r="13" spans="1:51" s="219" customFormat="1" ht="127.5" customHeight="1" x14ac:dyDescent="0.25">
      <c r="A13" s="189">
        <v>37</v>
      </c>
      <c r="B13" s="194" t="s">
        <v>187</v>
      </c>
      <c r="C13" s="194" t="s">
        <v>187</v>
      </c>
      <c r="D13" s="194" t="s">
        <v>187</v>
      </c>
      <c r="E13" s="194" t="s">
        <v>187</v>
      </c>
      <c r="F13" s="194" t="s">
        <v>187</v>
      </c>
      <c r="G13" s="194" t="s">
        <v>187</v>
      </c>
      <c r="H13" s="194" t="s">
        <v>187</v>
      </c>
      <c r="I13" s="186" t="s">
        <v>188</v>
      </c>
      <c r="J13" s="190" t="s">
        <v>189</v>
      </c>
      <c r="K13" s="199" t="s">
        <v>190</v>
      </c>
      <c r="L13" s="192">
        <v>15</v>
      </c>
      <c r="M13" s="191" t="s">
        <v>191</v>
      </c>
      <c r="N13" s="190" t="s">
        <v>192</v>
      </c>
      <c r="O13" s="312">
        <v>15</v>
      </c>
      <c r="P13" s="312">
        <v>15</v>
      </c>
      <c r="Q13" s="312">
        <v>15</v>
      </c>
      <c r="R13" s="312">
        <v>15</v>
      </c>
      <c r="S13" s="312">
        <v>15</v>
      </c>
      <c r="T13" s="313" t="s">
        <v>193</v>
      </c>
      <c r="U13" s="314" t="s">
        <v>194</v>
      </c>
      <c r="V13" s="315">
        <v>0</v>
      </c>
      <c r="W13" s="315">
        <v>1</v>
      </c>
      <c r="X13" s="315">
        <v>1</v>
      </c>
      <c r="Y13" s="315">
        <v>1</v>
      </c>
      <c r="Z13" s="315">
        <v>2</v>
      </c>
      <c r="AA13" s="315">
        <v>2</v>
      </c>
      <c r="AB13" s="315">
        <v>2</v>
      </c>
      <c r="AC13" s="315">
        <v>2</v>
      </c>
      <c r="AD13" s="315">
        <v>1</v>
      </c>
      <c r="AE13" s="315">
        <v>1</v>
      </c>
      <c r="AF13" s="315">
        <v>1</v>
      </c>
      <c r="AG13" s="315">
        <v>1</v>
      </c>
      <c r="AH13" s="111">
        <v>0</v>
      </c>
      <c r="AI13" s="111">
        <v>1</v>
      </c>
      <c r="AJ13" s="111">
        <v>2</v>
      </c>
      <c r="AK13" s="111">
        <v>3</v>
      </c>
      <c r="AL13" s="111">
        <v>3</v>
      </c>
      <c r="AM13" s="111"/>
      <c r="AN13" s="111"/>
      <c r="AO13" s="111"/>
      <c r="AP13" s="111"/>
      <c r="AQ13" s="111"/>
      <c r="AR13" s="111"/>
      <c r="AS13" s="111"/>
      <c r="AT13" s="110">
        <f>SUM(AH13:AS13)</f>
        <v>9</v>
      </c>
      <c r="AU13" s="316">
        <f>+AT13/R13</f>
        <v>0.6</v>
      </c>
      <c r="AV13" s="301" t="s">
        <v>577</v>
      </c>
      <c r="AW13" s="301" t="s">
        <v>566</v>
      </c>
      <c r="AX13" s="302" t="s">
        <v>195</v>
      </c>
      <c r="AY13" s="303" t="s">
        <v>196</v>
      </c>
    </row>
    <row r="14" spans="1:51" s="219" customFormat="1" ht="144" customHeight="1" x14ac:dyDescent="0.25">
      <c r="A14" s="193" t="s">
        <v>187</v>
      </c>
      <c r="B14" s="194" t="s">
        <v>187</v>
      </c>
      <c r="C14" s="194" t="s">
        <v>187</v>
      </c>
      <c r="D14" s="195">
        <v>39</v>
      </c>
      <c r="E14" s="194" t="s">
        <v>187</v>
      </c>
      <c r="F14" s="194" t="s">
        <v>187</v>
      </c>
      <c r="G14" s="194" t="s">
        <v>187</v>
      </c>
      <c r="H14" s="194" t="s">
        <v>187</v>
      </c>
      <c r="I14" s="186" t="s">
        <v>197</v>
      </c>
      <c r="J14" s="186" t="s">
        <v>198</v>
      </c>
      <c r="K14" s="196" t="s">
        <v>199</v>
      </c>
      <c r="L14" s="197">
        <v>12200</v>
      </c>
      <c r="M14" s="196" t="s">
        <v>200</v>
      </c>
      <c r="N14" s="190" t="s">
        <v>201</v>
      </c>
      <c r="O14" s="315">
        <v>900</v>
      </c>
      <c r="P14" s="315">
        <v>3200</v>
      </c>
      <c r="Q14" s="315">
        <v>3900</v>
      </c>
      <c r="R14" s="315">
        <v>3300</v>
      </c>
      <c r="S14" s="315">
        <v>900</v>
      </c>
      <c r="T14" s="111" t="s">
        <v>202</v>
      </c>
      <c r="U14" s="314" t="s">
        <v>203</v>
      </c>
      <c r="V14" s="317">
        <v>20</v>
      </c>
      <c r="W14" s="317">
        <v>303</v>
      </c>
      <c r="X14" s="317">
        <v>303</v>
      </c>
      <c r="Y14" s="317">
        <v>303</v>
      </c>
      <c r="Z14" s="317">
        <v>303</v>
      </c>
      <c r="AA14" s="317">
        <v>303</v>
      </c>
      <c r="AB14" s="317">
        <v>303</v>
      </c>
      <c r="AC14" s="317">
        <v>303</v>
      </c>
      <c r="AD14" s="317">
        <v>303</v>
      </c>
      <c r="AE14" s="317">
        <v>303</v>
      </c>
      <c r="AF14" s="317">
        <v>303</v>
      </c>
      <c r="AG14" s="317">
        <v>250</v>
      </c>
      <c r="AH14" s="111">
        <v>71</v>
      </c>
      <c r="AI14" s="111">
        <v>270</v>
      </c>
      <c r="AJ14" s="318">
        <v>306</v>
      </c>
      <c r="AK14" s="318">
        <v>303</v>
      </c>
      <c r="AL14" s="318">
        <v>286</v>
      </c>
      <c r="AM14" s="319"/>
      <c r="AN14" s="319"/>
      <c r="AO14" s="319"/>
      <c r="AP14" s="319"/>
      <c r="AQ14" s="319"/>
      <c r="AR14" s="319"/>
      <c r="AS14" s="319"/>
      <c r="AT14" s="319">
        <f t="shared" ref="AT14:AT19" si="0">SUM(AH14:AS14)</f>
        <v>1236</v>
      </c>
      <c r="AU14" s="320">
        <f t="shared" ref="AU14:AU19" si="1">+AT14/R14</f>
        <v>0.37454545454545457</v>
      </c>
      <c r="AV14" s="304" t="s">
        <v>555</v>
      </c>
      <c r="AW14" s="305" t="s">
        <v>556</v>
      </c>
      <c r="AX14" s="306" t="s">
        <v>204</v>
      </c>
      <c r="AY14" s="303" t="s">
        <v>196</v>
      </c>
    </row>
    <row r="15" spans="1:51" s="219" customFormat="1" ht="167.25" customHeight="1" x14ac:dyDescent="0.25">
      <c r="A15" s="193" t="s">
        <v>187</v>
      </c>
      <c r="B15" s="194" t="s">
        <v>187</v>
      </c>
      <c r="C15" s="194" t="s">
        <v>187</v>
      </c>
      <c r="D15" s="195">
        <v>40</v>
      </c>
      <c r="E15" s="194" t="s">
        <v>187</v>
      </c>
      <c r="F15" s="194" t="s">
        <v>187</v>
      </c>
      <c r="G15" s="194" t="s">
        <v>187</v>
      </c>
      <c r="H15" s="194" t="s">
        <v>187</v>
      </c>
      <c r="I15" s="186" t="s">
        <v>205</v>
      </c>
      <c r="J15" s="186" t="s">
        <v>206</v>
      </c>
      <c r="K15" s="196" t="s">
        <v>199</v>
      </c>
      <c r="L15" s="197">
        <v>8100</v>
      </c>
      <c r="M15" s="196" t="s">
        <v>200</v>
      </c>
      <c r="N15" s="190" t="s">
        <v>207</v>
      </c>
      <c r="O15" s="315">
        <v>650</v>
      </c>
      <c r="P15" s="315">
        <v>2400</v>
      </c>
      <c r="Q15" s="315">
        <v>2200</v>
      </c>
      <c r="R15" s="315">
        <v>2200</v>
      </c>
      <c r="S15" s="315">
        <v>650</v>
      </c>
      <c r="T15" s="111" t="s">
        <v>202</v>
      </c>
      <c r="U15" s="314" t="s">
        <v>208</v>
      </c>
      <c r="V15" s="317">
        <v>10</v>
      </c>
      <c r="W15" s="317">
        <v>202</v>
      </c>
      <c r="X15" s="317">
        <v>202</v>
      </c>
      <c r="Y15" s="317">
        <v>202</v>
      </c>
      <c r="Z15" s="317">
        <v>202</v>
      </c>
      <c r="AA15" s="317">
        <v>202</v>
      </c>
      <c r="AB15" s="317">
        <v>202</v>
      </c>
      <c r="AC15" s="317">
        <v>202</v>
      </c>
      <c r="AD15" s="317">
        <v>202</v>
      </c>
      <c r="AE15" s="317">
        <v>202</v>
      </c>
      <c r="AF15" s="317">
        <v>202</v>
      </c>
      <c r="AG15" s="317">
        <v>170</v>
      </c>
      <c r="AH15" s="111">
        <v>20</v>
      </c>
      <c r="AI15" s="111">
        <v>106</v>
      </c>
      <c r="AJ15" s="318">
        <v>219</v>
      </c>
      <c r="AK15" s="318">
        <v>254</v>
      </c>
      <c r="AL15" s="318">
        <v>276</v>
      </c>
      <c r="AM15" s="319"/>
      <c r="AN15" s="319"/>
      <c r="AO15" s="319"/>
      <c r="AP15" s="319"/>
      <c r="AQ15" s="319"/>
      <c r="AR15" s="319"/>
      <c r="AS15" s="319"/>
      <c r="AT15" s="319">
        <f t="shared" si="0"/>
        <v>875</v>
      </c>
      <c r="AU15" s="320">
        <f t="shared" si="1"/>
        <v>0.39772727272727271</v>
      </c>
      <c r="AV15" s="304" t="s">
        <v>557</v>
      </c>
      <c r="AW15" s="305" t="s">
        <v>593</v>
      </c>
      <c r="AX15" s="306" t="s">
        <v>204</v>
      </c>
      <c r="AY15" s="303" t="s">
        <v>196</v>
      </c>
    </row>
    <row r="16" spans="1:51" s="219" customFormat="1" ht="147" customHeight="1" x14ac:dyDescent="0.25">
      <c r="A16" s="193" t="s">
        <v>187</v>
      </c>
      <c r="B16" s="194" t="s">
        <v>187</v>
      </c>
      <c r="C16" s="194" t="s">
        <v>187</v>
      </c>
      <c r="D16" s="195">
        <v>41</v>
      </c>
      <c r="E16" s="194" t="s">
        <v>187</v>
      </c>
      <c r="F16" s="194" t="s">
        <v>187</v>
      </c>
      <c r="G16" s="194" t="s">
        <v>187</v>
      </c>
      <c r="H16" s="194" t="s">
        <v>187</v>
      </c>
      <c r="I16" s="186" t="s">
        <v>209</v>
      </c>
      <c r="J16" s="186" t="s">
        <v>210</v>
      </c>
      <c r="K16" s="196" t="s">
        <v>199</v>
      </c>
      <c r="L16" s="197">
        <v>19200</v>
      </c>
      <c r="M16" s="196" t="s">
        <v>200</v>
      </c>
      <c r="N16" s="190" t="s">
        <v>211</v>
      </c>
      <c r="O16" s="315">
        <v>1500</v>
      </c>
      <c r="P16" s="315">
        <v>5000</v>
      </c>
      <c r="Q16" s="315">
        <v>6200</v>
      </c>
      <c r="R16" s="315">
        <v>5000</v>
      </c>
      <c r="S16" s="315">
        <v>1500</v>
      </c>
      <c r="T16" s="111" t="s">
        <v>202</v>
      </c>
      <c r="U16" s="314" t="s">
        <v>212</v>
      </c>
      <c r="V16" s="315">
        <v>250</v>
      </c>
      <c r="W16" s="315">
        <v>432</v>
      </c>
      <c r="X16" s="315">
        <v>432</v>
      </c>
      <c r="Y16" s="315">
        <v>432</v>
      </c>
      <c r="Z16" s="315">
        <v>432</v>
      </c>
      <c r="AA16" s="315">
        <v>432</v>
      </c>
      <c r="AB16" s="315">
        <v>432</v>
      </c>
      <c r="AC16" s="315">
        <v>432</v>
      </c>
      <c r="AD16" s="315">
        <v>432</v>
      </c>
      <c r="AE16" s="315">
        <v>432</v>
      </c>
      <c r="AF16" s="315">
        <v>432</v>
      </c>
      <c r="AG16" s="315">
        <v>430</v>
      </c>
      <c r="AH16" s="111">
        <v>327</v>
      </c>
      <c r="AI16" s="111">
        <v>395</v>
      </c>
      <c r="AJ16" s="318">
        <v>408</v>
      </c>
      <c r="AK16" s="318">
        <v>326</v>
      </c>
      <c r="AL16" s="318">
        <v>323</v>
      </c>
      <c r="AM16" s="319"/>
      <c r="AN16" s="319"/>
      <c r="AO16" s="319"/>
      <c r="AP16" s="319"/>
      <c r="AQ16" s="319"/>
      <c r="AR16" s="319"/>
      <c r="AS16" s="319"/>
      <c r="AT16" s="319">
        <f t="shared" si="0"/>
        <v>1779</v>
      </c>
      <c r="AU16" s="320">
        <f t="shared" si="1"/>
        <v>0.35580000000000001</v>
      </c>
      <c r="AV16" s="306" t="s">
        <v>558</v>
      </c>
      <c r="AW16" s="306" t="s">
        <v>594</v>
      </c>
      <c r="AX16" s="306" t="s">
        <v>130</v>
      </c>
      <c r="AY16" s="303" t="s">
        <v>196</v>
      </c>
    </row>
    <row r="17" spans="1:51" s="219" customFormat="1" ht="114.75" customHeight="1" x14ac:dyDescent="0.25">
      <c r="A17" s="194" t="s">
        <v>187</v>
      </c>
      <c r="B17" s="194" t="s">
        <v>187</v>
      </c>
      <c r="C17" s="194" t="s">
        <v>187</v>
      </c>
      <c r="D17" s="194" t="s">
        <v>187</v>
      </c>
      <c r="E17" s="194" t="s">
        <v>187</v>
      </c>
      <c r="F17" s="194" t="s">
        <v>187</v>
      </c>
      <c r="G17" s="833" t="s">
        <v>213</v>
      </c>
      <c r="H17" s="833" t="s">
        <v>214</v>
      </c>
      <c r="I17" s="835" t="s">
        <v>215</v>
      </c>
      <c r="J17" s="190" t="s">
        <v>216</v>
      </c>
      <c r="K17" s="196" t="s">
        <v>217</v>
      </c>
      <c r="L17" s="220">
        <v>132</v>
      </c>
      <c r="M17" s="221" t="s">
        <v>218</v>
      </c>
      <c r="N17" s="186" t="s">
        <v>219</v>
      </c>
      <c r="O17" s="315">
        <v>0</v>
      </c>
      <c r="P17" s="315">
        <v>48</v>
      </c>
      <c r="Q17" s="315">
        <v>48</v>
      </c>
      <c r="R17" s="315">
        <v>24</v>
      </c>
      <c r="S17" s="315">
        <v>12</v>
      </c>
      <c r="T17" s="111" t="s">
        <v>202</v>
      </c>
      <c r="U17" s="314" t="s">
        <v>220</v>
      </c>
      <c r="V17" s="315">
        <v>1</v>
      </c>
      <c r="W17" s="315">
        <v>2</v>
      </c>
      <c r="X17" s="315">
        <v>2</v>
      </c>
      <c r="Y17" s="315">
        <v>2</v>
      </c>
      <c r="Z17" s="315">
        <v>2</v>
      </c>
      <c r="AA17" s="315">
        <v>2</v>
      </c>
      <c r="AB17" s="315">
        <v>2</v>
      </c>
      <c r="AC17" s="315">
        <v>2</v>
      </c>
      <c r="AD17" s="315">
        <v>2</v>
      </c>
      <c r="AE17" s="315">
        <v>2</v>
      </c>
      <c r="AF17" s="315">
        <v>2</v>
      </c>
      <c r="AG17" s="315">
        <v>3</v>
      </c>
      <c r="AH17" s="111">
        <v>1</v>
      </c>
      <c r="AI17" s="318">
        <v>2</v>
      </c>
      <c r="AJ17" s="318">
        <v>2</v>
      </c>
      <c r="AK17" s="318">
        <v>2</v>
      </c>
      <c r="AL17" s="318">
        <v>2</v>
      </c>
      <c r="AM17" s="319"/>
      <c r="AN17" s="319"/>
      <c r="AO17" s="319"/>
      <c r="AP17" s="319"/>
      <c r="AQ17" s="319"/>
      <c r="AR17" s="319"/>
      <c r="AS17" s="319"/>
      <c r="AT17" s="319">
        <f t="shared" si="0"/>
        <v>9</v>
      </c>
      <c r="AU17" s="320">
        <f t="shared" si="1"/>
        <v>0.375</v>
      </c>
      <c r="AV17" s="307" t="s">
        <v>559</v>
      </c>
      <c r="AW17" s="308" t="s">
        <v>560</v>
      </c>
      <c r="AX17" s="304" t="s">
        <v>221</v>
      </c>
      <c r="AY17" s="309" t="s">
        <v>196</v>
      </c>
    </row>
    <row r="18" spans="1:51" s="219" customFormat="1" ht="72.599999999999994" customHeight="1" x14ac:dyDescent="0.25">
      <c r="A18" s="194" t="s">
        <v>187</v>
      </c>
      <c r="B18" s="194" t="s">
        <v>187</v>
      </c>
      <c r="C18" s="194" t="s">
        <v>187</v>
      </c>
      <c r="D18" s="194" t="s">
        <v>187</v>
      </c>
      <c r="E18" s="194" t="s">
        <v>187</v>
      </c>
      <c r="F18" s="194" t="s">
        <v>187</v>
      </c>
      <c r="G18" s="834"/>
      <c r="H18" s="834"/>
      <c r="I18" s="836"/>
      <c r="J18" s="190" t="s">
        <v>222</v>
      </c>
      <c r="K18" s="196" t="s">
        <v>217</v>
      </c>
      <c r="L18" s="220">
        <v>134</v>
      </c>
      <c r="M18" s="221" t="s">
        <v>218</v>
      </c>
      <c r="N18" s="186" t="s">
        <v>223</v>
      </c>
      <c r="O18" s="321">
        <v>0</v>
      </c>
      <c r="P18" s="321">
        <v>40</v>
      </c>
      <c r="Q18" s="321">
        <v>40</v>
      </c>
      <c r="R18" s="321">
        <v>36</v>
      </c>
      <c r="S18" s="321">
        <v>18</v>
      </c>
      <c r="T18" s="111" t="s">
        <v>202</v>
      </c>
      <c r="U18" s="314" t="s">
        <v>224</v>
      </c>
      <c r="V18" s="315">
        <v>0</v>
      </c>
      <c r="W18" s="315">
        <v>0</v>
      </c>
      <c r="X18" s="315">
        <v>0</v>
      </c>
      <c r="Y18" s="315">
        <v>4</v>
      </c>
      <c r="Z18" s="315">
        <v>4</v>
      </c>
      <c r="AA18" s="315">
        <v>4</v>
      </c>
      <c r="AB18" s="315">
        <v>4</v>
      </c>
      <c r="AC18" s="315">
        <v>4</v>
      </c>
      <c r="AD18" s="315">
        <v>4</v>
      </c>
      <c r="AE18" s="315">
        <v>4</v>
      </c>
      <c r="AF18" s="315">
        <v>4</v>
      </c>
      <c r="AG18" s="315">
        <v>4</v>
      </c>
      <c r="AH18" s="111">
        <v>0</v>
      </c>
      <c r="AI18" s="318">
        <v>0</v>
      </c>
      <c r="AJ18" s="318">
        <v>0</v>
      </c>
      <c r="AK18" s="318">
        <v>2</v>
      </c>
      <c r="AL18" s="318">
        <v>6</v>
      </c>
      <c r="AM18" s="319"/>
      <c r="AN18" s="319"/>
      <c r="AO18" s="319"/>
      <c r="AP18" s="319"/>
      <c r="AQ18" s="319"/>
      <c r="AR18" s="319"/>
      <c r="AS18" s="319"/>
      <c r="AT18" s="319">
        <f t="shared" si="0"/>
        <v>8</v>
      </c>
      <c r="AU18" s="320">
        <f t="shared" si="1"/>
        <v>0.22222222222222221</v>
      </c>
      <c r="AV18" s="304" t="s">
        <v>561</v>
      </c>
      <c r="AW18" s="304" t="s">
        <v>562</v>
      </c>
      <c r="AX18" s="304" t="s">
        <v>221</v>
      </c>
      <c r="AY18" s="304" t="s">
        <v>196</v>
      </c>
    </row>
    <row r="19" spans="1:51" s="219" customFormat="1" ht="75" customHeight="1" x14ac:dyDescent="0.25">
      <c r="A19" s="194" t="s">
        <v>187</v>
      </c>
      <c r="B19" s="194" t="s">
        <v>187</v>
      </c>
      <c r="C19" s="194" t="s">
        <v>187</v>
      </c>
      <c r="D19" s="194" t="s">
        <v>187</v>
      </c>
      <c r="E19" s="194" t="s">
        <v>187</v>
      </c>
      <c r="F19" s="195" t="s">
        <v>14</v>
      </c>
      <c r="G19" s="194" t="s">
        <v>187</v>
      </c>
      <c r="H19" s="194" t="s">
        <v>187</v>
      </c>
      <c r="I19" s="190" t="s">
        <v>225</v>
      </c>
      <c r="J19" s="190" t="s">
        <v>226</v>
      </c>
      <c r="K19" s="196" t="s">
        <v>199</v>
      </c>
      <c r="L19" s="197">
        <v>11372</v>
      </c>
      <c r="M19" s="186" t="s">
        <v>227</v>
      </c>
      <c r="N19" s="190" t="s">
        <v>228</v>
      </c>
      <c r="O19" s="315">
        <v>0</v>
      </c>
      <c r="P19" s="321">
        <v>1632</v>
      </c>
      <c r="Q19" s="321">
        <v>6476</v>
      </c>
      <c r="R19" s="321">
        <v>1632</v>
      </c>
      <c r="S19" s="321">
        <v>1632</v>
      </c>
      <c r="T19" s="111" t="s">
        <v>202</v>
      </c>
      <c r="U19" s="109" t="s">
        <v>229</v>
      </c>
      <c r="V19" s="315">
        <v>20</v>
      </c>
      <c r="W19" s="315">
        <v>160</v>
      </c>
      <c r="X19" s="315">
        <v>160</v>
      </c>
      <c r="Y19" s="315">
        <v>160</v>
      </c>
      <c r="Z19" s="315">
        <v>160</v>
      </c>
      <c r="AA19" s="315">
        <v>160</v>
      </c>
      <c r="AB19" s="315">
        <v>160</v>
      </c>
      <c r="AC19" s="315">
        <v>160</v>
      </c>
      <c r="AD19" s="315">
        <v>160</v>
      </c>
      <c r="AE19" s="315">
        <v>160</v>
      </c>
      <c r="AF19" s="315">
        <v>160</v>
      </c>
      <c r="AG19" s="315">
        <v>12</v>
      </c>
      <c r="AH19" s="322">
        <v>150</v>
      </c>
      <c r="AI19" s="318">
        <v>220</v>
      </c>
      <c r="AJ19" s="323">
        <v>146</v>
      </c>
      <c r="AK19" s="323">
        <v>229</v>
      </c>
      <c r="AL19" s="322">
        <v>577</v>
      </c>
      <c r="AM19" s="324"/>
      <c r="AN19" s="324"/>
      <c r="AO19" s="324"/>
      <c r="AP19" s="324"/>
      <c r="AQ19" s="324"/>
      <c r="AR19" s="324"/>
      <c r="AS19" s="324"/>
      <c r="AT19" s="324">
        <f t="shared" si="0"/>
        <v>1322</v>
      </c>
      <c r="AU19" s="325">
        <f t="shared" si="1"/>
        <v>0.81004901960784315</v>
      </c>
      <c r="AV19" s="310" t="s">
        <v>573</v>
      </c>
      <c r="AW19" s="310" t="s">
        <v>574</v>
      </c>
      <c r="AX19" s="311" t="s">
        <v>230</v>
      </c>
      <c r="AY19" s="304" t="s">
        <v>231</v>
      </c>
    </row>
    <row r="20" spans="1:51" x14ac:dyDescent="0.25">
      <c r="A20" s="826" t="s">
        <v>88</v>
      </c>
      <c r="B20" s="827"/>
      <c r="C20" s="827"/>
      <c r="D20" s="827"/>
      <c r="E20" s="827"/>
      <c r="F20" s="827"/>
      <c r="G20" s="827"/>
      <c r="H20" s="827"/>
      <c r="I20" s="827"/>
      <c r="J20" s="827"/>
      <c r="K20" s="827"/>
      <c r="L20" s="827"/>
      <c r="M20" s="827"/>
      <c r="N20" s="827"/>
      <c r="O20" s="827"/>
      <c r="P20" s="827"/>
      <c r="Q20" s="827"/>
      <c r="R20" s="827"/>
      <c r="S20" s="827"/>
      <c r="T20" s="827"/>
      <c r="U20" s="827"/>
      <c r="V20" s="827"/>
      <c r="W20" s="827"/>
      <c r="X20" s="827"/>
      <c r="Y20" s="827"/>
      <c r="Z20" s="827"/>
      <c r="AA20" s="827"/>
      <c r="AB20" s="827"/>
      <c r="AC20" s="827"/>
      <c r="AD20" s="827"/>
      <c r="AE20" s="827"/>
      <c r="AF20" s="827"/>
      <c r="AG20" s="827"/>
      <c r="AH20" s="827"/>
      <c r="AI20" s="827"/>
      <c r="AJ20" s="827"/>
      <c r="AK20" s="827"/>
      <c r="AL20" s="827"/>
      <c r="AM20" s="827"/>
      <c r="AN20" s="827"/>
      <c r="AO20" s="827"/>
      <c r="AP20" s="827"/>
      <c r="AQ20" s="827"/>
      <c r="AR20" s="827"/>
      <c r="AS20" s="827"/>
      <c r="AT20" s="827"/>
      <c r="AU20" s="827"/>
      <c r="AV20" s="827"/>
      <c r="AW20" s="827"/>
      <c r="AX20" s="827"/>
      <c r="AY20" s="828"/>
    </row>
    <row r="21" spans="1:51" ht="101.25" customHeight="1" x14ac:dyDescent="0.25">
      <c r="A21" s="832" t="s">
        <v>232</v>
      </c>
      <c r="B21" s="832"/>
      <c r="C21" s="832"/>
      <c r="D21" s="824" t="s">
        <v>233</v>
      </c>
      <c r="E21" s="824"/>
      <c r="F21" s="824"/>
      <c r="G21" s="824"/>
      <c r="H21" s="824"/>
      <c r="I21" s="824"/>
      <c r="J21" s="825" t="s">
        <v>234</v>
      </c>
      <c r="K21" s="825"/>
      <c r="L21" s="825"/>
      <c r="M21" s="825"/>
      <c r="N21" s="825"/>
      <c r="O21" s="825"/>
      <c r="P21" s="824" t="s">
        <v>233</v>
      </c>
      <c r="Q21" s="824"/>
      <c r="R21" s="824"/>
      <c r="S21" s="824"/>
      <c r="T21" s="824"/>
      <c r="U21" s="824"/>
      <c r="V21" s="824" t="s">
        <v>233</v>
      </c>
      <c r="W21" s="824"/>
      <c r="X21" s="824"/>
      <c r="Y21" s="824"/>
      <c r="Z21" s="824"/>
      <c r="AA21" s="824"/>
      <c r="AB21" s="824"/>
      <c r="AC21" s="824"/>
      <c r="AD21" s="824" t="s">
        <v>233</v>
      </c>
      <c r="AE21" s="824"/>
      <c r="AF21" s="824"/>
      <c r="AG21" s="824"/>
      <c r="AH21" s="824"/>
      <c r="AI21" s="824"/>
      <c r="AJ21" s="824"/>
      <c r="AK21" s="824"/>
      <c r="AL21" s="824"/>
      <c r="AM21" s="824"/>
      <c r="AN21" s="824"/>
      <c r="AO21" s="824"/>
      <c r="AP21" s="825" t="s">
        <v>235</v>
      </c>
      <c r="AQ21" s="825"/>
      <c r="AR21" s="825"/>
      <c r="AS21" s="825"/>
      <c r="AT21" s="824" t="s">
        <v>236</v>
      </c>
      <c r="AU21" s="824"/>
      <c r="AV21" s="824"/>
      <c r="AW21" s="824"/>
      <c r="AX21" s="824"/>
      <c r="AY21" s="824"/>
    </row>
    <row r="22" spans="1:51" ht="23.45" customHeight="1" x14ac:dyDescent="0.25">
      <c r="A22" s="832"/>
      <c r="B22" s="832"/>
      <c r="C22" s="832"/>
      <c r="D22" s="824" t="s">
        <v>237</v>
      </c>
      <c r="E22" s="824"/>
      <c r="F22" s="824"/>
      <c r="G22" s="824"/>
      <c r="H22" s="824"/>
      <c r="I22" s="824"/>
      <c r="J22" s="825"/>
      <c r="K22" s="825"/>
      <c r="L22" s="825"/>
      <c r="M22" s="825"/>
      <c r="N22" s="825"/>
      <c r="O22" s="825"/>
      <c r="P22" s="824" t="s">
        <v>238</v>
      </c>
      <c r="Q22" s="824"/>
      <c r="R22" s="824"/>
      <c r="S22" s="824"/>
      <c r="T22" s="824"/>
      <c r="U22" s="824"/>
      <c r="V22" s="824" t="s">
        <v>575</v>
      </c>
      <c r="W22" s="824"/>
      <c r="X22" s="824"/>
      <c r="Y22" s="824"/>
      <c r="Z22" s="824"/>
      <c r="AA22" s="824"/>
      <c r="AB22" s="824"/>
      <c r="AC22" s="824"/>
      <c r="AD22" s="824" t="s">
        <v>239</v>
      </c>
      <c r="AE22" s="824"/>
      <c r="AF22" s="824"/>
      <c r="AG22" s="824"/>
      <c r="AH22" s="824"/>
      <c r="AI22" s="824"/>
      <c r="AJ22" s="824"/>
      <c r="AK22" s="824"/>
      <c r="AL22" s="824"/>
      <c r="AM22" s="824"/>
      <c r="AN22" s="824"/>
      <c r="AO22" s="824"/>
      <c r="AP22" s="825"/>
      <c r="AQ22" s="825"/>
      <c r="AR22" s="825"/>
      <c r="AS22" s="825"/>
      <c r="AT22" s="824" t="s">
        <v>240</v>
      </c>
      <c r="AU22" s="824"/>
      <c r="AV22" s="824"/>
      <c r="AW22" s="824"/>
      <c r="AX22" s="824"/>
      <c r="AY22" s="824"/>
    </row>
    <row r="23" spans="1:51" ht="33.6" customHeight="1" x14ac:dyDescent="0.25">
      <c r="A23" s="832"/>
      <c r="B23" s="832"/>
      <c r="C23" s="832"/>
      <c r="D23" s="824" t="s">
        <v>241</v>
      </c>
      <c r="E23" s="824"/>
      <c r="F23" s="824"/>
      <c r="G23" s="824"/>
      <c r="H23" s="824"/>
      <c r="I23" s="824"/>
      <c r="J23" s="825"/>
      <c r="K23" s="825"/>
      <c r="L23" s="825"/>
      <c r="M23" s="825"/>
      <c r="N23" s="825"/>
      <c r="O23" s="825"/>
      <c r="P23" s="824" t="s">
        <v>242</v>
      </c>
      <c r="Q23" s="824"/>
      <c r="R23" s="824"/>
      <c r="S23" s="824"/>
      <c r="T23" s="824"/>
      <c r="U23" s="824"/>
      <c r="V23" s="824" t="s">
        <v>576</v>
      </c>
      <c r="W23" s="824"/>
      <c r="X23" s="824"/>
      <c r="Y23" s="824"/>
      <c r="Z23" s="824"/>
      <c r="AA23" s="824"/>
      <c r="AB23" s="824"/>
      <c r="AC23" s="824"/>
      <c r="AD23" s="824" t="s">
        <v>243</v>
      </c>
      <c r="AE23" s="824"/>
      <c r="AF23" s="824"/>
      <c r="AG23" s="824"/>
      <c r="AH23" s="824"/>
      <c r="AI23" s="824"/>
      <c r="AJ23" s="824"/>
      <c r="AK23" s="824"/>
      <c r="AL23" s="824"/>
      <c r="AM23" s="824"/>
      <c r="AN23" s="824"/>
      <c r="AO23" s="824"/>
      <c r="AP23" s="825"/>
      <c r="AQ23" s="825"/>
      <c r="AR23" s="825"/>
      <c r="AS23" s="825"/>
      <c r="AT23" s="824" t="s">
        <v>244</v>
      </c>
      <c r="AU23" s="824"/>
      <c r="AV23" s="824"/>
      <c r="AW23" s="824"/>
      <c r="AX23" s="824"/>
      <c r="AY23" s="824"/>
    </row>
  </sheetData>
  <mergeCells count="60">
    <mergeCell ref="AW5:AW12"/>
    <mergeCell ref="AH5:AU10"/>
    <mergeCell ref="AV5:AV12"/>
    <mergeCell ref="A5:AG5"/>
    <mergeCell ref="AT11:AU11"/>
    <mergeCell ref="M11:M12"/>
    <mergeCell ref="L11:L12"/>
    <mergeCell ref="AH11:AS11"/>
    <mergeCell ref="K6:AG8"/>
    <mergeCell ref="D9:AG9"/>
    <mergeCell ref="D10:AG10"/>
    <mergeCell ref="A11:F11"/>
    <mergeCell ref="G11:H11"/>
    <mergeCell ref="A6:C8"/>
    <mergeCell ref="D6:E8"/>
    <mergeCell ref="F6:G8"/>
    <mergeCell ref="AX1:AY1"/>
    <mergeCell ref="AX2:AY2"/>
    <mergeCell ref="AX3:AY3"/>
    <mergeCell ref="AX4:AY4"/>
    <mergeCell ref="A1:AW1"/>
    <mergeCell ref="A2:AW2"/>
    <mergeCell ref="A3:AW4"/>
    <mergeCell ref="V11:AG11"/>
    <mergeCell ref="I11:I12"/>
    <mergeCell ref="J11:J12"/>
    <mergeCell ref="T11:T12"/>
    <mergeCell ref="N11:N12"/>
    <mergeCell ref="AY5:AY12"/>
    <mergeCell ref="H7:I7"/>
    <mergeCell ref="H8:I8"/>
    <mergeCell ref="A21:C23"/>
    <mergeCell ref="J21:O23"/>
    <mergeCell ref="P22:U22"/>
    <mergeCell ref="P23:U23"/>
    <mergeCell ref="AD22:AO22"/>
    <mergeCell ref="AD23:AO23"/>
    <mergeCell ref="P21:U21"/>
    <mergeCell ref="G17:G18"/>
    <mergeCell ref="H17:H18"/>
    <mergeCell ref="I17:I18"/>
    <mergeCell ref="K11:K12"/>
    <mergeCell ref="U11:U12"/>
    <mergeCell ref="O11:S11"/>
    <mergeCell ref="H6:I6"/>
    <mergeCell ref="A10:C10"/>
    <mergeCell ref="A9:C9"/>
    <mergeCell ref="AT23:AY23"/>
    <mergeCell ref="D21:I21"/>
    <mergeCell ref="AP21:AS23"/>
    <mergeCell ref="D22:I22"/>
    <mergeCell ref="D23:I23"/>
    <mergeCell ref="AD21:AO21"/>
    <mergeCell ref="V22:AC22"/>
    <mergeCell ref="V23:AC23"/>
    <mergeCell ref="V21:AC21"/>
    <mergeCell ref="A20:AY20"/>
    <mergeCell ref="AT22:AY22"/>
    <mergeCell ref="AT21:AY21"/>
    <mergeCell ref="AX5:AX12"/>
  </mergeCells>
  <pageMargins left="0.75" right="0.75" top="1" bottom="1" header="0.3" footer="0.3"/>
  <pageSetup paperSize="9" scale="22"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7" ma:contentTypeDescription="Crear nuevo documento." ma:contentTypeScope="" ma:versionID="d956573d87abb794c4a9810d20ba9997">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17bacb17f57d4cda79cc9468e4177047"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5e60779-6af5-4dde-a1c8-ebb5582c629e"/>
    <lcf76f155ced4ddcb4097134ff3c332f xmlns="bfb5676e-0d71-42df-8fc5-13002709b90b">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F9BD70-D413-42D1-872F-D93B872DA59F}">
  <ds:schemaRefs>
    <ds:schemaRef ds:uri="http://schemas.microsoft.com/office/2006/metadata/longProperties"/>
  </ds:schemaRefs>
</ds:datastoreItem>
</file>

<file path=customXml/itemProps2.xml><?xml version="1.0" encoding="utf-8"?>
<ds:datastoreItem xmlns:ds="http://schemas.openxmlformats.org/officeDocument/2006/customXml" ds:itemID="{9A4CBA6F-A444-4A82-AE3A-A04E0D5BE0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D3E026-6D0D-4CA9-833C-368A121BFBA5}">
  <ds:schemaRefs>
    <ds:schemaRef ds:uri="f5e60779-6af5-4dde-a1c8-ebb5582c629e"/>
    <ds:schemaRef ds:uri="http://www.w3.org/XML/1998/namespace"/>
    <ds:schemaRef ds:uri="http://purl.org/dc/elements/1.1/"/>
    <ds:schemaRef ds:uri="http://schemas.microsoft.com/office/infopath/2007/PartnerControls"/>
    <ds:schemaRef ds:uri="http://schemas.openxmlformats.org/package/2006/metadata/core-properties"/>
    <ds:schemaRef ds:uri="bfb5676e-0d71-42df-8fc5-13002709b90b"/>
    <ds:schemaRef ds:uri="http://schemas.microsoft.com/office/2006/metadata/properties"/>
    <ds:schemaRef ds:uri="http://purl.org/dc/dcmitype/"/>
    <ds:schemaRef ds:uri="http://schemas.microsoft.com/office/2006/documentManagement/types"/>
    <ds:schemaRef ds:uri="http://purl.org/dc/terms/"/>
  </ds:schemaRefs>
</ds:datastoreItem>
</file>

<file path=customXml/itemProps4.xml><?xml version="1.0" encoding="utf-8"?>
<ds:datastoreItem xmlns:ds="http://schemas.openxmlformats.org/officeDocument/2006/customXml" ds:itemID="{457CF1CE-E31F-4D62-A75E-8C23752B74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Meta 1</vt:lpstr>
      <vt:lpstr>Meta 1..n</vt:lpstr>
      <vt:lpstr>Meta 2</vt:lpstr>
      <vt:lpstr>Meta 3</vt:lpstr>
      <vt:lpstr>Meta 4</vt:lpstr>
      <vt:lpstr>Meta 5</vt:lpstr>
      <vt:lpstr>Meta 6</vt:lpstr>
      <vt:lpstr>Meta 7</vt:lpstr>
      <vt:lpstr>Indicadores PA</vt:lpstr>
      <vt:lpstr>Territorialización PA</vt:lpstr>
      <vt:lpstr>Instructivo</vt:lpstr>
      <vt:lpstr>Generalidades</vt:lpstr>
      <vt:lpstr>Hoja13</vt:lpstr>
      <vt:lpstr>Hoja1</vt:lpstr>
      <vt:lpstr>'Indicadores PA'!Área_de_impresión</vt:lpstr>
      <vt:lpstr>'Meta 1'!Área_de_impresión</vt:lpstr>
      <vt:lpstr>'Meta 2'!Área_de_impresión</vt:lpstr>
      <vt:lpstr>'Meta 3'!Área_de_impresión</vt:lpstr>
      <vt:lpstr>'Meta 4'!Área_de_impresión</vt:lpstr>
      <vt:lpstr>'Meta 5'!Área_de_impresión</vt:lpstr>
      <vt:lpstr>'Meta 6'!Área_de_impresión</vt:lpstr>
      <vt:lpstr>'Meta 7'!Área_de_impresión</vt:lpstr>
      <vt:lpstr>'Territorialización PA'!Área_de_impresión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Angela Marcela Forero Ruiz</cp:lastModifiedBy>
  <cp:revision/>
  <dcterms:created xsi:type="dcterms:W3CDTF">2011-04-26T22:16:52Z</dcterms:created>
  <dcterms:modified xsi:type="dcterms:W3CDTF">2023-06-14T21:19:38Z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0x010100D22D89587B88F645886B528F3349C219</vt:lpwstr>
  </property>
  <property fmtid="{D5CDD505-2E9C-101B-9397-08002B2CF9AE}" pid="3" name="display_urn:schemas-microsoft-com:office:office#Editor">
    <vt:lpwstr>Angela Marcela Forero Ruiz</vt:lpwstr>
  </property>
  <property fmtid="{D5CDD505-2E9C-101B-9397-08002B2CF9AE}" pid="4" name="Order">
    <vt:lpwstr>3677200.00000000</vt:lpwstr>
  </property>
  <property fmtid="{D5CDD505-2E9C-101B-9397-08002B2CF9AE}" pid="5" name="SharedWithUsers">
    <vt:lpwstr/>
  </property>
  <property fmtid="{D5CDD505-2E9C-101B-9397-08002B2CF9AE}" pid="6" name="_ExtendedDescription">
    <vt:lpwstr/>
  </property>
  <property fmtid="{D5CDD505-2E9C-101B-9397-08002B2CF9AE}" pid="7" name="display_urn:schemas-microsoft-com:office:office#Author">
    <vt:lpwstr>Angela Marcela Forero Ruiz</vt:lpwstr>
  </property>
  <property fmtid="{D5CDD505-2E9C-101B-9397-08002B2CF9AE}" pid="8" name="ComplianceAssetId">
    <vt:lpwstr/>
  </property>
  <property fmtid="{D5CDD505-2E9C-101B-9397-08002B2CF9AE}" pid="9" name="TriggerFlowInfo">
    <vt:lpwstr/>
  </property>
  <property fmtid="{D5CDD505-2E9C-101B-9397-08002B2CF9AE}" pid="10" name="MediaLengthInSeconds">
    <vt:lpwstr/>
  </property>
</Properties>
</file>