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rinterSettings/printerSettings1.bin" ContentType="application/vnd.openxmlformats-officedocument.spreadsheetml.printerSettings"/>
  <Override PartName="/xl/drawings/drawing3.xml" ContentType="application/vnd.openxmlformats-officedocument.drawing+xml"/>
  <Override PartName="/xl/comments3.xml" ContentType="application/vnd.openxmlformats-officedocument.spreadsheetml.comments+xml"/>
  <Override PartName="/xl/printerSettings/printerSettings2.bin" ContentType="application/vnd.openxmlformats-officedocument.spreadsheetml.printerSettings"/>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rinterSettings/printerSettings3.bin" ContentType="application/vnd.openxmlformats-officedocument.spreadsheetml.printerSettings"/>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secretariadistritald-my.sharepoint.com/personal/aforero_sdmujer_gov_co/Documents/SDM/SDM 2023/PROYECTO DE INVERSIÓN/7718/PLAN DE ACCIÓN/"/>
    </mc:Choice>
  </mc:AlternateContent>
  <xr:revisionPtr revIDLastSave="13" documentId="8_{6A52D5A5-1F81-4E18-B714-0A84D7CDBBBC}" xr6:coauthVersionLast="47" xr6:coauthVersionMax="47" xr10:uidLastSave="{8F9228BD-BDFE-437D-A639-1268B8BBAF4E}"/>
  <bookViews>
    <workbookView xWindow="-120" yWindow="-120" windowWidth="20730" windowHeight="11160" tabRatio="810" activeTab="8" xr2:uid="{00000000-000D-0000-FFFF-FFFF00000000}"/>
  </bookViews>
  <sheets>
    <sheet name="Meta 1" sheetId="40" r:id="rId1"/>
    <sheet name="Meta 2" sheetId="41" r:id="rId2"/>
    <sheet name="Meta 3" sheetId="46" r:id="rId3"/>
    <sheet name="Meta 4" sheetId="42" r:id="rId4"/>
    <sheet name="Meta 5" sheetId="43" r:id="rId5"/>
    <sheet name="Meta 6" sheetId="45" r:id="rId6"/>
    <sheet name="Meta 7" sheetId="44" r:id="rId7"/>
    <sheet name="Meta 1..n" sheetId="1" state="hidden" r:id="rId8"/>
    <sheet name="Indicadores PA" sheetId="36" r:id="rId9"/>
    <sheet name="Territorialización PA" sheetId="37" r:id="rId10"/>
    <sheet name="Instructivo" sheetId="39" r:id="rId11"/>
    <sheet name="Generalidades" sheetId="38" r:id="rId12"/>
    <sheet name="Hoja13" sheetId="32" state="hidden" r:id="rId13"/>
    <sheet name="Hoja1" sheetId="20" state="hidden" r:id="rId14"/>
  </sheets>
  <definedNames>
    <definedName name="_xlnm._FilterDatabase" localSheetId="8" hidden="1">'Indicadores PA'!$A$12:$AY$12</definedName>
    <definedName name="_xlnm.Print_Area" localSheetId="0">'Meta 1'!$A$1:$AD$41</definedName>
    <definedName name="_xlnm.Print_Area" localSheetId="1">'Meta 2'!$A$1:$AD$43</definedName>
    <definedName name="_xlnm.Print_Area" localSheetId="2">'Meta 3'!$A$1:$AD$43</definedName>
    <definedName name="_xlnm.Print_Area" localSheetId="3">'Meta 4'!$A$1:$AD$43</definedName>
    <definedName name="_xlnm.Print_Area" localSheetId="4">'Meta 5'!$A$1:$AD$39</definedName>
    <definedName name="_xlnm.Print_Area" localSheetId="5">'Meta 6'!$A$1:$AD$43</definedName>
    <definedName name="_xlnm.Print_Area" localSheetId="6">'Meta 7'!$A$1:$AD$41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25" i="40" l="1"/>
  <c r="AG24" i="40"/>
  <c r="AG22" i="40"/>
  <c r="AG23" i="40"/>
  <c r="AC23" i="42"/>
  <c r="AD25" i="42" s="1"/>
  <c r="AU19" i="36"/>
  <c r="AT19" i="36"/>
  <c r="AT16" i="36"/>
  <c r="AU16" i="36"/>
  <c r="H35" i="40"/>
  <c r="D11" i="37"/>
  <c r="AT13" i="36"/>
  <c r="AU13" i="36" s="1"/>
  <c r="AD25" i="44"/>
  <c r="AD23" i="44"/>
  <c r="P25" i="44"/>
  <c r="AD25" i="45"/>
  <c r="AD23" i="45"/>
  <c r="P25" i="45"/>
  <c r="AD25" i="43"/>
  <c r="AD23" i="43"/>
  <c r="P25" i="43"/>
  <c r="P25" i="42"/>
  <c r="AD25" i="46"/>
  <c r="AD23" i="46"/>
  <c r="P25" i="46"/>
  <c r="AD25" i="41"/>
  <c r="AD23" i="41"/>
  <c r="P25" i="41"/>
  <c r="P25" i="40"/>
  <c r="AD25" i="40"/>
  <c r="AD23" i="40"/>
  <c r="B59" i="44"/>
  <c r="A59" i="44"/>
  <c r="B57" i="44"/>
  <c r="A57" i="44"/>
  <c r="B61" i="45"/>
  <c r="A61" i="45"/>
  <c r="B59" i="45"/>
  <c r="A59" i="45"/>
  <c r="B57" i="45"/>
  <c r="A57" i="45"/>
  <c r="B57" i="43"/>
  <c r="A57" i="43"/>
  <c r="B61" i="42"/>
  <c r="A61" i="42"/>
  <c r="B59" i="42"/>
  <c r="A59" i="42"/>
  <c r="B57" i="42"/>
  <c r="A57" i="42"/>
  <c r="B61" i="46"/>
  <c r="A61" i="46"/>
  <c r="B59" i="46"/>
  <c r="A59" i="46"/>
  <c r="B57" i="46"/>
  <c r="A57" i="46"/>
  <c r="B59" i="40"/>
  <c r="A59" i="40"/>
  <c r="B57" i="40"/>
  <c r="A57" i="40"/>
  <c r="P42" i="46"/>
  <c r="H62" i="46"/>
  <c r="W14" i="36"/>
  <c r="X14" i="36"/>
  <c r="Y14" i="36"/>
  <c r="Z14" i="36"/>
  <c r="AA14" i="36"/>
  <c r="AB14" i="36"/>
  <c r="AC14" i="36"/>
  <c r="AD14" i="36"/>
  <c r="AE14" i="36"/>
  <c r="AF14" i="36"/>
  <c r="AG14" i="36"/>
  <c r="V14" i="36"/>
  <c r="W15" i="36"/>
  <c r="X15" i="36"/>
  <c r="Y15" i="36"/>
  <c r="Z15" i="36"/>
  <c r="AA15" i="36"/>
  <c r="AB15" i="36"/>
  <c r="AC15" i="36"/>
  <c r="AD15" i="36"/>
  <c r="AE15" i="36"/>
  <c r="AF15" i="36"/>
  <c r="AG15" i="36"/>
  <c r="V15" i="36"/>
  <c r="C24" i="44"/>
  <c r="C24" i="45"/>
  <c r="O24" i="45"/>
  <c r="C24" i="42"/>
  <c r="C24" i="46"/>
  <c r="AB24" i="44"/>
  <c r="AA24" i="44"/>
  <c r="Z24" i="44"/>
  <c r="Y24" i="44"/>
  <c r="X24" i="44"/>
  <c r="AC24" i="44"/>
  <c r="W24" i="44"/>
  <c r="V24" i="44"/>
  <c r="U24" i="44"/>
  <c r="T24" i="44"/>
  <c r="S24" i="44"/>
  <c r="R24" i="44"/>
  <c r="Q22" i="44"/>
  <c r="AC22" i="44"/>
  <c r="V22" i="44"/>
  <c r="T22" i="44"/>
  <c r="AA24" i="45"/>
  <c r="Y24" i="45"/>
  <c r="W24" i="45"/>
  <c r="V22" i="45"/>
  <c r="U24" i="45"/>
  <c r="T22" i="45"/>
  <c r="AC22" i="45"/>
  <c r="AB24" i="45"/>
  <c r="Z24" i="45"/>
  <c r="X24" i="45"/>
  <c r="V24" i="45"/>
  <c r="T24" i="45"/>
  <c r="AA24" i="43"/>
  <c r="Y24" i="43"/>
  <c r="W24" i="43"/>
  <c r="V22" i="43"/>
  <c r="AC22" i="43"/>
  <c r="U24" i="43"/>
  <c r="AB24" i="42"/>
  <c r="AA24" i="42"/>
  <c r="Z24" i="42"/>
  <c r="Y24" i="42"/>
  <c r="X24" i="42"/>
  <c r="W24" i="42"/>
  <c r="V24" i="42"/>
  <c r="U24" i="42"/>
  <c r="T24" i="42"/>
  <c r="S22" i="42"/>
  <c r="V22" i="42"/>
  <c r="T22" i="42"/>
  <c r="AB24" i="46"/>
  <c r="AA24" i="46"/>
  <c r="Z24" i="46"/>
  <c r="Y24" i="46"/>
  <c r="X24" i="46"/>
  <c r="W24" i="46"/>
  <c r="V24" i="46"/>
  <c r="U24" i="46"/>
  <c r="AC24" i="46"/>
  <c r="T24" i="46"/>
  <c r="S22" i="46"/>
  <c r="V22" i="46"/>
  <c r="T22" i="46"/>
  <c r="AA24" i="41"/>
  <c r="Y24" i="41"/>
  <c r="W24" i="41"/>
  <c r="V22" i="41"/>
  <c r="AC22" i="41"/>
  <c r="U24" i="41"/>
  <c r="AA24" i="40"/>
  <c r="Y24" i="40"/>
  <c r="W24" i="40"/>
  <c r="AC24" i="40"/>
  <c r="V22" i="40"/>
  <c r="AC22" i="40"/>
  <c r="U24" i="40"/>
  <c r="D24" i="44"/>
  <c r="O24" i="44"/>
  <c r="D24" i="45"/>
  <c r="D24" i="43"/>
  <c r="O24" i="43"/>
  <c r="D24" i="42"/>
  <c r="O24" i="42"/>
  <c r="D24" i="46"/>
  <c r="D24" i="41"/>
  <c r="O24" i="41"/>
  <c r="D24" i="40"/>
  <c r="O24" i="40"/>
  <c r="F24" i="42"/>
  <c r="F24" i="46"/>
  <c r="E24" i="42"/>
  <c r="E24" i="46"/>
  <c r="G24" i="42"/>
  <c r="G24" i="46"/>
  <c r="P42" i="41"/>
  <c r="P43" i="46"/>
  <c r="P41" i="46"/>
  <c r="P40" i="46"/>
  <c r="N59" i="46"/>
  <c r="P39" i="46"/>
  <c r="P38" i="46"/>
  <c r="G58" i="46"/>
  <c r="K57" i="46"/>
  <c r="P30" i="46"/>
  <c r="O25" i="46"/>
  <c r="AC25" i="46"/>
  <c r="AC23" i="46"/>
  <c r="O23" i="46"/>
  <c r="P23" i="46"/>
  <c r="O22" i="46"/>
  <c r="P43" i="45"/>
  <c r="P42" i="45"/>
  <c r="P41" i="45"/>
  <c r="P40" i="45"/>
  <c r="L60" i="45"/>
  <c r="J59" i="45"/>
  <c r="J60" i="45"/>
  <c r="P39" i="45"/>
  <c r="P38" i="45"/>
  <c r="P30" i="45"/>
  <c r="AC25" i="45"/>
  <c r="O25" i="45"/>
  <c r="AC23" i="45"/>
  <c r="O23" i="45"/>
  <c r="P23" i="45"/>
  <c r="O22" i="45"/>
  <c r="P41" i="44"/>
  <c r="P40" i="44"/>
  <c r="E60" i="44"/>
  <c r="P39" i="44"/>
  <c r="P38" i="44"/>
  <c r="P30" i="44"/>
  <c r="AC25" i="44"/>
  <c r="O25" i="44"/>
  <c r="AC23" i="44"/>
  <c r="O23" i="44"/>
  <c r="P23" i="44"/>
  <c r="O22" i="44"/>
  <c r="P39" i="43"/>
  <c r="P38" i="43"/>
  <c r="P30" i="43"/>
  <c r="AC25" i="43"/>
  <c r="O25" i="43"/>
  <c r="AC23" i="43"/>
  <c r="O23" i="43"/>
  <c r="P23" i="43"/>
  <c r="O22" i="43"/>
  <c r="P43" i="42"/>
  <c r="P42" i="42"/>
  <c r="O61" i="42"/>
  <c r="P41" i="42"/>
  <c r="P40" i="42"/>
  <c r="P39" i="42"/>
  <c r="P38" i="42"/>
  <c r="D58" i="42"/>
  <c r="I58" i="42"/>
  <c r="P30" i="42"/>
  <c r="AC25" i="42"/>
  <c r="O25" i="42"/>
  <c r="O23" i="42"/>
  <c r="P23" i="42"/>
  <c r="O22" i="42"/>
  <c r="P43" i="41"/>
  <c r="P41" i="41"/>
  <c r="P40" i="41"/>
  <c r="P39" i="41"/>
  <c r="P38" i="41"/>
  <c r="P30" i="41"/>
  <c r="AC25" i="41"/>
  <c r="O25" i="41"/>
  <c r="AC23" i="41"/>
  <c r="O23" i="41"/>
  <c r="P23" i="41"/>
  <c r="O22" i="41"/>
  <c r="BK60" i="37"/>
  <c r="BJ60" i="37"/>
  <c r="BI60" i="37"/>
  <c r="BH60" i="37"/>
  <c r="BG60" i="37"/>
  <c r="BF60" i="37"/>
  <c r="BE60" i="37"/>
  <c r="BD60" i="37"/>
  <c r="BC60" i="37"/>
  <c r="BB60" i="37"/>
  <c r="BA60" i="37"/>
  <c r="AZ60" i="37"/>
  <c r="AW60" i="37"/>
  <c r="AV60" i="37"/>
  <c r="AU60" i="37"/>
  <c r="AT60" i="37"/>
  <c r="AS60" i="37"/>
  <c r="AR60" i="37"/>
  <c r="AQ60" i="37"/>
  <c r="AP60" i="37"/>
  <c r="AO60" i="37"/>
  <c r="AN60" i="37"/>
  <c r="AM60" i="37"/>
  <c r="AL60" i="37"/>
  <c r="AK60" i="37"/>
  <c r="AJ60" i="37"/>
  <c r="AI60" i="37"/>
  <c r="AH60" i="37"/>
  <c r="AE60" i="37"/>
  <c r="AD60" i="37"/>
  <c r="AC60" i="37"/>
  <c r="AB60" i="37"/>
  <c r="AA60" i="37"/>
  <c r="Z60" i="37"/>
  <c r="Y60" i="37"/>
  <c r="X60" i="37"/>
  <c r="W60" i="37"/>
  <c r="V60" i="37"/>
  <c r="U60" i="37"/>
  <c r="T60" i="37"/>
  <c r="Q60" i="37"/>
  <c r="P60" i="37"/>
  <c r="O60" i="37"/>
  <c r="N60" i="37"/>
  <c r="M60" i="37"/>
  <c r="L60" i="37"/>
  <c r="K60" i="37"/>
  <c r="J60" i="37"/>
  <c r="I60" i="37"/>
  <c r="H60" i="37"/>
  <c r="G60" i="37"/>
  <c r="F60" i="37"/>
  <c r="E60" i="37"/>
  <c r="D60" i="37"/>
  <c r="C60" i="37"/>
  <c r="B60" i="37"/>
  <c r="AY59" i="37"/>
  <c r="AX59" i="37"/>
  <c r="S59" i="37"/>
  <c r="R59" i="37"/>
  <c r="AY58" i="37"/>
  <c r="AX58" i="37"/>
  <c r="S58" i="37"/>
  <c r="R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Y60" i="37"/>
  <c r="AX39" i="37"/>
  <c r="AX60" i="37"/>
  <c r="S39" i="37"/>
  <c r="R39" i="37"/>
  <c r="R60"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AT14" i="36"/>
  <c r="AU14" i="36" s="1"/>
  <c r="AT15" i="36"/>
  <c r="AU15" i="36"/>
  <c r="AT17" i="36"/>
  <c r="AU17" i="36"/>
  <c r="AT18" i="36"/>
  <c r="AU18" i="36"/>
  <c r="O23" i="40"/>
  <c r="P23" i="40"/>
  <c r="T32" i="37"/>
  <c r="U32" i="37"/>
  <c r="V32" i="37"/>
  <c r="W32" i="37"/>
  <c r="X32" i="37"/>
  <c r="AZ32" i="37"/>
  <c r="BA32" i="37"/>
  <c r="BB32" i="37"/>
  <c r="BC32" i="37"/>
  <c r="BD32" i="37"/>
  <c r="BE32" i="37"/>
  <c r="AC25" i="40"/>
  <c r="AC23" i="40"/>
  <c r="O25" i="40"/>
  <c r="O22" i="40"/>
  <c r="P41" i="40"/>
  <c r="P40" i="40"/>
  <c r="L59" i="40"/>
  <c r="P39" i="40"/>
  <c r="P38" i="40"/>
  <c r="O57" i="40"/>
  <c r="P30" i="40"/>
  <c r="P28" i="1"/>
  <c r="P24" i="1"/>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P29" i="1"/>
  <c r="P32" i="1"/>
  <c r="P34" i="1"/>
  <c r="P35" i="1"/>
  <c r="P36" i="1"/>
  <c r="P37" i="1"/>
  <c r="P38" i="1"/>
  <c r="P39" i="1"/>
  <c r="N4" i="20"/>
  <c r="N3" i="20"/>
  <c r="F8" i="20"/>
  <c r="F7" i="20"/>
  <c r="J7" i="20"/>
  <c r="J6" i="20"/>
  <c r="J5" i="20"/>
  <c r="J4" i="20"/>
  <c r="J3" i="20"/>
  <c r="F6" i="20"/>
  <c r="F5" i="20"/>
  <c r="F4" i="20"/>
  <c r="F3" i="20"/>
  <c r="P33" i="1"/>
  <c r="M57" i="43"/>
  <c r="M68" i="43"/>
  <c r="M69" i="43"/>
  <c r="M34" i="43"/>
  <c r="H57" i="46"/>
  <c r="O57" i="46"/>
  <c r="D57" i="46"/>
  <c r="L57" i="46"/>
  <c r="K58" i="40"/>
  <c r="M59" i="40"/>
  <c r="D57" i="40"/>
  <c r="N57" i="40"/>
  <c r="L58" i="40"/>
  <c r="G58" i="42"/>
  <c r="G59" i="40"/>
  <c r="G68" i="40"/>
  <c r="G69" i="40"/>
  <c r="G34" i="40"/>
  <c r="H57" i="42"/>
  <c r="M60" i="40"/>
  <c r="J57" i="40"/>
  <c r="E59" i="46"/>
  <c r="E58" i="42"/>
  <c r="N59" i="45"/>
  <c r="E58" i="40"/>
  <c r="O59" i="46"/>
  <c r="K58" i="43"/>
  <c r="K65" i="43"/>
  <c r="K66" i="43"/>
  <c r="K35" i="43"/>
  <c r="J57" i="43"/>
  <c r="J68" i="43"/>
  <c r="J69" i="43"/>
  <c r="J34" i="43"/>
  <c r="O59" i="42"/>
  <c r="I58" i="40"/>
  <c r="I58" i="43"/>
  <c r="I65" i="43"/>
  <c r="I66" i="43"/>
  <c r="I35" i="43"/>
  <c r="I57" i="40"/>
  <c r="D58" i="40"/>
  <c r="O58" i="40"/>
  <c r="O65" i="40"/>
  <c r="O66" i="40"/>
  <c r="H58" i="46"/>
  <c r="N58" i="40"/>
  <c r="F58" i="40"/>
  <c r="F57" i="46"/>
  <c r="O58" i="43"/>
  <c r="O65" i="43"/>
  <c r="O66" i="43"/>
  <c r="O35" i="43"/>
  <c r="I60" i="40"/>
  <c r="I65" i="40"/>
  <c r="I66" i="40"/>
  <c r="I35" i="40"/>
  <c r="J57" i="46"/>
  <c r="O58" i="46"/>
  <c r="L58" i="46"/>
  <c r="D58" i="46"/>
  <c r="N57" i="46"/>
  <c r="J59" i="44"/>
  <c r="O59" i="40"/>
  <c r="O68" i="40"/>
  <c r="O69" i="40"/>
  <c r="O34" i="40"/>
  <c r="F58" i="46"/>
  <c r="N58" i="46"/>
  <c r="D57" i="42"/>
  <c r="E59" i="44"/>
  <c r="N60" i="40"/>
  <c r="N65" i="40"/>
  <c r="N66" i="40"/>
  <c r="N35" i="40"/>
  <c r="F59" i="40"/>
  <c r="F68" i="40"/>
  <c r="F69" i="40"/>
  <c r="F34" i="40"/>
  <c r="G57" i="46"/>
  <c r="K58" i="42"/>
  <c r="L60" i="44"/>
  <c r="E57" i="40"/>
  <c r="M57" i="40"/>
  <c r="M68" i="40"/>
  <c r="M69" i="40"/>
  <c r="M34" i="40"/>
  <c r="I58" i="46"/>
  <c r="M57" i="46"/>
  <c r="F61" i="42"/>
  <c r="G58" i="40"/>
  <c r="G66" i="40"/>
  <c r="G35" i="40"/>
  <c r="F59" i="44"/>
  <c r="L59" i="44"/>
  <c r="H59" i="44"/>
  <c r="M59" i="44"/>
  <c r="M57" i="42"/>
  <c r="L57" i="42"/>
  <c r="M58" i="42"/>
  <c r="M61" i="46"/>
  <c r="G61" i="46"/>
  <c r="I57" i="44"/>
  <c r="I68" i="44"/>
  <c r="I69" i="44"/>
  <c r="I34" i="44"/>
  <c r="J60" i="44"/>
  <c r="O59" i="44"/>
  <c r="L60" i="40"/>
  <c r="D59" i="40"/>
  <c r="G60" i="40"/>
  <c r="G65" i="40"/>
  <c r="I59" i="40"/>
  <c r="J60" i="40"/>
  <c r="O60" i="40"/>
  <c r="O35" i="40"/>
  <c r="F60" i="40"/>
  <c r="J59" i="40"/>
  <c r="J68" i="40"/>
  <c r="J69" i="40"/>
  <c r="J34" i="40"/>
  <c r="E61" i="42"/>
  <c r="H61" i="42"/>
  <c r="G57" i="44"/>
  <c r="G68" i="44"/>
  <c r="G69" i="44"/>
  <c r="G34" i="44"/>
  <c r="I59" i="44"/>
  <c r="J62" i="42"/>
  <c r="K62" i="46"/>
  <c r="E62" i="42"/>
  <c r="F62" i="46"/>
  <c r="E58" i="46"/>
  <c r="E57" i="46"/>
  <c r="I57" i="46"/>
  <c r="AC22" i="46"/>
  <c r="L57" i="40"/>
  <c r="M58" i="46"/>
  <c r="J58" i="46"/>
  <c r="K58" i="46"/>
  <c r="N58" i="43"/>
  <c r="N65" i="43"/>
  <c r="N66" i="43"/>
  <c r="N35" i="43"/>
  <c r="F59" i="46"/>
  <c r="H60" i="46"/>
  <c r="H65" i="46"/>
  <c r="H66" i="46"/>
  <c r="H35" i="46"/>
  <c r="D60" i="46"/>
  <c r="N60" i="46"/>
  <c r="O24" i="46"/>
  <c r="O60" i="46"/>
  <c r="L59" i="46"/>
  <c r="M57" i="44"/>
  <c r="M68" i="44"/>
  <c r="M69" i="44"/>
  <c r="M34" i="44"/>
  <c r="M62" i="45"/>
  <c r="D62" i="45"/>
  <c r="G61" i="45"/>
  <c r="J62" i="45"/>
  <c r="I62" i="45"/>
  <c r="H62" i="45"/>
  <c r="L61" i="45"/>
  <c r="G62" i="45"/>
  <c r="K61" i="45"/>
  <c r="E62" i="45"/>
  <c r="I61" i="45"/>
  <c r="D59" i="46"/>
  <c r="K59" i="40"/>
  <c r="N59" i="40"/>
  <c r="D60" i="40"/>
  <c r="L60" i="42"/>
  <c r="L59" i="42"/>
  <c r="K59" i="42"/>
  <c r="J59" i="42"/>
  <c r="J68" i="42"/>
  <c r="J69" i="42"/>
  <c r="J34" i="42"/>
  <c r="M60" i="42"/>
  <c r="M59" i="42"/>
  <c r="N59" i="42"/>
  <c r="F57" i="40"/>
  <c r="K57" i="40"/>
  <c r="H58" i="40"/>
  <c r="G57" i="40"/>
  <c r="H57" i="40"/>
  <c r="M58" i="40"/>
  <c r="M65" i="40"/>
  <c r="M66" i="40"/>
  <c r="M35" i="40"/>
  <c r="J58" i="40"/>
  <c r="O58" i="42"/>
  <c r="M60" i="44"/>
  <c r="N57" i="42"/>
  <c r="E57" i="42"/>
  <c r="O57" i="42"/>
  <c r="D59" i="44"/>
  <c r="F57" i="42"/>
  <c r="F58" i="42"/>
  <c r="G59" i="44"/>
  <c r="G57" i="42"/>
  <c r="H58" i="42"/>
  <c r="N59" i="44"/>
  <c r="I57" i="42"/>
  <c r="J58" i="42"/>
  <c r="F60" i="44"/>
  <c r="J57" i="42"/>
  <c r="L58" i="42"/>
  <c r="G60" i="44"/>
  <c r="K57" i="42"/>
  <c r="N58" i="42"/>
  <c r="I68" i="40"/>
  <c r="I69" i="40"/>
  <c r="I34" i="40"/>
  <c r="K68" i="40"/>
  <c r="K69" i="40"/>
  <c r="K34" i="40"/>
  <c r="F58" i="45"/>
  <c r="M58" i="45"/>
  <c r="E58" i="45"/>
  <c r="O58" i="45"/>
  <c r="I57" i="45"/>
  <c r="L58" i="45"/>
  <c r="E57" i="45"/>
  <c r="N58" i="45"/>
  <c r="M57" i="45"/>
  <c r="L57" i="45"/>
  <c r="H57" i="45"/>
  <c r="D58" i="45"/>
  <c r="G57" i="45"/>
  <c r="F57" i="45"/>
  <c r="G58" i="45"/>
  <c r="E58" i="43"/>
  <c r="E65" i="43"/>
  <c r="E66" i="43"/>
  <c r="E35" i="43"/>
  <c r="O57" i="43"/>
  <c r="O68" i="43"/>
  <c r="O69" i="43"/>
  <c r="O34" i="43"/>
  <c r="N57" i="43"/>
  <c r="N68" i="43"/>
  <c r="N69" i="43"/>
  <c r="N34" i="43"/>
  <c r="L58" i="43"/>
  <c r="L65" i="43"/>
  <c r="L66" i="43"/>
  <c r="L35" i="43"/>
  <c r="F58" i="43"/>
  <c r="F65" i="43"/>
  <c r="F66" i="43"/>
  <c r="F35" i="43"/>
  <c r="H57" i="43"/>
  <c r="H68" i="43"/>
  <c r="H69" i="43"/>
  <c r="H34" i="43"/>
  <c r="G58" i="43"/>
  <c r="G65" i="43"/>
  <c r="G66" i="43"/>
  <c r="G35" i="43"/>
  <c r="G57" i="43"/>
  <c r="G68" i="43"/>
  <c r="G69" i="43"/>
  <c r="G34" i="43"/>
  <c r="M58" i="43"/>
  <c r="M65" i="43"/>
  <c r="M66" i="43"/>
  <c r="M35" i="43"/>
  <c r="E57" i="43"/>
  <c r="E68" i="43"/>
  <c r="E69" i="43"/>
  <c r="E34" i="43"/>
  <c r="D58" i="43"/>
  <c r="D65" i="43"/>
  <c r="D66" i="43"/>
  <c r="D35" i="43"/>
  <c r="L57" i="43"/>
  <c r="L68" i="43"/>
  <c r="L69" i="43"/>
  <c r="L34" i="43"/>
  <c r="K57" i="43"/>
  <c r="K68" i="43"/>
  <c r="K69" i="43"/>
  <c r="K34" i="43"/>
  <c r="H58" i="43"/>
  <c r="H65" i="43"/>
  <c r="H66" i="43"/>
  <c r="H35" i="43"/>
  <c r="F57" i="43"/>
  <c r="P57" i="43"/>
  <c r="F68" i="43"/>
  <c r="F69" i="43"/>
  <c r="F34" i="43"/>
  <c r="P34" i="43"/>
  <c r="D57" i="43"/>
  <c r="M59" i="45"/>
  <c r="L59" i="45"/>
  <c r="N60" i="45"/>
  <c r="M60" i="45"/>
  <c r="O60" i="45"/>
  <c r="H60" i="45"/>
  <c r="G59" i="45"/>
  <c r="I59" i="45"/>
  <c r="I60" i="45"/>
  <c r="K59" i="45"/>
  <c r="E60" i="45"/>
  <c r="E65" i="45"/>
  <c r="E66" i="45"/>
  <c r="E35" i="45"/>
  <c r="F59" i="45"/>
  <c r="O59" i="45"/>
  <c r="K60" i="45"/>
  <c r="H59" i="45"/>
  <c r="D59" i="45"/>
  <c r="D60" i="45"/>
  <c r="F60" i="45"/>
  <c r="G60" i="45"/>
  <c r="G65" i="45"/>
  <c r="G66" i="45"/>
  <c r="G35" i="45"/>
  <c r="D65" i="40"/>
  <c r="D66" i="40"/>
  <c r="I57" i="43"/>
  <c r="I68" i="43"/>
  <c r="I69" i="43"/>
  <c r="I34" i="43"/>
  <c r="E59" i="45"/>
  <c r="J58" i="43"/>
  <c r="J65" i="43"/>
  <c r="J66" i="43"/>
  <c r="J35" i="43"/>
  <c r="L58" i="44"/>
  <c r="L65" i="44"/>
  <c r="L66" i="44"/>
  <c r="L35" i="44"/>
  <c r="O57" i="44"/>
  <c r="O68" i="44"/>
  <c r="O69" i="44"/>
  <c r="O34" i="44"/>
  <c r="N58" i="44"/>
  <c r="N65" i="44"/>
  <c r="N66" i="44"/>
  <c r="N35" i="44"/>
  <c r="D57" i="44"/>
  <c r="H62" i="42"/>
  <c r="O60" i="44"/>
  <c r="H60" i="44"/>
  <c r="I60" i="44"/>
  <c r="N60" i="44"/>
  <c r="D60" i="44"/>
  <c r="K59" i="44"/>
  <c r="K60" i="44"/>
  <c r="I61" i="42"/>
  <c r="J61" i="42"/>
  <c r="D62" i="42"/>
  <c r="K62" i="42"/>
  <c r="D35" i="40"/>
  <c r="P60" i="45"/>
  <c r="Q60" i="45"/>
  <c r="P59" i="45"/>
  <c r="R59" i="45"/>
  <c r="D68" i="43"/>
  <c r="D69" i="43"/>
  <c r="D34" i="43"/>
  <c r="L68" i="45"/>
  <c r="L69" i="45"/>
  <c r="L34" i="45"/>
  <c r="I68" i="45"/>
  <c r="I69" i="45"/>
  <c r="I34" i="45"/>
  <c r="M65" i="45"/>
  <c r="M66" i="45"/>
  <c r="M35" i="45"/>
  <c r="G68" i="45"/>
  <c r="G69" i="45"/>
  <c r="G34" i="45"/>
  <c r="D65" i="45"/>
  <c r="D66" i="45"/>
  <c r="P58" i="46"/>
  <c r="P58" i="43"/>
  <c r="P65" i="43"/>
  <c r="R65" i="43"/>
  <c r="Q58" i="43"/>
  <c r="R58" i="43"/>
  <c r="N65" i="45"/>
  <c r="N66" i="45"/>
  <c r="N35" i="45"/>
  <c r="E68" i="45"/>
  <c r="E69" i="45"/>
  <c r="E34" i="45"/>
  <c r="H68" i="42"/>
  <c r="H69" i="42"/>
  <c r="H34" i="42"/>
  <c r="D35" i="45"/>
  <c r="P68" i="43"/>
  <c r="R57" i="43"/>
  <c r="O65" i="46"/>
  <c r="O66" i="46"/>
  <c r="O35" i="46"/>
  <c r="K61" i="46"/>
  <c r="L62" i="46"/>
  <c r="M62" i="46"/>
  <c r="G62" i="46"/>
  <c r="D61" i="46"/>
  <c r="O62" i="46"/>
  <c r="N62" i="46"/>
  <c r="N65" i="46"/>
  <c r="N66" i="46"/>
  <c r="N35" i="46"/>
  <c r="I62" i="46"/>
  <c r="O61" i="46"/>
  <c r="J61" i="46"/>
  <c r="H61" i="46"/>
  <c r="I61" i="46"/>
  <c r="F61" i="46"/>
  <c r="F68" i="46"/>
  <c r="F69" i="46"/>
  <c r="F34" i="46"/>
  <c r="D62" i="46"/>
  <c r="E61" i="46"/>
  <c r="E68" i="46"/>
  <c r="E69" i="46"/>
  <c r="E34" i="46"/>
  <c r="Q58" i="46"/>
  <c r="R58" i="46"/>
  <c r="P69" i="43"/>
  <c r="O65" i="45"/>
  <c r="O66" i="45"/>
  <c r="O35" i="45"/>
  <c r="AC22" i="42"/>
  <c r="R60" i="45"/>
  <c r="P57" i="42"/>
  <c r="G59" i="42"/>
  <c r="G60" i="42"/>
  <c r="G65" i="42"/>
  <c r="G66" i="42"/>
  <c r="G35" i="42"/>
  <c r="J60" i="42"/>
  <c r="F60" i="42"/>
  <c r="D60" i="42"/>
  <c r="F59" i="42"/>
  <c r="F68" i="42"/>
  <c r="F69" i="42"/>
  <c r="F34" i="42"/>
  <c r="H59" i="42"/>
  <c r="E59" i="42"/>
  <c r="I59" i="42"/>
  <c r="H60" i="42"/>
  <c r="H65" i="42"/>
  <c r="H66" i="42"/>
  <c r="H35" i="42"/>
  <c r="D59" i="42"/>
  <c r="E60" i="42"/>
  <c r="E65" i="42"/>
  <c r="E66" i="42"/>
  <c r="E35" i="42"/>
  <c r="M58" i="44"/>
  <c r="M65" i="44"/>
  <c r="M66" i="44"/>
  <c r="M35" i="44"/>
  <c r="I58" i="44"/>
  <c r="I65" i="44"/>
  <c r="I66" i="44"/>
  <c r="I35" i="44"/>
  <c r="J57" i="44"/>
  <c r="J68" i="44"/>
  <c r="J69" i="44"/>
  <c r="J34" i="44"/>
  <c r="K58" i="44"/>
  <c r="K65" i="44"/>
  <c r="K66" i="44"/>
  <c r="K35" i="44"/>
  <c r="G58" i="44"/>
  <c r="G65" i="44"/>
  <c r="G66" i="44"/>
  <c r="G35" i="44"/>
  <c r="H57" i="44"/>
  <c r="H68" i="44"/>
  <c r="H69" i="44"/>
  <c r="H34" i="44"/>
  <c r="D58" i="44"/>
  <c r="H58" i="44"/>
  <c r="H65" i="44"/>
  <c r="H66" i="44"/>
  <c r="H35" i="44"/>
  <c r="K57" i="44"/>
  <c r="K68" i="44"/>
  <c r="K69" i="44"/>
  <c r="K34" i="44"/>
  <c r="N57" i="44"/>
  <c r="N68" i="44"/>
  <c r="N69" i="44"/>
  <c r="N34" i="44"/>
  <c r="F58" i="44"/>
  <c r="F65" i="44"/>
  <c r="F66" i="44"/>
  <c r="F35" i="44"/>
  <c r="F57" i="44"/>
  <c r="F68" i="44"/>
  <c r="F69" i="44"/>
  <c r="F34" i="44"/>
  <c r="E57" i="44"/>
  <c r="E68" i="44"/>
  <c r="E69" i="44"/>
  <c r="E34" i="44"/>
  <c r="AC24" i="42"/>
  <c r="P35" i="43"/>
  <c r="G68" i="42"/>
  <c r="G69" i="42"/>
  <c r="G34" i="42"/>
  <c r="N60" i="42"/>
  <c r="N65" i="42"/>
  <c r="N66" i="42"/>
  <c r="N35" i="42"/>
  <c r="L61" i="46"/>
  <c r="L68" i="46"/>
  <c r="L69" i="46"/>
  <c r="L34" i="46"/>
  <c r="R32" i="37"/>
  <c r="D68" i="44"/>
  <c r="D69" i="44"/>
  <c r="O60" i="42"/>
  <c r="L57" i="44"/>
  <c r="L68" i="44"/>
  <c r="L69" i="44"/>
  <c r="L34" i="44"/>
  <c r="M68" i="45"/>
  <c r="M69" i="45"/>
  <c r="M34" i="45"/>
  <c r="D68" i="46"/>
  <c r="D69" i="46"/>
  <c r="J62" i="46"/>
  <c r="P66" i="43"/>
  <c r="J65" i="42"/>
  <c r="J66" i="42"/>
  <c r="J35" i="42"/>
  <c r="M65" i="46"/>
  <c r="M66" i="46"/>
  <c r="M35" i="46"/>
  <c r="K68" i="46"/>
  <c r="K69" i="46"/>
  <c r="K34" i="46"/>
  <c r="P60" i="44"/>
  <c r="L68" i="40"/>
  <c r="L69" i="40"/>
  <c r="L34" i="40"/>
  <c r="P58" i="42"/>
  <c r="AC24" i="45"/>
  <c r="O68" i="42"/>
  <c r="O69" i="42"/>
  <c r="O34" i="42"/>
  <c r="J58" i="44"/>
  <c r="J65" i="44"/>
  <c r="J66" i="44"/>
  <c r="J35" i="44"/>
  <c r="E68" i="42"/>
  <c r="E69" i="42"/>
  <c r="E34" i="42"/>
  <c r="N61" i="46"/>
  <c r="N68" i="46"/>
  <c r="N69" i="46"/>
  <c r="N34" i="46"/>
  <c r="O58" i="44"/>
  <c r="O65" i="44"/>
  <c r="O66" i="44"/>
  <c r="O35" i="44"/>
  <c r="I60" i="42"/>
  <c r="P57" i="40"/>
  <c r="D68" i="40"/>
  <c r="D69" i="40"/>
  <c r="K60" i="42"/>
  <c r="K65" i="42"/>
  <c r="K66" i="42"/>
  <c r="K35" i="42"/>
  <c r="E58" i="44"/>
  <c r="E65" i="44"/>
  <c r="E66" i="44"/>
  <c r="E35" i="44"/>
  <c r="E62" i="46"/>
  <c r="G68" i="46"/>
  <c r="G69" i="46"/>
  <c r="G34" i="46"/>
  <c r="F65" i="40"/>
  <c r="F66" i="40"/>
  <c r="F35" i="40"/>
  <c r="P58" i="40"/>
  <c r="G62" i="42"/>
  <c r="O62" i="42"/>
  <c r="N62" i="42"/>
  <c r="K61" i="42"/>
  <c r="K68" i="42"/>
  <c r="K69" i="42"/>
  <c r="K34" i="42"/>
  <c r="I62" i="42"/>
  <c r="L61" i="42"/>
  <c r="M62" i="42"/>
  <c r="G61" i="42"/>
  <c r="N61" i="42"/>
  <c r="N68" i="42"/>
  <c r="N69" i="42"/>
  <c r="N34" i="42"/>
  <c r="M61" i="42"/>
  <c r="M68" i="42"/>
  <c r="M69" i="42"/>
  <c r="M34" i="42"/>
  <c r="F62" i="42"/>
  <c r="P62" i="42"/>
  <c r="D61" i="42"/>
  <c r="P61" i="42"/>
  <c r="R61" i="42"/>
  <c r="L62" i="42"/>
  <c r="L65" i="42"/>
  <c r="L66" i="42"/>
  <c r="L35" i="42"/>
  <c r="I68" i="42"/>
  <c r="I69" i="42"/>
  <c r="I34" i="42"/>
  <c r="M65" i="42"/>
  <c r="M66" i="42"/>
  <c r="M35" i="42"/>
  <c r="F61" i="45"/>
  <c r="F68" i="45"/>
  <c r="F69" i="45"/>
  <c r="F34" i="45"/>
  <c r="H61" i="45"/>
  <c r="H68" i="45"/>
  <c r="H69" i="45"/>
  <c r="H34" i="45"/>
  <c r="M61" i="45"/>
  <c r="K62" i="45"/>
  <c r="L62" i="45"/>
  <c r="L65" i="45"/>
  <c r="L66" i="45"/>
  <c r="L35" i="45"/>
  <c r="D61" i="45"/>
  <c r="O62" i="45"/>
  <c r="O61" i="45"/>
  <c r="F62" i="45"/>
  <c r="F65" i="45"/>
  <c r="F66" i="45"/>
  <c r="F35" i="45"/>
  <c r="L60" i="46"/>
  <c r="L65" i="46"/>
  <c r="L66" i="46"/>
  <c r="L35" i="46"/>
  <c r="K59" i="46"/>
  <c r="E60" i="46"/>
  <c r="F60" i="46"/>
  <c r="F65" i="46"/>
  <c r="F66" i="46"/>
  <c r="F35" i="46"/>
  <c r="H59" i="46"/>
  <c r="G60" i="46"/>
  <c r="M59" i="46"/>
  <c r="M68" i="46"/>
  <c r="M69" i="46"/>
  <c r="M34" i="46"/>
  <c r="J59" i="46"/>
  <c r="J68" i="46"/>
  <c r="J69" i="46"/>
  <c r="J34" i="46"/>
  <c r="I59" i="46"/>
  <c r="I68" i="46"/>
  <c r="I69" i="46"/>
  <c r="I34" i="46"/>
  <c r="J60" i="46"/>
  <c r="J65" i="46"/>
  <c r="J66" i="46"/>
  <c r="J35" i="46"/>
  <c r="I60" i="46"/>
  <c r="I65" i="46"/>
  <c r="I66" i="46"/>
  <c r="I35" i="46"/>
  <c r="K60" i="46"/>
  <c r="K65" i="46"/>
  <c r="K66" i="46"/>
  <c r="K35" i="46"/>
  <c r="P59" i="44"/>
  <c r="R59" i="44"/>
  <c r="N62" i="45"/>
  <c r="E61" i="45"/>
  <c r="M60" i="46"/>
  <c r="P57" i="46"/>
  <c r="L68" i="42"/>
  <c r="L69" i="42"/>
  <c r="L34" i="42"/>
  <c r="L65" i="40"/>
  <c r="L66" i="40"/>
  <c r="L35" i="40"/>
  <c r="S32" i="37"/>
  <c r="O68" i="46"/>
  <c r="O69" i="46"/>
  <c r="O34" i="46"/>
  <c r="AC24" i="43"/>
  <c r="J65" i="40"/>
  <c r="J66" i="40"/>
  <c r="J35" i="40"/>
  <c r="H65" i="40"/>
  <c r="H66" i="40"/>
  <c r="J61" i="45"/>
  <c r="N61" i="45"/>
  <c r="G59" i="46"/>
  <c r="P59" i="46"/>
  <c r="R59" i="46"/>
  <c r="E65" i="46"/>
  <c r="E66" i="46"/>
  <c r="E35" i="46"/>
  <c r="N68" i="40"/>
  <c r="N69" i="40"/>
  <c r="N34" i="40"/>
  <c r="AX32" i="37"/>
  <c r="H60" i="40"/>
  <c r="K60" i="40"/>
  <c r="K65" i="40"/>
  <c r="K66" i="40"/>
  <c r="K35" i="40"/>
  <c r="E59" i="40"/>
  <c r="H59" i="40"/>
  <c r="H68" i="40"/>
  <c r="H69" i="40"/>
  <c r="H34" i="40"/>
  <c r="E60" i="40"/>
  <c r="AY32" i="37"/>
  <c r="S60" i="37"/>
  <c r="O57" i="45"/>
  <c r="O68" i="45"/>
  <c r="O69" i="45"/>
  <c r="O34" i="45"/>
  <c r="H58" i="45"/>
  <c r="H65" i="45"/>
  <c r="H66" i="45"/>
  <c r="H35" i="45"/>
  <c r="K57" i="45"/>
  <c r="K68" i="45"/>
  <c r="K69" i="45"/>
  <c r="K34" i="45"/>
  <c r="I58" i="45"/>
  <c r="I65" i="45"/>
  <c r="I66" i="45"/>
  <c r="I35" i="45"/>
  <c r="K58" i="45"/>
  <c r="D57" i="45"/>
  <c r="J58" i="45"/>
  <c r="J65" i="45"/>
  <c r="J66" i="45"/>
  <c r="J35" i="45"/>
  <c r="J57" i="45"/>
  <c r="N57" i="45"/>
  <c r="AC24" i="41"/>
  <c r="P62" i="45"/>
  <c r="Q62" i="42"/>
  <c r="R62" i="42"/>
  <c r="Q62" i="45"/>
  <c r="R62" i="45"/>
  <c r="P69" i="46"/>
  <c r="D34" i="46"/>
  <c r="P34" i="46"/>
  <c r="P60" i="40"/>
  <c r="P65" i="40"/>
  <c r="R65" i="40"/>
  <c r="E65" i="40"/>
  <c r="E66" i="40"/>
  <c r="E68" i="40"/>
  <c r="E69" i="40"/>
  <c r="E34" i="40"/>
  <c r="P59" i="40"/>
  <c r="R59" i="40"/>
  <c r="R57" i="46"/>
  <c r="P68" i="46"/>
  <c r="O65" i="42"/>
  <c r="O66" i="42"/>
  <c r="O35" i="42"/>
  <c r="P59" i="42"/>
  <c r="R59" i="42"/>
  <c r="D68" i="42"/>
  <c r="D69" i="42"/>
  <c r="D34" i="40"/>
  <c r="P34" i="40"/>
  <c r="P69" i="40"/>
  <c r="P57" i="44"/>
  <c r="Q58" i="40"/>
  <c r="R58" i="40"/>
  <c r="R57" i="40"/>
  <c r="P68" i="40"/>
  <c r="P69" i="44"/>
  <c r="D34" i="44"/>
  <c r="P34" i="44"/>
  <c r="Q60" i="44"/>
  <c r="R60" i="44"/>
  <c r="P60" i="46"/>
  <c r="P62" i="46"/>
  <c r="D65" i="46"/>
  <c r="D66" i="46"/>
  <c r="K65" i="45"/>
  <c r="K66" i="45"/>
  <c r="K35" i="45"/>
  <c r="P35" i="45"/>
  <c r="F65" i="42"/>
  <c r="F66" i="42"/>
  <c r="F35" i="42"/>
  <c r="D65" i="44"/>
  <c r="D66" i="44"/>
  <c r="P58" i="44"/>
  <c r="N68" i="45"/>
  <c r="N69" i="45"/>
  <c r="N34" i="45"/>
  <c r="G65" i="46"/>
  <c r="G66" i="46"/>
  <c r="G35" i="46"/>
  <c r="I65" i="42"/>
  <c r="I66" i="42"/>
  <c r="I35" i="42"/>
  <c r="Q58" i="42"/>
  <c r="R58" i="42"/>
  <c r="R57" i="42"/>
  <c r="P57" i="45"/>
  <c r="D68" i="45"/>
  <c r="D69" i="45"/>
  <c r="P60" i="42"/>
  <c r="P65" i="42"/>
  <c r="R65" i="42"/>
  <c r="D65" i="42"/>
  <c r="D66" i="42"/>
  <c r="P61" i="46"/>
  <c r="R61" i="46"/>
  <c r="J68" i="45"/>
  <c r="J69" i="45"/>
  <c r="J34" i="45"/>
  <c r="H68" i="46"/>
  <c r="H69" i="46"/>
  <c r="H34" i="46"/>
  <c r="P61" i="45"/>
  <c r="R61" i="45"/>
  <c r="P58" i="45"/>
  <c r="E35" i="40"/>
  <c r="P35" i="40"/>
  <c r="P66" i="40"/>
  <c r="R57" i="45"/>
  <c r="P68" i="45"/>
  <c r="D34" i="42"/>
  <c r="P34" i="42"/>
  <c r="P69" i="42"/>
  <c r="D34" i="45"/>
  <c r="P34" i="45"/>
  <c r="P69" i="45"/>
  <c r="Q62" i="46"/>
  <c r="R62" i="46"/>
  <c r="Q60" i="46"/>
  <c r="R60" i="46"/>
  <c r="P65" i="46"/>
  <c r="R65" i="46"/>
  <c r="P68" i="42"/>
  <c r="P65" i="44"/>
  <c r="R65" i="44"/>
  <c r="Q58" i="44"/>
  <c r="R58" i="44"/>
  <c r="P66" i="44"/>
  <c r="D35" i="44"/>
  <c r="P35" i="44"/>
  <c r="P66" i="45"/>
  <c r="R57" i="44"/>
  <c r="P68" i="44"/>
  <c r="P66" i="42"/>
  <c r="D35" i="42"/>
  <c r="P35" i="42"/>
  <c r="Q60" i="42"/>
  <c r="R60" i="42"/>
  <c r="D35" i="46"/>
  <c r="P35" i="46"/>
  <c r="P66" i="46"/>
  <c r="Q60" i="40"/>
  <c r="R60" i="40"/>
  <c r="P65" i="45"/>
  <c r="R65" i="45"/>
  <c r="Q58" i="45"/>
  <c r="R58" i="45"/>
  <c r="AD23"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000-000001000000}">
      <text>
        <r>
          <rPr>
            <b/>
            <sz val="9"/>
            <color indexed="81"/>
            <rFont val="Tahoma"/>
            <family val="2"/>
          </rPr>
          <t>USUARIO:</t>
        </r>
        <r>
          <rPr>
            <sz val="9"/>
            <color indexed="81"/>
            <rFont val="Tahoma"/>
            <family val="2"/>
          </rPr>
          <t xml:space="preserve">
PSP</t>
        </r>
      </text>
    </comment>
    <comment ref="T22" authorId="0" shapeId="0" xr:uid="{00000000-0006-0000-0000-000002000000}">
      <text>
        <r>
          <rPr>
            <b/>
            <sz val="9"/>
            <color indexed="81"/>
            <rFont val="Tahoma"/>
            <family val="2"/>
          </rPr>
          <t>USUARIO:</t>
        </r>
        <r>
          <rPr>
            <sz val="9"/>
            <color indexed="81"/>
            <rFont val="Tahoma"/>
            <family val="2"/>
          </rPr>
          <t xml:space="preserve">
Licenciamiento</t>
        </r>
      </text>
    </comment>
    <comment ref="V22" authorId="0" shapeId="0" xr:uid="{00000000-0006-0000-0000-000003000000}">
      <text>
        <r>
          <rPr>
            <b/>
            <sz val="9"/>
            <color rgb="FF000000"/>
            <rFont val="Tahoma"/>
            <family val="2"/>
          </rPr>
          <t>USUARIO:</t>
        </r>
        <r>
          <rPr>
            <sz val="9"/>
            <color rgb="FF000000"/>
            <rFont val="Tahoma"/>
            <family val="2"/>
          </rPr>
          <t xml:space="preserve">
</t>
        </r>
        <r>
          <rPr>
            <sz val="9"/>
            <color rgb="FF000000"/>
            <rFont val="Tahoma"/>
            <family val="2"/>
          </rPr>
          <t>Papelería, central de medios</t>
        </r>
      </text>
    </comment>
    <comment ref="C24" authorId="0" shapeId="0" xr:uid="{00000000-0006-0000-0000-000004000000}">
      <text>
        <r>
          <rPr>
            <b/>
            <sz val="9"/>
            <color rgb="FF000000"/>
            <rFont val="Tahoma"/>
            <family val="2"/>
          </rPr>
          <t>USUARIO:</t>
        </r>
        <r>
          <rPr>
            <sz val="9"/>
            <color rgb="FF000000"/>
            <rFont val="Tahoma"/>
            <family val="2"/>
          </rPr>
          <t xml:space="preserve">
</t>
        </r>
        <r>
          <rPr>
            <sz val="9"/>
            <color rgb="FF000000"/>
            <rFont val="Tahoma"/>
            <family val="2"/>
          </rPr>
          <t>Central de medios</t>
        </r>
      </text>
    </comment>
    <comment ref="D24" authorId="0" shapeId="0" xr:uid="{00000000-0006-0000-0000-000005000000}">
      <text>
        <r>
          <rPr>
            <sz val="10"/>
            <color rgb="FF000000"/>
            <rFont val="Tahoma"/>
            <family val="2"/>
          </rPr>
          <t>Equipos tecnológicos, PSP Camilo, PSP Jonathan, adición PSP Carol Quintero, Adición PSP Ana, Adición PSP Carol Rozo, central de medios</t>
        </r>
      </text>
    </comment>
    <comment ref="R24" authorId="0" shapeId="0" xr:uid="{00000000-0006-0000-0000-000006000000}">
      <text>
        <r>
          <rPr>
            <b/>
            <sz val="9"/>
            <color rgb="FF000000"/>
            <rFont val="Tahoma"/>
            <family val="2"/>
          </rPr>
          <t>USUARIO:</t>
        </r>
        <r>
          <rPr>
            <sz val="9"/>
            <color rgb="FF000000"/>
            <rFont val="Tahoma"/>
            <family val="2"/>
          </rPr>
          <t xml:space="preserve">
</t>
        </r>
        <r>
          <rPr>
            <sz val="9"/>
            <color rgb="FF000000"/>
            <rFont val="Tahoma"/>
            <family val="2"/>
          </rPr>
          <t>PSP</t>
        </r>
      </text>
    </comment>
    <comment ref="S24" authorId="0" shapeId="0" xr:uid="{00000000-0006-0000-0000-000007000000}">
      <text>
        <r>
          <rPr>
            <b/>
            <sz val="9"/>
            <color rgb="FF000000"/>
            <rFont val="Tahoma"/>
            <family val="2"/>
          </rPr>
          <t>USUARIO:</t>
        </r>
        <r>
          <rPr>
            <sz val="9"/>
            <color rgb="FF000000"/>
            <rFont val="Tahoma"/>
            <family val="2"/>
          </rPr>
          <t xml:space="preserve">
</t>
        </r>
        <r>
          <rPr>
            <sz val="9"/>
            <color rgb="FF000000"/>
            <rFont val="Tahoma"/>
            <family val="2"/>
          </rPr>
          <t>PSP</t>
        </r>
      </text>
    </comment>
    <comment ref="T24" authorId="0" shapeId="0" xr:uid="{00000000-0006-0000-0000-000008000000}">
      <text>
        <r>
          <rPr>
            <b/>
            <sz val="9"/>
            <color indexed="81"/>
            <rFont val="Tahoma"/>
            <family val="2"/>
          </rPr>
          <t>USUARIO:</t>
        </r>
        <r>
          <rPr>
            <sz val="9"/>
            <color indexed="81"/>
            <rFont val="Tahoma"/>
            <family val="2"/>
          </rPr>
          <t xml:space="preserve">
PSP</t>
        </r>
      </text>
    </comment>
    <comment ref="U24" authorId="0" shapeId="0" xr:uid="{00000000-0006-0000-0000-000009000000}">
      <text>
        <r>
          <rPr>
            <b/>
            <sz val="9"/>
            <color indexed="81"/>
            <rFont val="Tahoma"/>
            <family val="2"/>
          </rPr>
          <t>USUARIO:</t>
        </r>
        <r>
          <rPr>
            <sz val="9"/>
            <color indexed="81"/>
            <rFont val="Tahoma"/>
            <family val="2"/>
          </rPr>
          <t xml:space="preserve">
PSP, licenciamiento</t>
        </r>
      </text>
    </comment>
    <comment ref="V24" authorId="0" shapeId="0" xr:uid="{00000000-0006-0000-0000-00000A000000}">
      <text>
        <r>
          <rPr>
            <b/>
            <sz val="9"/>
            <color rgb="FF000000"/>
            <rFont val="Tahoma"/>
            <family val="2"/>
          </rPr>
          <t>USUARIO:</t>
        </r>
        <r>
          <rPr>
            <sz val="9"/>
            <color rgb="FF000000"/>
            <rFont val="Tahoma"/>
            <family val="2"/>
          </rPr>
          <t xml:space="preserve">
</t>
        </r>
        <r>
          <rPr>
            <sz val="9"/>
            <color rgb="FF000000"/>
            <rFont val="Tahoma"/>
            <family val="2"/>
          </rPr>
          <t>PSP</t>
        </r>
      </text>
    </comment>
    <comment ref="W24" authorId="0" shapeId="0" xr:uid="{00000000-0006-0000-0000-00000B000000}">
      <text>
        <r>
          <rPr>
            <b/>
            <sz val="9"/>
            <color indexed="81"/>
            <rFont val="Tahoma"/>
            <family val="2"/>
          </rPr>
          <t>USUARIO:</t>
        </r>
        <r>
          <rPr>
            <sz val="9"/>
            <color indexed="81"/>
            <rFont val="Tahoma"/>
            <family val="2"/>
          </rPr>
          <t xml:space="preserve">
PSP, papelería, central de medios</t>
        </r>
      </text>
    </comment>
    <comment ref="X24" authorId="0" shapeId="0" xr:uid="{00000000-0006-0000-0000-00000C000000}">
      <text>
        <r>
          <rPr>
            <b/>
            <sz val="9"/>
            <color indexed="81"/>
            <rFont val="Tahoma"/>
            <family val="2"/>
          </rPr>
          <t>USUARIO:</t>
        </r>
        <r>
          <rPr>
            <sz val="9"/>
            <color indexed="81"/>
            <rFont val="Tahoma"/>
            <family val="2"/>
          </rPr>
          <t xml:space="preserve">
PSP</t>
        </r>
      </text>
    </comment>
    <comment ref="Y24" authorId="0" shapeId="0" xr:uid="{00000000-0006-0000-0000-00000D000000}">
      <text>
        <r>
          <rPr>
            <b/>
            <sz val="9"/>
            <color indexed="81"/>
            <rFont val="Tahoma"/>
            <family val="2"/>
          </rPr>
          <t>USUARIO:</t>
        </r>
        <r>
          <rPr>
            <sz val="9"/>
            <color indexed="81"/>
            <rFont val="Tahoma"/>
            <family val="2"/>
          </rPr>
          <t xml:space="preserve">
PSP, central de medios</t>
        </r>
      </text>
    </comment>
    <comment ref="Z24" authorId="0" shapeId="0" xr:uid="{00000000-0006-0000-0000-00000E000000}">
      <text>
        <r>
          <rPr>
            <b/>
            <sz val="9"/>
            <color indexed="81"/>
            <rFont val="Tahoma"/>
            <family val="2"/>
          </rPr>
          <t>USUARIO:</t>
        </r>
        <r>
          <rPr>
            <sz val="9"/>
            <color indexed="81"/>
            <rFont val="Tahoma"/>
            <family val="2"/>
          </rPr>
          <t xml:space="preserve">
PSP</t>
        </r>
      </text>
    </comment>
    <comment ref="AA24" authorId="0" shapeId="0" xr:uid="{00000000-0006-0000-0000-00000F000000}">
      <text>
        <r>
          <rPr>
            <b/>
            <sz val="9"/>
            <color indexed="81"/>
            <rFont val="Tahoma"/>
            <family val="2"/>
          </rPr>
          <t>USUARIO:</t>
        </r>
        <r>
          <rPr>
            <sz val="9"/>
            <color indexed="81"/>
            <rFont val="Tahoma"/>
            <family val="2"/>
          </rPr>
          <t xml:space="preserve">
PSP, central de medios</t>
        </r>
      </text>
    </comment>
    <comment ref="AB24" authorId="0" shapeId="0" xr:uid="{00000000-0006-0000-0000-000010000000}">
      <text>
        <r>
          <rPr>
            <b/>
            <sz val="9"/>
            <color rgb="FF000000"/>
            <rFont val="Tahoma"/>
            <family val="2"/>
          </rPr>
          <t>USUARIO:</t>
        </r>
        <r>
          <rPr>
            <sz val="9"/>
            <color rgb="FF000000"/>
            <rFont val="Tahoma"/>
            <family val="2"/>
          </rPr>
          <t xml:space="preserve">
</t>
        </r>
        <r>
          <rPr>
            <sz val="9"/>
            <color rgb="FF000000"/>
            <rFont val="Tahoma"/>
            <family val="2"/>
          </rPr>
          <t>PSP</t>
        </r>
      </text>
    </comment>
    <comment ref="C32" authorId="1" shapeId="0" xr:uid="{00000000-0006-0000-0000-00001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000-000012000000}">
      <text>
        <r>
          <rPr>
            <b/>
            <sz val="9"/>
            <color rgb="FF000000"/>
            <rFont val="Tahoma"/>
            <family val="2"/>
          </rPr>
          <t xml:space="preserve">OFICINA ASESORA DE PLANEACIÓN:
</t>
        </r>
        <r>
          <rPr>
            <sz val="9"/>
            <color rgb="FF000000"/>
            <rFont val="Tahoma"/>
            <family val="2"/>
          </rPr>
          <t xml:space="preserve">Máximo de caracteres Avances y logros:  2.000 (Incluidos espacios)
</t>
        </r>
        <r>
          <rPr>
            <sz val="9"/>
            <color rgb="FF000000"/>
            <rFont val="Tahoma"/>
            <family val="2"/>
          </rPr>
          <t xml:space="preserve">Máximo de caracteres Retrasos y alternativas de solución: 1.000 (Incluidos espacios)
</t>
        </r>
        <r>
          <rPr>
            <sz val="9"/>
            <color rgb="FF000000"/>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000-000013000000}">
      <text>
        <r>
          <rPr>
            <b/>
            <sz val="9"/>
            <color rgb="FF000000"/>
            <rFont val="Tahoma"/>
            <family val="2"/>
          </rPr>
          <t>Microsoft Office User:</t>
        </r>
        <r>
          <rPr>
            <sz val="9"/>
            <color rgb="FF000000"/>
            <rFont val="Tahoma"/>
            <family val="2"/>
          </rPr>
          <t xml:space="preserve">
</t>
        </r>
        <r>
          <rPr>
            <sz val="9"/>
            <color rgb="FF000000"/>
            <rFont val="Tahoma"/>
            <family val="2"/>
          </rPr>
          <t xml:space="preserve">En el caso de no presentarse retrasos en el periodo de reporte, incluir una nota indicando que las cifras son acordes con la programación. 
</t>
        </r>
      </text>
    </comment>
    <comment ref="Q34" authorId="3" shapeId="0" xr:uid="{0B86224C-4462-44D3-B565-B29DBD0A2F5D}">
      <text>
        <r>
          <rPr>
            <b/>
            <sz val="11"/>
            <color rgb="FF000000"/>
            <rFont val="Tahoma"/>
            <family val="2"/>
          </rPr>
          <t>ANGELA MARCELA FORERO RUIZ:</t>
        </r>
        <r>
          <rPr>
            <sz val="11"/>
            <color rgb="FF000000"/>
            <rFont val="Tahoma"/>
            <family val="2"/>
          </rPr>
          <t xml:space="preserve">
</t>
        </r>
        <r>
          <rPr>
            <sz val="11"/>
            <color rgb="FF000000"/>
            <rFont val="Tahoma"/>
            <family val="2"/>
          </rPr>
          <t>Se ajustó el año del convenio que parecióa como 913 de 202</t>
        </r>
      </text>
    </comment>
    <comment ref="T34" authorId="3" shapeId="0" xr:uid="{CA70ABDA-59AB-4997-AF67-19561D46DD3D}">
      <text>
        <r>
          <rPr>
            <b/>
            <sz val="11"/>
            <color rgb="FF000000"/>
            <rFont val="Tahoma"/>
            <family val="2"/>
          </rPr>
          <t>ANGELA MARCELA FORERO RUIZ:</t>
        </r>
        <r>
          <rPr>
            <sz val="11"/>
            <color rgb="FF000000"/>
            <rFont val="Tahoma"/>
            <family val="2"/>
          </rPr>
          <t xml:space="preserve">
</t>
        </r>
        <r>
          <rPr>
            <sz val="11"/>
            <color rgb="FF000000"/>
            <rFont val="Tahoma"/>
            <family val="2"/>
          </rPr>
          <t xml:space="preserve">Mejorar redacción, que diga durante los meses de enero a marzo de 2023 o Durante el primer trimestre de 2023 se …
</t>
        </r>
        <r>
          <rPr>
            <sz val="11"/>
            <color rgb="FF000000"/>
            <rFont val="Tahoma"/>
            <family val="2"/>
          </rPr>
          <t xml:space="preserve">
</t>
        </r>
        <r>
          <rPr>
            <sz val="11"/>
            <color rgb="FF000000"/>
            <rFont val="Tahoma"/>
            <family val="2"/>
          </rPr>
          <t xml:space="preserve">Incluir las jornadas de socialización del documento de lineamientos tecnicos del Sistema </t>
        </r>
      </text>
    </comment>
    <comment ref="Q38" authorId="3" shapeId="0" xr:uid="{CB19E867-954A-4C1A-BE14-C117683FDB06}">
      <text>
        <r>
          <rPr>
            <b/>
            <sz val="9"/>
            <color rgb="FF000000"/>
            <rFont val="Tahoma"/>
            <family val="2"/>
          </rPr>
          <t>ANGELA MARCELA FORERO RUIZ:</t>
        </r>
        <r>
          <rPr>
            <sz val="9"/>
            <color rgb="FF000000"/>
            <rFont val="Tahoma"/>
            <family val="2"/>
          </rPr>
          <t xml:space="preserve">
</t>
        </r>
        <r>
          <rPr>
            <sz val="11"/>
            <color rgb="FF000000"/>
            <rFont val="Tahoma"/>
            <family val="2"/>
          </rPr>
          <t xml:space="preserve">Incluir avance del mes y acumulado
</t>
        </r>
        <r>
          <rPr>
            <sz val="11"/>
            <color rgb="FF000000"/>
            <rFont val="Tahoma"/>
            <family val="2"/>
          </rPr>
          <t>Ejemplo: Durante el mes de marzo se realizaron 5 jornadas de socialiación con el IDRED, JAL, Senadora. Etc. Adicionalmente durante el primer trimestre se han realizado xxx reuniones de soclización, y xx actividades adicionales</t>
        </r>
      </text>
    </comment>
    <comment ref="Q40" authorId="3" shapeId="0" xr:uid="{699A29EB-4C35-409B-BE4A-1BA17207D7BA}">
      <text>
        <r>
          <rPr>
            <b/>
            <sz val="11"/>
            <color rgb="FF000000"/>
            <rFont val="Tahoma"/>
            <family val="2"/>
          </rPr>
          <t>ANGELA MARCELA FORERO RUIZ:</t>
        </r>
        <r>
          <rPr>
            <sz val="11"/>
            <color rgb="FF000000"/>
            <rFont val="Tahoma"/>
            <family val="2"/>
          </rPr>
          <t xml:space="preserve">
</t>
        </r>
        <r>
          <rPr>
            <sz val="11"/>
            <color rgb="FF000000"/>
            <rFont val="Tahoma"/>
            <family val="2"/>
          </rPr>
          <t xml:space="preserve">Inluir avance del mes y acumulado. 
</t>
        </r>
        <r>
          <rPr>
            <sz val="11"/>
            <color rgb="FF000000"/>
            <rFont val="Tahoma"/>
            <family val="2"/>
          </rPr>
          <t xml:space="preserve">El del mes esta perfecto pero si se puede resumir como por ejemplo durante el es de marzo se realizó la primersa sesionordinaria trimestral de la mesa intersectorial así commo xxx . 
</t>
        </r>
        <r>
          <rPr>
            <sz val="11"/>
            <color rgb="FF000000"/>
            <rFont val="Tahoma"/>
            <family val="2"/>
          </rPr>
          <t xml:space="preserve">
</t>
        </r>
        <r>
          <rPr>
            <sz val="11"/>
            <color rgb="FF000000"/>
            <rFont val="Tahoma"/>
            <family val="2"/>
          </rPr>
          <t>Adicionalmente, en el primer trimestre se han llevado a cabo 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100-000001000000}">
      <text>
        <r>
          <rPr>
            <b/>
            <sz val="9"/>
            <color indexed="81"/>
            <rFont val="Tahoma"/>
            <family val="2"/>
          </rPr>
          <t>USUARIO:</t>
        </r>
        <r>
          <rPr>
            <sz val="9"/>
            <color indexed="81"/>
            <rFont val="Tahoma"/>
            <family val="2"/>
          </rPr>
          <t xml:space="preserve">
PSP</t>
        </r>
      </text>
    </comment>
    <comment ref="T22" authorId="0" shapeId="0" xr:uid="{00000000-0006-0000-0100-000002000000}">
      <text>
        <r>
          <rPr>
            <b/>
            <sz val="9"/>
            <color indexed="81"/>
            <rFont val="Tahoma"/>
            <family val="2"/>
          </rPr>
          <t>USUARIO:</t>
        </r>
        <r>
          <rPr>
            <sz val="9"/>
            <color indexed="81"/>
            <rFont val="Tahoma"/>
            <family val="2"/>
          </rPr>
          <t xml:space="preserve">
Licenciamiento</t>
        </r>
      </text>
    </comment>
    <comment ref="V22" authorId="0" shapeId="0" xr:uid="{00000000-0006-0000-0100-000003000000}">
      <text>
        <r>
          <rPr>
            <b/>
            <sz val="9"/>
            <color indexed="81"/>
            <rFont val="Tahoma"/>
            <family val="2"/>
          </rPr>
          <t>USUARIO:</t>
        </r>
        <r>
          <rPr>
            <sz val="9"/>
            <color indexed="81"/>
            <rFont val="Tahoma"/>
            <family val="2"/>
          </rPr>
          <t xml:space="preserve">
Papeleria, central de medios</t>
        </r>
      </text>
    </comment>
    <comment ref="C24" authorId="0" shapeId="0" xr:uid="{00000000-0006-0000-0100-000004000000}">
      <text>
        <r>
          <rPr>
            <b/>
            <sz val="9"/>
            <color indexed="81"/>
            <rFont val="Tahoma"/>
            <family val="2"/>
          </rPr>
          <t>USUARIO:</t>
        </r>
        <r>
          <rPr>
            <sz val="9"/>
            <color indexed="81"/>
            <rFont val="Tahoma"/>
            <family val="2"/>
          </rPr>
          <t xml:space="preserve">
Central de Medios</t>
        </r>
      </text>
    </comment>
    <comment ref="D24" authorId="0" shapeId="0" xr:uid="{00000000-0006-0000-0100-000005000000}">
      <text>
        <r>
          <rPr>
            <b/>
            <sz val="9"/>
            <color indexed="81"/>
            <rFont val="Tahoma"/>
            <family val="2"/>
          </rPr>
          <t>USUARIO:</t>
        </r>
        <r>
          <rPr>
            <sz val="9"/>
            <color indexed="81"/>
            <rFont val="Tahoma"/>
            <family val="2"/>
          </rPr>
          <t xml:space="preserve">
Adición PSP Ana, Adición PSP Carol Rozo, Central de Medios</t>
        </r>
      </text>
    </comment>
    <comment ref="R24" authorId="0" shapeId="0" xr:uid="{00000000-0006-0000-0100-000006000000}">
      <text>
        <r>
          <rPr>
            <b/>
            <sz val="9"/>
            <color indexed="81"/>
            <rFont val="Tahoma"/>
            <family val="2"/>
          </rPr>
          <t>USUARIO:</t>
        </r>
        <r>
          <rPr>
            <sz val="9"/>
            <color indexed="81"/>
            <rFont val="Tahoma"/>
            <family val="2"/>
          </rPr>
          <t xml:space="preserve">
PSP</t>
        </r>
      </text>
    </comment>
    <comment ref="S24" authorId="0" shapeId="0" xr:uid="{00000000-0006-0000-0100-000007000000}">
      <text>
        <r>
          <rPr>
            <b/>
            <sz val="9"/>
            <color indexed="81"/>
            <rFont val="Tahoma"/>
            <family val="2"/>
          </rPr>
          <t>USUARIO:</t>
        </r>
        <r>
          <rPr>
            <sz val="9"/>
            <color indexed="81"/>
            <rFont val="Tahoma"/>
            <family val="2"/>
          </rPr>
          <t xml:space="preserve">
PSP</t>
        </r>
      </text>
    </comment>
    <comment ref="T24" authorId="0" shapeId="0" xr:uid="{00000000-0006-0000-0100-000008000000}">
      <text>
        <r>
          <rPr>
            <b/>
            <sz val="9"/>
            <color indexed="81"/>
            <rFont val="Tahoma"/>
            <family val="2"/>
          </rPr>
          <t>USUARIO:</t>
        </r>
        <r>
          <rPr>
            <sz val="9"/>
            <color indexed="81"/>
            <rFont val="Tahoma"/>
            <family val="2"/>
          </rPr>
          <t xml:space="preserve">
PSP</t>
        </r>
      </text>
    </comment>
    <comment ref="U24" authorId="0" shapeId="0" xr:uid="{00000000-0006-0000-0100-000009000000}">
      <text>
        <r>
          <rPr>
            <b/>
            <sz val="9"/>
            <color indexed="81"/>
            <rFont val="Tahoma"/>
            <family val="2"/>
          </rPr>
          <t>USUARIO:</t>
        </r>
        <r>
          <rPr>
            <sz val="9"/>
            <color indexed="81"/>
            <rFont val="Tahoma"/>
            <family val="2"/>
          </rPr>
          <t xml:space="preserve">
PSP, licenciamiento</t>
        </r>
      </text>
    </comment>
    <comment ref="V24" authorId="0" shapeId="0" xr:uid="{00000000-0006-0000-0100-00000A000000}">
      <text>
        <r>
          <rPr>
            <b/>
            <sz val="9"/>
            <color indexed="81"/>
            <rFont val="Tahoma"/>
            <family val="2"/>
          </rPr>
          <t>USUARIO:</t>
        </r>
        <r>
          <rPr>
            <sz val="9"/>
            <color indexed="81"/>
            <rFont val="Tahoma"/>
            <family val="2"/>
          </rPr>
          <t xml:space="preserve">
PSP</t>
        </r>
      </text>
    </comment>
    <comment ref="W24" authorId="0" shapeId="0" xr:uid="{00000000-0006-0000-0100-00000B000000}">
      <text>
        <r>
          <rPr>
            <b/>
            <sz val="9"/>
            <color indexed="81"/>
            <rFont val="Tahoma"/>
            <family val="2"/>
          </rPr>
          <t>USUARIO:</t>
        </r>
        <r>
          <rPr>
            <sz val="9"/>
            <color indexed="81"/>
            <rFont val="Tahoma"/>
            <family val="2"/>
          </rPr>
          <t xml:space="preserve">
PSP, papeleria, central de medios</t>
        </r>
      </text>
    </comment>
    <comment ref="X24" authorId="0" shapeId="0" xr:uid="{00000000-0006-0000-0100-00000C000000}">
      <text>
        <r>
          <rPr>
            <b/>
            <sz val="9"/>
            <color indexed="81"/>
            <rFont val="Tahoma"/>
            <family val="2"/>
          </rPr>
          <t>USUARIO:</t>
        </r>
        <r>
          <rPr>
            <sz val="9"/>
            <color indexed="81"/>
            <rFont val="Tahoma"/>
            <family val="2"/>
          </rPr>
          <t xml:space="preserve">
PSP</t>
        </r>
      </text>
    </comment>
    <comment ref="Y24" authorId="0" shapeId="0" xr:uid="{00000000-0006-0000-0100-00000D000000}">
      <text>
        <r>
          <rPr>
            <b/>
            <sz val="9"/>
            <color indexed="81"/>
            <rFont val="Tahoma"/>
            <family val="2"/>
          </rPr>
          <t>USUARIO:</t>
        </r>
        <r>
          <rPr>
            <sz val="9"/>
            <color indexed="81"/>
            <rFont val="Tahoma"/>
            <family val="2"/>
          </rPr>
          <t xml:space="preserve">
PSP, central de medios</t>
        </r>
      </text>
    </comment>
    <comment ref="Z24" authorId="0" shapeId="0" xr:uid="{00000000-0006-0000-0100-00000E000000}">
      <text>
        <r>
          <rPr>
            <b/>
            <sz val="9"/>
            <color indexed="81"/>
            <rFont val="Tahoma"/>
            <family val="2"/>
          </rPr>
          <t>USUARIO:</t>
        </r>
        <r>
          <rPr>
            <sz val="9"/>
            <color indexed="81"/>
            <rFont val="Tahoma"/>
            <family val="2"/>
          </rPr>
          <t xml:space="preserve">
PSP</t>
        </r>
      </text>
    </comment>
    <comment ref="AA24" authorId="0" shapeId="0" xr:uid="{00000000-0006-0000-0100-00000F000000}">
      <text>
        <r>
          <rPr>
            <b/>
            <sz val="9"/>
            <color rgb="FF000000"/>
            <rFont val="Tahoma"/>
            <family val="2"/>
          </rPr>
          <t>USUARIO:</t>
        </r>
        <r>
          <rPr>
            <sz val="9"/>
            <color rgb="FF000000"/>
            <rFont val="Tahoma"/>
            <family val="2"/>
          </rPr>
          <t xml:space="preserve">
</t>
        </r>
        <r>
          <rPr>
            <sz val="9"/>
            <color rgb="FF000000"/>
            <rFont val="Tahoma"/>
            <family val="2"/>
          </rPr>
          <t>PSP, central de medios</t>
        </r>
      </text>
    </comment>
    <comment ref="AB24" authorId="0" shapeId="0" xr:uid="{00000000-0006-0000-0100-000010000000}">
      <text>
        <r>
          <rPr>
            <b/>
            <sz val="9"/>
            <color indexed="81"/>
            <rFont val="Tahoma"/>
            <family val="2"/>
          </rPr>
          <t>USUARIO:</t>
        </r>
        <r>
          <rPr>
            <sz val="9"/>
            <color indexed="81"/>
            <rFont val="Tahoma"/>
            <family val="2"/>
          </rPr>
          <t xml:space="preserve">
PSP</t>
        </r>
      </text>
    </comment>
    <comment ref="C32" authorId="1" shapeId="0" xr:uid="{00000000-0006-0000-0100-00001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100-000012000000}">
      <text>
        <r>
          <rPr>
            <b/>
            <sz val="9"/>
            <color rgb="FF000000"/>
            <rFont val="Tahoma"/>
            <family val="2"/>
          </rPr>
          <t xml:space="preserve">OFICINA ASESORA DE PLANEACIÓN:
</t>
        </r>
        <r>
          <rPr>
            <sz val="9"/>
            <color rgb="FF000000"/>
            <rFont val="Tahoma"/>
            <family val="2"/>
          </rPr>
          <t xml:space="preserve">Máximo de caracteres Avances y logros:  2.000 (Incluidos espacios)
</t>
        </r>
        <r>
          <rPr>
            <sz val="9"/>
            <color rgb="FF000000"/>
            <rFont val="Tahoma"/>
            <family val="2"/>
          </rPr>
          <t xml:space="preserve">Máximo de caracteres Retrasos y alternativas de solución: 1.000 (Incluidos espacios)
</t>
        </r>
        <r>
          <rPr>
            <sz val="9"/>
            <color rgb="FF000000"/>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100-000013000000}">
      <text>
        <r>
          <rPr>
            <b/>
            <sz val="9"/>
            <color rgb="FF000000"/>
            <rFont val="Tahoma"/>
            <family val="2"/>
          </rPr>
          <t>Microsoft Office User:</t>
        </r>
        <r>
          <rPr>
            <sz val="9"/>
            <color rgb="FF000000"/>
            <rFont val="Tahoma"/>
            <family val="2"/>
          </rPr>
          <t xml:space="preserve">
</t>
        </r>
        <r>
          <rPr>
            <sz val="9"/>
            <color rgb="FF000000"/>
            <rFont val="Tahoma"/>
            <family val="2"/>
          </rPr>
          <t xml:space="preserve">En el caso de no presentarse retrasos en el periodo de reporte, incluir una nota indicando que las cifras son acordes con la programación. 
</t>
        </r>
      </text>
    </comment>
    <comment ref="Q38" authorId="3" shapeId="0" xr:uid="{320B9786-8947-48A0-BCB7-6EEE6D010562}">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 del trimestre</t>
        </r>
      </text>
    </comment>
    <comment ref="Q40" authorId="3" shapeId="0" xr:uid="{2BB4F6D8-FEFE-4956-AC84-4D309D0CF0D1}">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 del trimestre</t>
        </r>
      </text>
    </comment>
    <comment ref="Q42" authorId="3" shapeId="0" xr:uid="{A79EB417-44D6-473A-A14A-50DC52D7B456}">
      <text>
        <r>
          <rPr>
            <b/>
            <sz val="11"/>
            <color rgb="FF000000"/>
            <rFont val="Tahoma"/>
            <family val="2"/>
          </rPr>
          <t>ANGELA MARCELA FORERO RUIZ:</t>
        </r>
        <r>
          <rPr>
            <sz val="11"/>
            <color rgb="FF000000"/>
            <rFont val="Tahoma"/>
            <family val="2"/>
          </rPr>
          <t xml:space="preserve">
</t>
        </r>
        <r>
          <rPr>
            <sz val="11"/>
            <color rgb="FF000000"/>
            <rFont val="Tahoma"/>
            <family val="2"/>
          </rPr>
          <t>Incuir avance acuulado del triestre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200-000001000000}">
      <text>
        <r>
          <rPr>
            <b/>
            <sz val="9"/>
            <color indexed="81"/>
            <rFont val="Tahoma"/>
            <family val="2"/>
          </rPr>
          <t>USUARIO:</t>
        </r>
        <r>
          <rPr>
            <sz val="9"/>
            <color indexed="81"/>
            <rFont val="Tahoma"/>
            <family val="2"/>
          </rPr>
          <t xml:space="preserve">
PSP</t>
        </r>
      </text>
    </comment>
    <comment ref="S22" authorId="0" shapeId="0" xr:uid="{00000000-0006-0000-0200-000002000000}">
      <text>
        <r>
          <rPr>
            <b/>
            <sz val="9"/>
            <color indexed="81"/>
            <rFont val="Tahoma"/>
            <family val="2"/>
          </rPr>
          <t>USUARIO:</t>
        </r>
        <r>
          <rPr>
            <sz val="9"/>
            <color indexed="81"/>
            <rFont val="Tahoma"/>
            <family val="2"/>
          </rPr>
          <t xml:space="preserve">
Transporte, internet, lineas celular</t>
        </r>
      </text>
    </comment>
    <comment ref="T22" authorId="0" shapeId="0" xr:uid="{00000000-0006-0000-0200-000003000000}">
      <text>
        <r>
          <rPr>
            <b/>
            <sz val="9"/>
            <color indexed="81"/>
            <rFont val="Tahoma"/>
            <family val="2"/>
          </rPr>
          <t>USUARIO:</t>
        </r>
        <r>
          <rPr>
            <sz val="9"/>
            <color indexed="81"/>
            <rFont val="Tahoma"/>
            <family val="2"/>
          </rPr>
          <t xml:space="preserve">
Operador Logistico, aseo y cafeteria, licenciamiento</t>
        </r>
      </text>
    </comment>
    <comment ref="V22" authorId="0" shapeId="0" xr:uid="{00000000-0006-0000-0200-000004000000}">
      <text>
        <r>
          <rPr>
            <b/>
            <sz val="9"/>
            <color indexed="81"/>
            <rFont val="Tahoma"/>
            <family val="2"/>
          </rPr>
          <t>USUARIO:</t>
        </r>
        <r>
          <rPr>
            <sz val="9"/>
            <color indexed="81"/>
            <rFont val="Tahoma"/>
            <family val="2"/>
          </rPr>
          <t xml:space="preserve">
papeleria, central de medios</t>
        </r>
      </text>
    </comment>
    <comment ref="W22" authorId="0" shapeId="0" xr:uid="{00000000-0006-0000-0200-000005000000}">
      <text>
        <r>
          <rPr>
            <b/>
            <sz val="9"/>
            <color indexed="81"/>
            <rFont val="Tahoma"/>
            <family val="2"/>
          </rPr>
          <t>USUARIO:</t>
        </r>
        <r>
          <rPr>
            <sz val="9"/>
            <color indexed="81"/>
            <rFont val="Tahoma"/>
            <family val="2"/>
          </rPr>
          <t xml:space="preserve">
Mobiliario</t>
        </r>
      </text>
    </comment>
    <comment ref="C24" authorId="0" shapeId="0" xr:uid="{00000000-0006-0000-0200-000006000000}">
      <text>
        <r>
          <rPr>
            <b/>
            <sz val="9"/>
            <color rgb="FF000000"/>
            <rFont val="Tahoma"/>
            <family val="2"/>
          </rPr>
          <t>USUARIO:</t>
        </r>
        <r>
          <rPr>
            <sz val="9"/>
            <color rgb="FF000000"/>
            <rFont val="Tahoma"/>
            <family val="2"/>
          </rPr>
          <t xml:space="preserve">
</t>
        </r>
        <r>
          <rPr>
            <sz val="9"/>
            <color rgb="FF000000"/>
            <rFont val="Tahoma"/>
            <family val="2"/>
          </rPr>
          <t>Impresos, lineas celular, internet, aseo y cafeteria, operador logistico, Central de Medios</t>
        </r>
      </text>
    </comment>
    <comment ref="D24" authorId="0" shapeId="0" xr:uid="{00000000-0006-0000-0200-000007000000}">
      <text>
        <r>
          <rPr>
            <b/>
            <sz val="9"/>
            <color indexed="81"/>
            <rFont val="Tahoma"/>
            <family val="2"/>
          </rPr>
          <t>USUARIO:</t>
        </r>
        <r>
          <rPr>
            <sz val="9"/>
            <color indexed="81"/>
            <rFont val="Tahoma"/>
            <family val="2"/>
          </rPr>
          <t xml:space="preserve">
Transporte, SIMISIONAL, lineas celular, internet, Aseo y cafeteria, adición operador logistico, chalecos, PSP Yudy, PSP Jesica, adición PSP Digiturno Nelsy, Adición PSP Luis, Adición PSP Carol Quintero, Adición PSP Johanna, Adición PSP Sandra, Adición PSP Angela, Adición PSP Ana, Adición PSP Carol Rozo, Central de Medios</t>
        </r>
      </text>
    </comment>
    <comment ref="E24" authorId="0" shapeId="0" xr:uid="{00000000-0006-0000-0200-000008000000}">
      <text>
        <r>
          <rPr>
            <b/>
            <sz val="9"/>
            <color indexed="81"/>
            <rFont val="Tahoma"/>
            <family val="2"/>
          </rPr>
          <t>USUARIO:</t>
        </r>
        <r>
          <rPr>
            <sz val="9"/>
            <color indexed="81"/>
            <rFont val="Tahoma"/>
            <family val="2"/>
          </rPr>
          <t xml:space="preserve">
lineas celular, internet, Aseo y cafeteria, adición operador logistico</t>
        </r>
      </text>
    </comment>
    <comment ref="F24" authorId="0" shapeId="0" xr:uid="{00000000-0006-0000-0200-000009000000}">
      <text>
        <r>
          <rPr>
            <b/>
            <sz val="9"/>
            <color indexed="81"/>
            <rFont val="Tahoma"/>
            <family val="2"/>
          </rPr>
          <t>USUARIO:</t>
        </r>
        <r>
          <rPr>
            <sz val="9"/>
            <color indexed="81"/>
            <rFont val="Tahoma"/>
            <family val="2"/>
          </rPr>
          <t xml:space="preserve">
lineas celular, internet, Aseo y cafeteria, adición operador logistico</t>
        </r>
      </text>
    </comment>
    <comment ref="G24" authorId="0" shapeId="0" xr:uid="{00000000-0006-0000-0200-00000A000000}">
      <text>
        <r>
          <rPr>
            <b/>
            <sz val="9"/>
            <color indexed="81"/>
            <rFont val="Tahoma"/>
            <family val="2"/>
          </rPr>
          <t>USUARIO:</t>
        </r>
        <r>
          <rPr>
            <sz val="9"/>
            <color indexed="81"/>
            <rFont val="Tahoma"/>
            <family val="2"/>
          </rPr>
          <t xml:space="preserve">
Lineas celular, internet</t>
        </r>
      </text>
    </comment>
    <comment ref="H24" authorId="0" shapeId="0" xr:uid="{00000000-0006-0000-0200-00000B000000}">
      <text>
        <r>
          <rPr>
            <b/>
            <sz val="9"/>
            <color indexed="81"/>
            <rFont val="Tahoma"/>
            <family val="2"/>
          </rPr>
          <t>USUARIO:</t>
        </r>
        <r>
          <rPr>
            <sz val="9"/>
            <color indexed="81"/>
            <rFont val="Tahoma"/>
            <family val="2"/>
          </rPr>
          <t xml:space="preserve">
Internet</t>
        </r>
      </text>
    </comment>
    <comment ref="I24" authorId="0" shapeId="0" xr:uid="{00000000-0006-0000-0200-00000C000000}">
      <text>
        <r>
          <rPr>
            <b/>
            <sz val="9"/>
            <color indexed="81"/>
            <rFont val="Tahoma"/>
            <family val="2"/>
          </rPr>
          <t>USUARIO:</t>
        </r>
        <r>
          <rPr>
            <sz val="9"/>
            <color indexed="81"/>
            <rFont val="Tahoma"/>
            <family val="2"/>
          </rPr>
          <t xml:space="preserve">
Internet</t>
        </r>
      </text>
    </comment>
    <comment ref="N24" authorId="0" shapeId="0" xr:uid="{00000000-0006-0000-0200-00000D000000}">
      <text>
        <r>
          <rPr>
            <b/>
            <sz val="9"/>
            <color indexed="81"/>
            <rFont val="Tahoma"/>
            <family val="2"/>
          </rPr>
          <t>USUARIO:</t>
        </r>
        <r>
          <rPr>
            <sz val="9"/>
            <color indexed="81"/>
            <rFont val="Tahoma"/>
            <family val="2"/>
          </rPr>
          <t xml:space="preserve">
Rezago Aseo y Cafeteria</t>
        </r>
      </text>
    </comment>
    <comment ref="R24" authorId="0" shapeId="0" xr:uid="{00000000-0006-0000-0200-00000E000000}">
      <text>
        <r>
          <rPr>
            <b/>
            <sz val="9"/>
            <color indexed="81"/>
            <rFont val="Tahoma"/>
            <family val="2"/>
          </rPr>
          <t>USUARIO:</t>
        </r>
        <r>
          <rPr>
            <sz val="9"/>
            <color indexed="81"/>
            <rFont val="Tahoma"/>
            <family val="2"/>
          </rPr>
          <t xml:space="preserve">
PSP</t>
        </r>
      </text>
    </comment>
    <comment ref="S24" authorId="0" shapeId="0" xr:uid="{00000000-0006-0000-0200-00000F000000}">
      <text>
        <r>
          <rPr>
            <b/>
            <sz val="9"/>
            <color indexed="81"/>
            <rFont val="Tahoma"/>
            <family val="2"/>
          </rPr>
          <t>USUARIO:</t>
        </r>
        <r>
          <rPr>
            <sz val="9"/>
            <color indexed="81"/>
            <rFont val="Tahoma"/>
            <family val="2"/>
          </rPr>
          <t xml:space="preserve">
PSP</t>
        </r>
      </text>
    </comment>
    <comment ref="T24" authorId="0" shapeId="0" xr:uid="{00000000-0006-0000-0200-000010000000}">
      <text>
        <r>
          <rPr>
            <b/>
            <sz val="9"/>
            <color indexed="81"/>
            <rFont val="Tahoma"/>
            <family val="2"/>
          </rPr>
          <t>USUARIO:</t>
        </r>
        <r>
          <rPr>
            <sz val="9"/>
            <color indexed="81"/>
            <rFont val="Tahoma"/>
            <family val="2"/>
          </rPr>
          <t xml:space="preserve">
PSP, transporte, internet, lineas celular</t>
        </r>
      </text>
    </comment>
    <comment ref="U24" authorId="0" shapeId="0" xr:uid="{00000000-0006-0000-0200-000011000000}">
      <text>
        <r>
          <rPr>
            <b/>
            <sz val="9"/>
            <color indexed="81"/>
            <rFont val="Tahoma"/>
            <family val="2"/>
          </rPr>
          <t>USUARIO:</t>
        </r>
        <r>
          <rPr>
            <sz val="9"/>
            <color indexed="81"/>
            <rFont val="Tahoma"/>
            <family val="2"/>
          </rPr>
          <t xml:space="preserve">
PSP, transporte, operador logistico, aseo y cafeteria, internet, licenciamiento, lineas celular</t>
        </r>
      </text>
    </comment>
    <comment ref="V24" authorId="0" shapeId="0" xr:uid="{00000000-0006-0000-0200-000012000000}">
      <text>
        <r>
          <rPr>
            <b/>
            <sz val="9"/>
            <color indexed="81"/>
            <rFont val="Tahoma"/>
            <family val="2"/>
          </rPr>
          <t>USUARIO:</t>
        </r>
        <r>
          <rPr>
            <sz val="9"/>
            <color indexed="81"/>
            <rFont val="Tahoma"/>
            <family val="2"/>
          </rPr>
          <t xml:space="preserve">
PSP, transporte, operador logistico, aseo y cafeteria, internet, lineas celular</t>
        </r>
      </text>
    </comment>
    <comment ref="W24" authorId="0" shapeId="0" xr:uid="{00000000-0006-0000-0200-000013000000}">
      <text>
        <r>
          <rPr>
            <b/>
            <sz val="9"/>
            <color indexed="81"/>
            <rFont val="Tahoma"/>
            <family val="2"/>
          </rPr>
          <t>USUARIO:</t>
        </r>
        <r>
          <rPr>
            <sz val="9"/>
            <color indexed="81"/>
            <rFont val="Tahoma"/>
            <family val="2"/>
          </rPr>
          <t xml:space="preserve">
PSP, transporte, papeleria, operador logistico, aseo y cafeteria, internet, central de medios, lineas celular</t>
        </r>
      </text>
    </comment>
    <comment ref="X24" authorId="0" shapeId="0" xr:uid="{00000000-0006-0000-0200-000014000000}">
      <text>
        <r>
          <rPr>
            <b/>
            <sz val="9"/>
            <color indexed="81"/>
            <rFont val="Tahoma"/>
            <family val="2"/>
          </rPr>
          <t>USUARIO:</t>
        </r>
        <r>
          <rPr>
            <sz val="9"/>
            <color indexed="81"/>
            <rFont val="Tahoma"/>
            <family val="2"/>
          </rPr>
          <t xml:space="preserve">
PSP, transporte, operador llogistico, aseo y cafeteria, internet, mobiliario, lineas celular</t>
        </r>
      </text>
    </comment>
    <comment ref="Y24" authorId="0" shapeId="0" xr:uid="{00000000-0006-0000-0200-000015000000}">
      <text>
        <r>
          <rPr>
            <b/>
            <sz val="9"/>
            <color indexed="81"/>
            <rFont val="Tahoma"/>
            <family val="2"/>
          </rPr>
          <t>USUARIO:</t>
        </r>
        <r>
          <rPr>
            <sz val="9"/>
            <color indexed="81"/>
            <rFont val="Tahoma"/>
            <family val="2"/>
          </rPr>
          <t xml:space="preserve">
PSP, transporte, operador logistico, aseo y cafeteria, internet, central de medios, lineas celular</t>
        </r>
      </text>
    </comment>
    <comment ref="Z24" authorId="0" shapeId="0" xr:uid="{00000000-0006-0000-0200-000016000000}">
      <text>
        <r>
          <rPr>
            <b/>
            <sz val="9"/>
            <color indexed="81"/>
            <rFont val="Tahoma"/>
            <family val="2"/>
          </rPr>
          <t>USUARIO:</t>
        </r>
        <r>
          <rPr>
            <sz val="9"/>
            <color indexed="81"/>
            <rFont val="Tahoma"/>
            <family val="2"/>
          </rPr>
          <t xml:space="preserve">
PSP, transporte, operador logistico, aseo y cafeteria, internet, lineas celular</t>
        </r>
      </text>
    </comment>
    <comment ref="AA24" authorId="0" shapeId="0" xr:uid="{00000000-0006-0000-0200-000017000000}">
      <text>
        <r>
          <rPr>
            <b/>
            <sz val="9"/>
            <color indexed="81"/>
            <rFont val="Tahoma"/>
            <family val="2"/>
          </rPr>
          <t>USUARIO:</t>
        </r>
        <r>
          <rPr>
            <sz val="9"/>
            <color indexed="81"/>
            <rFont val="Tahoma"/>
            <family val="2"/>
          </rPr>
          <t xml:space="preserve">
PSP, transporte, operador logistico, aseo y cafeteria, internet, central de medios, lineas celular</t>
        </r>
      </text>
    </comment>
    <comment ref="AB24" authorId="0" shapeId="0" xr:uid="{00000000-0006-0000-0200-000018000000}">
      <text>
        <r>
          <rPr>
            <b/>
            <sz val="9"/>
            <color indexed="81"/>
            <rFont val="Tahoma"/>
            <family val="2"/>
          </rPr>
          <t>USUARIO:</t>
        </r>
        <r>
          <rPr>
            <sz val="9"/>
            <color indexed="81"/>
            <rFont val="Tahoma"/>
            <family val="2"/>
          </rPr>
          <t xml:space="preserve">
PSP, transporte, operador logistico, aseo y cafeteria, internet, lineas celular</t>
        </r>
      </text>
    </comment>
    <comment ref="C32" authorId="1" shapeId="0" xr:uid="{00000000-0006-0000-0200-000019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200-00001A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200-00001B000000}">
      <text>
        <r>
          <rPr>
            <b/>
            <sz val="9"/>
            <color rgb="FF000000"/>
            <rFont val="Tahoma"/>
            <family val="2"/>
          </rPr>
          <t>Microsoft Office User:</t>
        </r>
        <r>
          <rPr>
            <sz val="9"/>
            <color rgb="FF000000"/>
            <rFont val="Tahoma"/>
            <family val="2"/>
          </rPr>
          <t xml:space="preserve">
</t>
        </r>
        <r>
          <rPr>
            <sz val="9"/>
            <color rgb="FF000000"/>
            <rFont val="Tahoma"/>
            <family val="2"/>
          </rPr>
          <t xml:space="preserve">En el caso de no presentarse retrasos en el periodo de reporte, incluir una nota indicando que las cifras son acordes con la programación. 
</t>
        </r>
      </text>
    </comment>
    <comment ref="Q38" authorId="3" shapeId="0" xr:uid="{7942BA69-807C-4A4D-9BC4-7F3965F95E64}">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t>
        </r>
      </text>
    </comment>
    <comment ref="Q40" authorId="3" shapeId="0" xr:uid="{09E049FD-1219-4837-894D-33D9DDE99372}">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t>
        </r>
      </text>
    </comment>
    <comment ref="Q42" authorId="3" shapeId="0" xr:uid="{566DFC5A-F0D9-4501-B7BF-4BE4A8494331}">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300-000001000000}">
      <text>
        <r>
          <rPr>
            <b/>
            <sz val="9"/>
            <color indexed="81"/>
            <rFont val="Tahoma"/>
            <family val="2"/>
          </rPr>
          <t>USUARIO:</t>
        </r>
        <r>
          <rPr>
            <sz val="9"/>
            <color indexed="81"/>
            <rFont val="Tahoma"/>
            <family val="2"/>
          </rPr>
          <t xml:space="preserve">
PSP</t>
        </r>
      </text>
    </comment>
    <comment ref="S22" authorId="0" shapeId="0" xr:uid="{00000000-0006-0000-0300-000002000000}">
      <text>
        <r>
          <rPr>
            <b/>
            <sz val="9"/>
            <color rgb="FF000000"/>
            <rFont val="Tahoma"/>
            <family val="2"/>
          </rPr>
          <t>USUARIO:</t>
        </r>
        <r>
          <rPr>
            <sz val="9"/>
            <color rgb="FF000000"/>
            <rFont val="Tahoma"/>
            <family val="2"/>
          </rPr>
          <t xml:space="preserve">
</t>
        </r>
        <r>
          <rPr>
            <sz val="9"/>
            <color rgb="FF000000"/>
            <rFont val="Tahoma"/>
            <family val="2"/>
          </rPr>
          <t>Transporte, internet, lineas celular</t>
        </r>
      </text>
    </comment>
    <comment ref="T22" authorId="0" shapeId="0" xr:uid="{00000000-0006-0000-03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300-000004000000}">
      <text>
        <r>
          <rPr>
            <b/>
            <sz val="9"/>
            <color indexed="81"/>
            <rFont val="Tahoma"/>
            <family val="2"/>
          </rPr>
          <t>USUARIO:</t>
        </r>
        <r>
          <rPr>
            <sz val="9"/>
            <color indexed="81"/>
            <rFont val="Tahoma"/>
            <family val="2"/>
          </rPr>
          <t xml:space="preserve">
papeleria, central de medios</t>
        </r>
      </text>
    </comment>
    <comment ref="C24" authorId="0" shapeId="0" xr:uid="{00000000-0006-0000-0300-000005000000}">
      <text>
        <r>
          <rPr>
            <b/>
            <sz val="9"/>
            <color rgb="FF000000"/>
            <rFont val="Tahoma"/>
            <family val="2"/>
          </rPr>
          <t>USUARIO:</t>
        </r>
        <r>
          <rPr>
            <sz val="9"/>
            <color rgb="FF000000"/>
            <rFont val="Tahoma"/>
            <family val="2"/>
          </rPr>
          <t xml:space="preserve">
</t>
        </r>
        <r>
          <rPr>
            <sz val="9"/>
            <color rgb="FF000000"/>
            <rFont val="Tahoma"/>
            <family val="2"/>
          </rPr>
          <t>Impresos, lineas celular, internet, operador logistico, central de medios</t>
        </r>
      </text>
    </comment>
    <comment ref="D24" authorId="0" shapeId="0" xr:uid="{00000000-0006-0000-0300-000006000000}">
      <text>
        <r>
          <rPr>
            <b/>
            <sz val="9"/>
            <color indexed="81"/>
            <rFont val="Tahoma"/>
            <family val="2"/>
          </rPr>
          <t>USUARIO:</t>
        </r>
        <r>
          <rPr>
            <sz val="9"/>
            <color indexed="81"/>
            <rFont val="Tahoma"/>
            <family val="2"/>
          </rPr>
          <t xml:space="preserve">
Transporte, SIMISIONAL, lineas celular, internet, adición operador logistico, chalecos, PSP Ivette, PSP Jesica, Adición PSP Johanna, Adición PSP Sandra, Adición PSP Angela, Adición PSP Ana, Adición PSP Carol Rozo, central de medios</t>
        </r>
      </text>
    </comment>
    <comment ref="E24" authorId="0" shapeId="0" xr:uid="{00000000-0006-0000-0300-000007000000}">
      <text>
        <r>
          <rPr>
            <b/>
            <sz val="9"/>
            <color indexed="81"/>
            <rFont val="Tahoma"/>
            <family val="2"/>
          </rPr>
          <t>USUARIO:</t>
        </r>
        <r>
          <rPr>
            <sz val="9"/>
            <color indexed="81"/>
            <rFont val="Tahoma"/>
            <family val="2"/>
          </rPr>
          <t xml:space="preserve">
Lineas celular, internet, adición operador logistico</t>
        </r>
      </text>
    </comment>
    <comment ref="F24" authorId="0" shapeId="0" xr:uid="{00000000-0006-0000-0300-000008000000}">
      <text>
        <r>
          <rPr>
            <b/>
            <sz val="9"/>
            <color indexed="81"/>
            <rFont val="Tahoma"/>
            <family val="2"/>
          </rPr>
          <t>USUARIO:</t>
        </r>
        <r>
          <rPr>
            <sz val="9"/>
            <color indexed="81"/>
            <rFont val="Tahoma"/>
            <family val="2"/>
          </rPr>
          <t xml:space="preserve">
Lineas celular, internet, adición operador logistico</t>
        </r>
      </text>
    </comment>
    <comment ref="G24" authorId="0" shapeId="0" xr:uid="{00000000-0006-0000-0300-000009000000}">
      <text>
        <r>
          <rPr>
            <b/>
            <sz val="9"/>
            <color indexed="81"/>
            <rFont val="Tahoma"/>
            <family val="2"/>
          </rPr>
          <t>USUARIO:</t>
        </r>
        <r>
          <rPr>
            <sz val="9"/>
            <color indexed="81"/>
            <rFont val="Tahoma"/>
            <family val="2"/>
          </rPr>
          <t xml:space="preserve">
Lineas celular, internet</t>
        </r>
      </text>
    </comment>
    <comment ref="H24" authorId="0" shapeId="0" xr:uid="{00000000-0006-0000-0300-00000A000000}">
      <text>
        <r>
          <rPr>
            <b/>
            <sz val="9"/>
            <color indexed="81"/>
            <rFont val="Tahoma"/>
            <family val="2"/>
          </rPr>
          <t>USUARIO:</t>
        </r>
        <r>
          <rPr>
            <sz val="9"/>
            <color indexed="81"/>
            <rFont val="Tahoma"/>
            <family val="2"/>
          </rPr>
          <t xml:space="preserve">
Internet</t>
        </r>
      </text>
    </comment>
    <comment ref="I24" authorId="0" shapeId="0" xr:uid="{00000000-0006-0000-0300-00000B000000}">
      <text>
        <r>
          <rPr>
            <b/>
            <sz val="9"/>
            <color indexed="81"/>
            <rFont val="Tahoma"/>
            <family val="2"/>
          </rPr>
          <t>USUARIO:</t>
        </r>
        <r>
          <rPr>
            <sz val="9"/>
            <color indexed="81"/>
            <rFont val="Tahoma"/>
            <family val="2"/>
          </rPr>
          <t xml:space="preserve">
Internet</t>
        </r>
      </text>
    </comment>
    <comment ref="R24" authorId="0" shapeId="0" xr:uid="{00000000-0006-0000-0300-00000C000000}">
      <text>
        <r>
          <rPr>
            <b/>
            <sz val="9"/>
            <color rgb="FF000000"/>
            <rFont val="Tahoma"/>
            <family val="2"/>
          </rPr>
          <t>USUARIO:</t>
        </r>
        <r>
          <rPr>
            <sz val="9"/>
            <color rgb="FF000000"/>
            <rFont val="Tahoma"/>
            <family val="2"/>
          </rPr>
          <t xml:space="preserve">
</t>
        </r>
        <r>
          <rPr>
            <sz val="9"/>
            <color rgb="FF000000"/>
            <rFont val="Tahoma"/>
            <family val="2"/>
          </rPr>
          <t>PSP</t>
        </r>
      </text>
    </comment>
    <comment ref="S24" authorId="0" shapeId="0" xr:uid="{00000000-0006-0000-0300-00000D000000}">
      <text>
        <r>
          <rPr>
            <b/>
            <sz val="9"/>
            <color rgb="FF000000"/>
            <rFont val="Tahoma"/>
            <family val="2"/>
          </rPr>
          <t>USUARIO:</t>
        </r>
        <r>
          <rPr>
            <sz val="9"/>
            <color rgb="FF000000"/>
            <rFont val="Tahoma"/>
            <family val="2"/>
          </rPr>
          <t xml:space="preserve">
</t>
        </r>
        <r>
          <rPr>
            <sz val="9"/>
            <color rgb="FF000000"/>
            <rFont val="Tahoma"/>
            <family val="2"/>
          </rPr>
          <t>PSP</t>
        </r>
      </text>
    </comment>
    <comment ref="T24" authorId="0" shapeId="0" xr:uid="{00000000-0006-0000-0300-00000E000000}">
      <text>
        <r>
          <rPr>
            <b/>
            <sz val="9"/>
            <color indexed="81"/>
            <rFont val="Tahoma"/>
            <family val="2"/>
          </rPr>
          <t>USUARIO:</t>
        </r>
        <r>
          <rPr>
            <sz val="9"/>
            <color indexed="81"/>
            <rFont val="Tahoma"/>
            <family val="2"/>
          </rPr>
          <t xml:space="preserve">
PSP, transporte, internet</t>
        </r>
      </text>
    </comment>
    <comment ref="U24" authorId="0" shapeId="0" xr:uid="{00000000-0006-0000-0300-00000F000000}">
      <text>
        <r>
          <rPr>
            <b/>
            <sz val="9"/>
            <color rgb="FF000000"/>
            <rFont val="Tahoma"/>
            <family val="2"/>
          </rPr>
          <t>USUARIO:</t>
        </r>
        <r>
          <rPr>
            <sz val="9"/>
            <color rgb="FF000000"/>
            <rFont val="Tahoma"/>
            <family val="2"/>
          </rPr>
          <t xml:space="preserve">
</t>
        </r>
        <r>
          <rPr>
            <sz val="9"/>
            <color rgb="FF000000"/>
            <rFont val="Tahoma"/>
            <family val="2"/>
          </rPr>
          <t>PSP, transporte, operador logistico, internet, licenciamiento</t>
        </r>
      </text>
    </comment>
    <comment ref="V24" authorId="0" shapeId="0" xr:uid="{00000000-0006-0000-0300-000010000000}">
      <text>
        <r>
          <rPr>
            <b/>
            <sz val="9"/>
            <color indexed="81"/>
            <rFont val="Tahoma"/>
            <family val="2"/>
          </rPr>
          <t>USUARIO:</t>
        </r>
        <r>
          <rPr>
            <sz val="9"/>
            <color indexed="81"/>
            <rFont val="Tahoma"/>
            <family val="2"/>
          </rPr>
          <t xml:space="preserve">
PSP, transporte, operador logistico, internet</t>
        </r>
      </text>
    </comment>
    <comment ref="W24" authorId="0" shapeId="0" xr:uid="{00000000-0006-0000-0300-000011000000}">
      <text>
        <r>
          <rPr>
            <b/>
            <sz val="9"/>
            <color indexed="81"/>
            <rFont val="Tahoma"/>
            <family val="2"/>
          </rPr>
          <t>USUARIO:</t>
        </r>
        <r>
          <rPr>
            <sz val="9"/>
            <color indexed="81"/>
            <rFont val="Tahoma"/>
            <family val="2"/>
          </rPr>
          <t xml:space="preserve">
PSP, transporte, papeleria, operador logistico, internet, central de medios</t>
        </r>
      </text>
    </comment>
    <comment ref="X24" authorId="0" shapeId="0" xr:uid="{00000000-0006-0000-0300-000012000000}">
      <text>
        <r>
          <rPr>
            <b/>
            <sz val="9"/>
            <color indexed="81"/>
            <rFont val="Tahoma"/>
            <family val="2"/>
          </rPr>
          <t>USUARIO:</t>
        </r>
        <r>
          <rPr>
            <sz val="9"/>
            <color indexed="81"/>
            <rFont val="Tahoma"/>
            <family val="2"/>
          </rPr>
          <t xml:space="preserve">
PSP, transporte, operador logistico, internet</t>
        </r>
      </text>
    </comment>
    <comment ref="Y24" authorId="0" shapeId="0" xr:uid="{00000000-0006-0000-0300-000013000000}">
      <text>
        <r>
          <rPr>
            <b/>
            <sz val="9"/>
            <color indexed="81"/>
            <rFont val="Tahoma"/>
            <family val="2"/>
          </rPr>
          <t>USUARIO:</t>
        </r>
        <r>
          <rPr>
            <sz val="9"/>
            <color indexed="81"/>
            <rFont val="Tahoma"/>
            <family val="2"/>
          </rPr>
          <t xml:space="preserve">
PSP, transporte, operador logistico, internet, central de medios</t>
        </r>
      </text>
    </comment>
    <comment ref="Z24" authorId="0" shapeId="0" xr:uid="{00000000-0006-0000-0300-000014000000}">
      <text>
        <r>
          <rPr>
            <b/>
            <sz val="9"/>
            <color indexed="81"/>
            <rFont val="Tahoma"/>
            <family val="2"/>
          </rPr>
          <t>USUARIO:</t>
        </r>
        <r>
          <rPr>
            <sz val="9"/>
            <color indexed="81"/>
            <rFont val="Tahoma"/>
            <family val="2"/>
          </rPr>
          <t xml:space="preserve">
PSP, transporte, operador logistico, internet</t>
        </r>
      </text>
    </comment>
    <comment ref="AA24" authorId="0" shapeId="0" xr:uid="{00000000-0006-0000-0300-000015000000}">
      <text>
        <r>
          <rPr>
            <b/>
            <sz val="9"/>
            <color indexed="81"/>
            <rFont val="Tahoma"/>
            <family val="2"/>
          </rPr>
          <t>USUARIO:</t>
        </r>
        <r>
          <rPr>
            <sz val="9"/>
            <color indexed="81"/>
            <rFont val="Tahoma"/>
            <family val="2"/>
          </rPr>
          <t xml:space="preserve">
PSP, transporte, operador logistico, internet, central de medios</t>
        </r>
      </text>
    </comment>
    <comment ref="AB24" authorId="0" shapeId="0" xr:uid="{00000000-0006-0000-0300-000016000000}">
      <text>
        <r>
          <rPr>
            <b/>
            <sz val="9"/>
            <color rgb="FF000000"/>
            <rFont val="Tahoma"/>
            <family val="2"/>
          </rPr>
          <t>USUARIO:</t>
        </r>
        <r>
          <rPr>
            <sz val="9"/>
            <color rgb="FF000000"/>
            <rFont val="Tahoma"/>
            <family val="2"/>
          </rPr>
          <t xml:space="preserve">
</t>
        </r>
        <r>
          <rPr>
            <sz val="9"/>
            <color rgb="FF000000"/>
            <rFont val="Tahoma"/>
            <family val="2"/>
          </rPr>
          <t>PSP, transporte, operador logistico, internet</t>
        </r>
      </text>
    </comment>
    <comment ref="C32" authorId="1" shapeId="0" xr:uid="{00000000-0006-0000-0300-000017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300-000018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300-000019000000}">
      <text>
        <r>
          <rPr>
            <b/>
            <sz val="9"/>
            <color rgb="FF000000"/>
            <rFont val="Tahoma"/>
            <family val="2"/>
          </rPr>
          <t>Microsoft Office User:</t>
        </r>
        <r>
          <rPr>
            <sz val="9"/>
            <color rgb="FF000000"/>
            <rFont val="Tahoma"/>
            <family val="2"/>
          </rPr>
          <t xml:space="preserve">
</t>
        </r>
        <r>
          <rPr>
            <sz val="9"/>
            <color rgb="FF000000"/>
            <rFont val="Tahoma"/>
            <family val="2"/>
          </rPr>
          <t xml:space="preserve">En el caso de no presentarse retrasos en el periodo de reporte, incluir una nota indicando que las cifras son acordes con la programación. 
</t>
        </r>
      </text>
    </comment>
    <comment ref="T34" authorId="3" shapeId="0" xr:uid="{51F518E1-2AD9-46F5-8375-9F2CDD3D9CAE}">
      <text>
        <r>
          <rPr>
            <b/>
            <sz val="9"/>
            <color rgb="FF000000"/>
            <rFont val="Tahoma"/>
            <family val="2"/>
          </rPr>
          <t>ANGELA MARCELA FORERO RUIZ:</t>
        </r>
        <r>
          <rPr>
            <sz val="9"/>
            <color rgb="FF000000"/>
            <rFont val="Tahoma"/>
            <family val="2"/>
          </rPr>
          <t xml:space="preserve">
</t>
        </r>
        <r>
          <rPr>
            <sz val="9"/>
            <color rgb="FF000000"/>
            <rFont val="Tahoma"/>
            <family val="2"/>
          </rPr>
          <t>Verificar aquí mencionan 1462 orientaciones y asesorias psico juridicas, en la actividad mencionan 1.458</t>
        </r>
      </text>
    </comment>
    <comment ref="Q38" authorId="3" shapeId="0" xr:uid="{5EC3824B-EF3F-41D3-974F-8F920EB10C64}">
      <text>
        <r>
          <rPr>
            <b/>
            <sz val="11"/>
            <color rgb="FF000000"/>
            <rFont val="Tahoma"/>
            <family val="2"/>
          </rPr>
          <t>ANGELA MARCELA FORERO RUIZ:</t>
        </r>
        <r>
          <rPr>
            <sz val="11"/>
            <color rgb="FF000000"/>
            <rFont val="Tahoma"/>
            <family val="2"/>
          </rPr>
          <t xml:space="preserve">
</t>
        </r>
        <r>
          <rPr>
            <sz val="11"/>
            <color rgb="FF000000"/>
            <rFont val="Tahoma"/>
            <family val="2"/>
          </rPr>
          <t>Incluir avance acumulado</t>
        </r>
      </text>
    </comment>
    <comment ref="Q40" authorId="3" shapeId="0" xr:uid="{A0D2C157-3787-4044-B5D5-CD841F31956A}">
      <text>
        <r>
          <rPr>
            <b/>
            <sz val="11"/>
            <color rgb="FF000000"/>
            <rFont val="Tahoma"/>
            <family val="2"/>
          </rPr>
          <t>ANGELA MARCELA FORERO RUIZ:</t>
        </r>
        <r>
          <rPr>
            <sz val="11"/>
            <color rgb="FF000000"/>
            <rFont val="Tahoma"/>
            <family val="2"/>
          </rPr>
          <t xml:space="preserve">
</t>
        </r>
        <r>
          <rPr>
            <sz val="11"/>
            <color rgb="FF000000"/>
            <rFont val="Tahoma"/>
            <family val="2"/>
          </rPr>
          <t>Verificar si son 1.458 orientaciones como se menciona en la actividad o las que mencionan en la meta que son 1462</t>
        </r>
      </text>
    </comment>
    <comment ref="Q42" authorId="3" shapeId="0" xr:uid="{22561418-1103-499C-9B93-4C8A2701FD31}">
      <text>
        <r>
          <rPr>
            <b/>
            <sz val="11"/>
            <color rgb="FF000000"/>
            <rFont val="Tahoma"/>
            <family val="2"/>
          </rPr>
          <t>ANGELA MARCELA FORERO RUIZ:</t>
        </r>
        <r>
          <rPr>
            <sz val="11"/>
            <color rgb="FF000000"/>
            <rFont val="Tahoma"/>
            <family val="2"/>
          </rPr>
          <t xml:space="preserve">
</t>
        </r>
        <r>
          <rPr>
            <sz val="11"/>
            <color rgb="FF000000"/>
            <rFont val="Tahoma"/>
            <family val="2"/>
          </rPr>
          <t>Incluir avance acumalado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400-000001000000}">
      <text>
        <r>
          <rPr>
            <b/>
            <sz val="9"/>
            <color indexed="81"/>
            <rFont val="Tahoma"/>
            <family val="2"/>
          </rPr>
          <t>USUARIO:</t>
        </r>
        <r>
          <rPr>
            <sz val="9"/>
            <color indexed="81"/>
            <rFont val="Tahoma"/>
            <family val="2"/>
          </rPr>
          <t xml:space="preserve">
PSP</t>
        </r>
      </text>
    </comment>
    <comment ref="T22" authorId="0" shapeId="0" xr:uid="{00000000-0006-0000-0400-000002000000}">
      <text>
        <r>
          <rPr>
            <b/>
            <sz val="9"/>
            <color indexed="81"/>
            <rFont val="Tahoma"/>
            <family val="2"/>
          </rPr>
          <t>USUARIO:</t>
        </r>
        <r>
          <rPr>
            <sz val="9"/>
            <color indexed="81"/>
            <rFont val="Tahoma"/>
            <family val="2"/>
          </rPr>
          <t xml:space="preserve">
Licenciamiento</t>
        </r>
      </text>
    </comment>
    <comment ref="V22" authorId="0" shapeId="0" xr:uid="{00000000-0006-0000-0400-000003000000}">
      <text>
        <r>
          <rPr>
            <b/>
            <sz val="9"/>
            <color indexed="81"/>
            <rFont val="Tahoma"/>
            <family val="2"/>
          </rPr>
          <t>USUARIO:</t>
        </r>
        <r>
          <rPr>
            <sz val="9"/>
            <color indexed="81"/>
            <rFont val="Tahoma"/>
            <family val="2"/>
          </rPr>
          <t xml:space="preserve">
Papeleria, central de medios</t>
        </r>
      </text>
    </comment>
    <comment ref="C24" authorId="0" shapeId="0" xr:uid="{00000000-0006-0000-0400-000004000000}">
      <text>
        <r>
          <rPr>
            <b/>
            <sz val="9"/>
            <color indexed="81"/>
            <rFont val="Tahoma"/>
            <family val="2"/>
          </rPr>
          <t>USUARIO:</t>
        </r>
        <r>
          <rPr>
            <sz val="9"/>
            <color indexed="81"/>
            <rFont val="Tahoma"/>
            <family val="2"/>
          </rPr>
          <t xml:space="preserve">
Central de Medios</t>
        </r>
      </text>
    </comment>
    <comment ref="D24" authorId="0" shapeId="0" xr:uid="{00000000-0006-0000-0400-000005000000}">
      <text>
        <r>
          <rPr>
            <b/>
            <sz val="9"/>
            <color indexed="81"/>
            <rFont val="Tahoma"/>
            <family val="2"/>
          </rPr>
          <t>USUARIO:</t>
        </r>
        <r>
          <rPr>
            <sz val="9"/>
            <color indexed="81"/>
            <rFont val="Tahoma"/>
            <family val="2"/>
          </rPr>
          <t xml:space="preserve">
PSP Derly, Adición PSP Ana, Adición PSP Carol Rozo, Central de Medios</t>
        </r>
      </text>
    </comment>
    <comment ref="R24" authorId="0" shapeId="0" xr:uid="{00000000-0006-0000-0400-000006000000}">
      <text>
        <r>
          <rPr>
            <b/>
            <sz val="9"/>
            <color indexed="81"/>
            <rFont val="Tahoma"/>
            <family val="2"/>
          </rPr>
          <t>USUARIO:</t>
        </r>
        <r>
          <rPr>
            <sz val="9"/>
            <color indexed="81"/>
            <rFont val="Tahoma"/>
            <family val="2"/>
          </rPr>
          <t xml:space="preserve">
PSP</t>
        </r>
      </text>
    </comment>
    <comment ref="S24" authorId="0" shapeId="0" xr:uid="{00000000-0006-0000-0400-000007000000}">
      <text>
        <r>
          <rPr>
            <b/>
            <sz val="9"/>
            <color indexed="81"/>
            <rFont val="Tahoma"/>
            <family val="2"/>
          </rPr>
          <t>USUARIO:</t>
        </r>
        <r>
          <rPr>
            <sz val="9"/>
            <color indexed="81"/>
            <rFont val="Tahoma"/>
            <family val="2"/>
          </rPr>
          <t xml:space="preserve">
PSP</t>
        </r>
      </text>
    </comment>
    <comment ref="T24" authorId="0" shapeId="0" xr:uid="{00000000-0006-0000-0400-000008000000}">
      <text>
        <r>
          <rPr>
            <b/>
            <sz val="9"/>
            <color indexed="81"/>
            <rFont val="Tahoma"/>
            <family val="2"/>
          </rPr>
          <t>USUARIO:</t>
        </r>
        <r>
          <rPr>
            <sz val="9"/>
            <color indexed="81"/>
            <rFont val="Tahoma"/>
            <family val="2"/>
          </rPr>
          <t xml:space="preserve">
PSP</t>
        </r>
      </text>
    </comment>
    <comment ref="U24" authorId="0" shapeId="0" xr:uid="{00000000-0006-0000-0400-000009000000}">
      <text>
        <r>
          <rPr>
            <b/>
            <sz val="9"/>
            <color indexed="81"/>
            <rFont val="Tahoma"/>
            <family val="2"/>
          </rPr>
          <t>USUARIO:</t>
        </r>
        <r>
          <rPr>
            <sz val="9"/>
            <color indexed="81"/>
            <rFont val="Tahoma"/>
            <family val="2"/>
          </rPr>
          <t xml:space="preserve">
PSP, licenciamiento</t>
        </r>
      </text>
    </comment>
    <comment ref="V24" authorId="0" shapeId="0" xr:uid="{00000000-0006-0000-0400-00000A000000}">
      <text>
        <r>
          <rPr>
            <b/>
            <sz val="9"/>
            <color indexed="81"/>
            <rFont val="Tahoma"/>
            <family val="2"/>
          </rPr>
          <t>USUARIO:</t>
        </r>
        <r>
          <rPr>
            <sz val="9"/>
            <color indexed="81"/>
            <rFont val="Tahoma"/>
            <family val="2"/>
          </rPr>
          <t xml:space="preserve">
PSP</t>
        </r>
      </text>
    </comment>
    <comment ref="W24" authorId="0" shapeId="0" xr:uid="{00000000-0006-0000-0400-00000B000000}">
      <text>
        <r>
          <rPr>
            <b/>
            <sz val="9"/>
            <color indexed="81"/>
            <rFont val="Tahoma"/>
            <family val="2"/>
          </rPr>
          <t>USUARIO:</t>
        </r>
        <r>
          <rPr>
            <sz val="9"/>
            <color indexed="81"/>
            <rFont val="Tahoma"/>
            <family val="2"/>
          </rPr>
          <t xml:space="preserve">
PSP, papeleria, central de medios</t>
        </r>
      </text>
    </comment>
    <comment ref="X24" authorId="0" shapeId="0" xr:uid="{00000000-0006-0000-0400-00000C000000}">
      <text>
        <r>
          <rPr>
            <b/>
            <sz val="9"/>
            <color indexed="81"/>
            <rFont val="Tahoma"/>
            <family val="2"/>
          </rPr>
          <t>USUARIO:</t>
        </r>
        <r>
          <rPr>
            <sz val="9"/>
            <color indexed="81"/>
            <rFont val="Tahoma"/>
            <family val="2"/>
          </rPr>
          <t xml:space="preserve">
PSP</t>
        </r>
      </text>
    </comment>
    <comment ref="Y24" authorId="0" shapeId="0" xr:uid="{00000000-0006-0000-0400-00000D000000}">
      <text>
        <r>
          <rPr>
            <b/>
            <sz val="9"/>
            <color indexed="81"/>
            <rFont val="Tahoma"/>
            <family val="2"/>
          </rPr>
          <t>USUARIO:</t>
        </r>
        <r>
          <rPr>
            <sz val="9"/>
            <color indexed="81"/>
            <rFont val="Tahoma"/>
            <family val="2"/>
          </rPr>
          <t xml:space="preserve">
PSP, central de medios</t>
        </r>
      </text>
    </comment>
    <comment ref="Z24" authorId="0" shapeId="0" xr:uid="{00000000-0006-0000-0400-00000E000000}">
      <text>
        <r>
          <rPr>
            <b/>
            <sz val="9"/>
            <color indexed="81"/>
            <rFont val="Tahoma"/>
            <family val="2"/>
          </rPr>
          <t>USUARIO:</t>
        </r>
        <r>
          <rPr>
            <sz val="9"/>
            <color indexed="81"/>
            <rFont val="Tahoma"/>
            <family val="2"/>
          </rPr>
          <t xml:space="preserve">
PSP</t>
        </r>
      </text>
    </comment>
    <comment ref="AA24" authorId="0" shapeId="0" xr:uid="{00000000-0006-0000-0400-00000F000000}">
      <text>
        <r>
          <rPr>
            <b/>
            <sz val="9"/>
            <color indexed="81"/>
            <rFont val="Tahoma"/>
            <family val="2"/>
          </rPr>
          <t>USUARIO:</t>
        </r>
        <r>
          <rPr>
            <sz val="9"/>
            <color indexed="81"/>
            <rFont val="Tahoma"/>
            <family val="2"/>
          </rPr>
          <t xml:space="preserve">
PSP, central de medios</t>
        </r>
      </text>
    </comment>
    <comment ref="AB24" authorId="0" shapeId="0" xr:uid="{00000000-0006-0000-0400-000010000000}">
      <text>
        <r>
          <rPr>
            <b/>
            <sz val="9"/>
            <color rgb="FF000000"/>
            <rFont val="Tahoma"/>
            <family val="2"/>
          </rPr>
          <t>USUARIO:</t>
        </r>
        <r>
          <rPr>
            <sz val="9"/>
            <color rgb="FF000000"/>
            <rFont val="Tahoma"/>
            <family val="2"/>
          </rPr>
          <t xml:space="preserve">
</t>
        </r>
        <r>
          <rPr>
            <sz val="9"/>
            <color rgb="FF000000"/>
            <rFont val="Tahoma"/>
            <family val="2"/>
          </rPr>
          <t>PSP</t>
        </r>
      </text>
    </comment>
    <comment ref="C32" authorId="1" shapeId="0" xr:uid="{00000000-0006-0000-0400-000011000000}">
      <text>
        <r>
          <rPr>
            <b/>
            <sz val="9"/>
            <color rgb="FF000000"/>
            <rFont val="Tahoma"/>
            <family val="2"/>
          </rPr>
          <t>Microsoft Office User:</t>
        </r>
        <r>
          <rPr>
            <sz val="9"/>
            <color rgb="FF000000"/>
            <rFont val="Tahoma"/>
            <family val="2"/>
          </rPr>
          <t xml:space="preserve">
</t>
        </r>
        <r>
          <rPr>
            <sz val="9"/>
            <color rgb="FF000000"/>
            <rFont val="Tahoma"/>
            <family val="2"/>
          </rPr>
          <t xml:space="preserve">Corresponde a la magnitud programada en coherencia con la unidad de medida de la meta proyecto. </t>
        </r>
      </text>
    </comment>
    <comment ref="Q32" authorId="2" shapeId="0" xr:uid="{00000000-0006-0000-0400-000012000000}">
      <text>
        <r>
          <rPr>
            <b/>
            <sz val="9"/>
            <color rgb="FF000000"/>
            <rFont val="Tahoma"/>
            <family val="2"/>
          </rPr>
          <t xml:space="preserve">OFICINA ASESORA DE PLANEACIÓN:
</t>
        </r>
        <r>
          <rPr>
            <sz val="9"/>
            <color rgb="FF000000"/>
            <rFont val="Tahoma"/>
            <family val="2"/>
          </rPr>
          <t xml:space="preserve">Máximo de caracteres Avances y logros:  2.000 (Incluidos espacios)
</t>
        </r>
        <r>
          <rPr>
            <sz val="9"/>
            <color rgb="FF000000"/>
            <rFont val="Tahoma"/>
            <family val="2"/>
          </rPr>
          <t xml:space="preserve">Máximo de caracteres Retrasos y alternativas de solución: 1.000 (Incluidos espacios)
</t>
        </r>
        <r>
          <rPr>
            <sz val="9"/>
            <color rgb="FF000000"/>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400-00001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38" authorId="3" shapeId="0" xr:uid="{6205A871-1ECF-4BE8-BDF2-D9A3ED85B132}">
      <text>
        <r>
          <rPr>
            <b/>
            <sz val="11"/>
            <color rgb="FF000000"/>
            <rFont val="Tahoma"/>
            <family val="2"/>
          </rPr>
          <t>ANGELA MARCELA FORERO RUIZ:</t>
        </r>
        <r>
          <rPr>
            <sz val="11"/>
            <color rgb="FF000000"/>
            <rFont val="Tahoma"/>
            <family val="2"/>
          </rPr>
          <t xml:space="preserve">
</t>
        </r>
        <r>
          <rPr>
            <sz val="11"/>
            <color rgb="FF000000"/>
            <rFont val="Tahoma"/>
            <family val="2"/>
          </rPr>
          <t>Incluir adicional al avance del mes, el acumulado del primer trimestre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500-000001000000}">
      <text>
        <r>
          <rPr>
            <b/>
            <sz val="9"/>
            <color indexed="81"/>
            <rFont val="Tahoma"/>
            <family val="2"/>
          </rPr>
          <t>USUARIO:</t>
        </r>
        <r>
          <rPr>
            <sz val="9"/>
            <color indexed="81"/>
            <rFont val="Tahoma"/>
            <family val="2"/>
          </rPr>
          <t xml:space="preserve">
PSP</t>
        </r>
      </text>
    </comment>
    <comment ref="S22" authorId="0" shapeId="0" xr:uid="{00000000-0006-0000-0500-000002000000}">
      <text>
        <r>
          <rPr>
            <b/>
            <sz val="9"/>
            <color indexed="81"/>
            <rFont val="Tahoma"/>
            <family val="2"/>
          </rPr>
          <t>USUARIO:</t>
        </r>
        <r>
          <rPr>
            <sz val="9"/>
            <color indexed="81"/>
            <rFont val="Tahoma"/>
            <family val="2"/>
          </rPr>
          <t xml:space="preserve">
Transporte</t>
        </r>
      </text>
    </comment>
    <comment ref="T22" authorId="0" shapeId="0" xr:uid="{00000000-0006-0000-05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500-000004000000}">
      <text>
        <r>
          <rPr>
            <b/>
            <sz val="9"/>
            <color indexed="81"/>
            <rFont val="Tahoma"/>
            <family val="2"/>
          </rPr>
          <t>USUARIO:</t>
        </r>
        <r>
          <rPr>
            <sz val="9"/>
            <color indexed="81"/>
            <rFont val="Tahoma"/>
            <family val="2"/>
          </rPr>
          <t xml:space="preserve">
papeleria, central de medios</t>
        </r>
      </text>
    </comment>
    <comment ref="C24" authorId="0" shapeId="0" xr:uid="{00000000-0006-0000-0500-000005000000}">
      <text>
        <r>
          <rPr>
            <b/>
            <sz val="9"/>
            <color indexed="81"/>
            <rFont val="Tahoma"/>
            <family val="2"/>
          </rPr>
          <t>USUARIO:</t>
        </r>
        <r>
          <rPr>
            <sz val="9"/>
            <color indexed="81"/>
            <rFont val="Tahoma"/>
            <family val="2"/>
          </rPr>
          <t xml:space="preserve">
Impresos, operador logistico, Central de Medios</t>
        </r>
      </text>
    </comment>
    <comment ref="D24" authorId="0" shapeId="0" xr:uid="{00000000-0006-0000-0500-000006000000}">
      <text>
        <r>
          <rPr>
            <b/>
            <sz val="9"/>
            <color indexed="81"/>
            <rFont val="Tahoma"/>
            <family val="2"/>
          </rPr>
          <t>USUARIO:</t>
        </r>
        <r>
          <rPr>
            <sz val="9"/>
            <color indexed="81"/>
            <rFont val="Tahoma"/>
            <family val="2"/>
          </rPr>
          <t xml:space="preserve">
Transporte, SIMISIONAL, adición operador logistico, chalecos, PSP Derly, Adición PSP Luis, Adición PSP Ana, Adición PSP Carol Rozo, Central de Medios</t>
        </r>
      </text>
    </comment>
    <comment ref="E24" authorId="0" shapeId="0" xr:uid="{00000000-0006-0000-0500-000007000000}">
      <text>
        <r>
          <rPr>
            <b/>
            <sz val="9"/>
            <color indexed="81"/>
            <rFont val="Tahoma"/>
            <family val="2"/>
          </rPr>
          <t>USUARIO:</t>
        </r>
        <r>
          <rPr>
            <sz val="9"/>
            <color indexed="81"/>
            <rFont val="Tahoma"/>
            <family val="2"/>
          </rPr>
          <t xml:space="preserve">
Adición operador logistico</t>
        </r>
      </text>
    </comment>
    <comment ref="F24" authorId="0" shapeId="0" xr:uid="{00000000-0006-0000-0500-000008000000}">
      <text>
        <r>
          <rPr>
            <b/>
            <sz val="9"/>
            <color indexed="81"/>
            <rFont val="Tahoma"/>
            <family val="2"/>
          </rPr>
          <t>USUARIO:</t>
        </r>
        <r>
          <rPr>
            <sz val="9"/>
            <color indexed="81"/>
            <rFont val="Tahoma"/>
            <family val="2"/>
          </rPr>
          <t xml:space="preserve">
Adición operador logistico</t>
        </r>
      </text>
    </comment>
    <comment ref="R24" authorId="0" shapeId="0" xr:uid="{00000000-0006-0000-0500-000009000000}">
      <text>
        <r>
          <rPr>
            <b/>
            <sz val="9"/>
            <color indexed="81"/>
            <rFont val="Tahoma"/>
            <family val="2"/>
          </rPr>
          <t>USUARIO:</t>
        </r>
        <r>
          <rPr>
            <sz val="9"/>
            <color indexed="81"/>
            <rFont val="Tahoma"/>
            <family val="2"/>
          </rPr>
          <t xml:space="preserve">
PSP</t>
        </r>
      </text>
    </comment>
    <comment ref="S24" authorId="0" shapeId="0" xr:uid="{00000000-0006-0000-0500-00000A000000}">
      <text>
        <r>
          <rPr>
            <b/>
            <sz val="9"/>
            <color indexed="81"/>
            <rFont val="Tahoma"/>
            <family val="2"/>
          </rPr>
          <t>USUARIO:</t>
        </r>
        <r>
          <rPr>
            <sz val="9"/>
            <color indexed="81"/>
            <rFont val="Tahoma"/>
            <family val="2"/>
          </rPr>
          <t xml:space="preserve">
PSP</t>
        </r>
      </text>
    </comment>
    <comment ref="T24" authorId="0" shapeId="0" xr:uid="{00000000-0006-0000-0500-00000B000000}">
      <text>
        <r>
          <rPr>
            <b/>
            <sz val="9"/>
            <color indexed="81"/>
            <rFont val="Tahoma"/>
            <family val="2"/>
          </rPr>
          <t>USUARIO:</t>
        </r>
        <r>
          <rPr>
            <sz val="9"/>
            <color indexed="81"/>
            <rFont val="Tahoma"/>
            <family val="2"/>
          </rPr>
          <t xml:space="preserve">
PSP, transporte</t>
        </r>
      </text>
    </comment>
    <comment ref="U24" authorId="0" shapeId="0" xr:uid="{00000000-0006-0000-0500-00000C000000}">
      <text>
        <r>
          <rPr>
            <b/>
            <sz val="9"/>
            <color indexed="81"/>
            <rFont val="Tahoma"/>
            <family val="2"/>
          </rPr>
          <t>USUARIO:</t>
        </r>
        <r>
          <rPr>
            <sz val="9"/>
            <color indexed="81"/>
            <rFont val="Tahoma"/>
            <family val="2"/>
          </rPr>
          <t xml:space="preserve">
PSP, transporte, operador logistico, licenciamiento</t>
        </r>
      </text>
    </comment>
    <comment ref="V24" authorId="0" shapeId="0" xr:uid="{00000000-0006-0000-0500-00000D000000}">
      <text>
        <r>
          <rPr>
            <b/>
            <sz val="9"/>
            <color indexed="81"/>
            <rFont val="Tahoma"/>
            <family val="2"/>
          </rPr>
          <t>USUARIO:</t>
        </r>
        <r>
          <rPr>
            <sz val="9"/>
            <color indexed="81"/>
            <rFont val="Tahoma"/>
            <family val="2"/>
          </rPr>
          <t xml:space="preserve">
PSP, transporte, operador logistico</t>
        </r>
      </text>
    </comment>
    <comment ref="W24" authorId="0" shapeId="0" xr:uid="{00000000-0006-0000-0500-00000E000000}">
      <text>
        <r>
          <rPr>
            <b/>
            <sz val="9"/>
            <color indexed="81"/>
            <rFont val="Tahoma"/>
            <family val="2"/>
          </rPr>
          <t>USUARIO:</t>
        </r>
        <r>
          <rPr>
            <sz val="9"/>
            <color indexed="81"/>
            <rFont val="Tahoma"/>
            <family val="2"/>
          </rPr>
          <t xml:space="preserve">
PSP, transporte, papeleria, operador logistico, central de medios</t>
        </r>
      </text>
    </comment>
    <comment ref="X24" authorId="0" shapeId="0" xr:uid="{00000000-0006-0000-0500-00000F000000}">
      <text>
        <r>
          <rPr>
            <b/>
            <sz val="9"/>
            <color indexed="81"/>
            <rFont val="Tahoma"/>
            <family val="2"/>
          </rPr>
          <t>USUARIO:</t>
        </r>
        <r>
          <rPr>
            <sz val="9"/>
            <color indexed="81"/>
            <rFont val="Tahoma"/>
            <family val="2"/>
          </rPr>
          <t xml:space="preserve">
PSP, transporte, operador logistico</t>
        </r>
      </text>
    </comment>
    <comment ref="Y24" authorId="0" shapeId="0" xr:uid="{00000000-0006-0000-0500-000010000000}">
      <text>
        <r>
          <rPr>
            <b/>
            <sz val="9"/>
            <color indexed="81"/>
            <rFont val="Tahoma"/>
            <family val="2"/>
          </rPr>
          <t>USUARIO:</t>
        </r>
        <r>
          <rPr>
            <sz val="9"/>
            <color indexed="81"/>
            <rFont val="Tahoma"/>
            <family val="2"/>
          </rPr>
          <t xml:space="preserve">
PSP, transporte, operador logistico, central de medios</t>
        </r>
      </text>
    </comment>
    <comment ref="Z24" authorId="0" shapeId="0" xr:uid="{00000000-0006-0000-0500-000011000000}">
      <text>
        <r>
          <rPr>
            <b/>
            <sz val="9"/>
            <color indexed="81"/>
            <rFont val="Tahoma"/>
            <family val="2"/>
          </rPr>
          <t>USUARIO:</t>
        </r>
        <r>
          <rPr>
            <sz val="9"/>
            <color indexed="81"/>
            <rFont val="Tahoma"/>
            <family val="2"/>
          </rPr>
          <t xml:space="preserve">
PSP, transporte, operador logistico</t>
        </r>
      </text>
    </comment>
    <comment ref="AA24" authorId="0" shapeId="0" xr:uid="{00000000-0006-0000-0500-000012000000}">
      <text>
        <r>
          <rPr>
            <b/>
            <sz val="9"/>
            <color indexed="81"/>
            <rFont val="Tahoma"/>
            <family val="2"/>
          </rPr>
          <t>USUARIO:</t>
        </r>
        <r>
          <rPr>
            <sz val="9"/>
            <color indexed="81"/>
            <rFont val="Tahoma"/>
            <family val="2"/>
          </rPr>
          <t xml:space="preserve">
PSP, transporte, operador logistico, central de medios</t>
        </r>
      </text>
    </comment>
    <comment ref="AB24" authorId="0" shapeId="0" xr:uid="{00000000-0006-0000-0500-000013000000}">
      <text>
        <r>
          <rPr>
            <b/>
            <sz val="9"/>
            <color indexed="81"/>
            <rFont val="Tahoma"/>
            <family val="2"/>
          </rPr>
          <t>USUARIO:</t>
        </r>
        <r>
          <rPr>
            <sz val="9"/>
            <color indexed="81"/>
            <rFont val="Tahoma"/>
            <family val="2"/>
          </rPr>
          <t xml:space="preserve">
PSP, transporte, operador logistico</t>
        </r>
      </text>
    </comment>
    <comment ref="C32" authorId="1" shapeId="0" xr:uid="{00000000-0006-0000-0500-000014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500-000015000000}">
      <text>
        <r>
          <rPr>
            <b/>
            <sz val="9"/>
            <color rgb="FF000000"/>
            <rFont val="Tahoma"/>
            <family val="2"/>
          </rPr>
          <t xml:space="preserve">OFICINA ASESORA DE PLANEACIÓN:
</t>
        </r>
        <r>
          <rPr>
            <sz val="9"/>
            <color rgb="FF000000"/>
            <rFont val="Tahoma"/>
            <family val="2"/>
          </rPr>
          <t xml:space="preserve">Máximo de caracteres Avances y logros:  2.000 (Incluidos espacios)
</t>
        </r>
        <r>
          <rPr>
            <sz val="9"/>
            <color rgb="FF000000"/>
            <rFont val="Tahoma"/>
            <family val="2"/>
          </rPr>
          <t xml:space="preserve">Máximo de caracteres Retrasos y alternativas de solución: 1.000 (Incluidos espacios)
</t>
        </r>
        <r>
          <rPr>
            <sz val="9"/>
            <color rgb="FF000000"/>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500-000016000000}">
      <text>
        <r>
          <rPr>
            <b/>
            <sz val="9"/>
            <color rgb="FF000000"/>
            <rFont val="Tahoma"/>
            <family val="2"/>
          </rPr>
          <t>Microsoft Office User:</t>
        </r>
        <r>
          <rPr>
            <sz val="9"/>
            <color rgb="FF000000"/>
            <rFont val="Tahoma"/>
            <family val="2"/>
          </rPr>
          <t xml:space="preserve">
</t>
        </r>
        <r>
          <rPr>
            <sz val="9"/>
            <color rgb="FF000000"/>
            <rFont val="Tahoma"/>
            <family val="2"/>
          </rPr>
          <t xml:space="preserve">En el caso de no presentarse retrasos en el periodo de reporte, incluir una nota indicando que las cifras son acordes con la programación. 
</t>
        </r>
      </text>
    </comment>
    <comment ref="Q38" authorId="3" shapeId="0" xr:uid="{BE0B6ADB-B609-4F9B-9FD9-E8A6F6D98B27}">
      <text>
        <r>
          <rPr>
            <b/>
            <sz val="11"/>
            <color rgb="FF000000"/>
            <rFont val="Tahoma"/>
            <family val="2"/>
          </rPr>
          <t>ANGELA MARCELA FORERO RUIZ:</t>
        </r>
        <r>
          <rPr>
            <sz val="11"/>
            <color rgb="FF000000"/>
            <rFont val="Tahoma"/>
            <family val="2"/>
          </rPr>
          <t xml:space="preserve">
</t>
        </r>
        <r>
          <rPr>
            <sz val="11"/>
            <color rgb="FF000000"/>
            <rFont val="Tahoma"/>
            <family val="2"/>
          </rPr>
          <t>Incluir adicional el avance acumulado</t>
        </r>
      </text>
    </comment>
    <comment ref="Q40" authorId="3" shapeId="0" xr:uid="{27EA5C29-DE63-4031-9851-7CAD4B9D545F}">
      <text>
        <r>
          <rPr>
            <b/>
            <sz val="11"/>
            <color rgb="FF000000"/>
            <rFont val="Tahoma"/>
            <family val="2"/>
          </rPr>
          <t>ANGELA MARCELA FORERO RUIZ:</t>
        </r>
        <r>
          <rPr>
            <sz val="11"/>
            <color rgb="FF000000"/>
            <rFont val="Tahoma"/>
            <family val="2"/>
          </rPr>
          <t xml:space="preserve">
</t>
        </r>
        <r>
          <rPr>
            <sz val="11"/>
            <color rgb="FF000000"/>
            <rFont val="Tahoma"/>
            <family val="2"/>
          </rPr>
          <t>Incluir adicional el avance acumulado</t>
        </r>
      </text>
    </comment>
    <comment ref="Q42" authorId="3" shapeId="0" xr:uid="{0B436EB4-E83B-4BA7-BABA-A64536CCD58D}">
      <text>
        <r>
          <rPr>
            <b/>
            <sz val="11"/>
            <color rgb="FF000000"/>
            <rFont val="Tahoma"/>
            <family val="2"/>
          </rPr>
          <t>ANGELA MARCELA FORERO RUIZ:</t>
        </r>
        <r>
          <rPr>
            <sz val="11"/>
            <color rgb="FF000000"/>
            <rFont val="Tahoma"/>
            <family val="2"/>
          </rPr>
          <t xml:space="preserve">
</t>
        </r>
        <r>
          <rPr>
            <sz val="11"/>
            <color rgb="FF000000"/>
            <rFont val="Tahoma"/>
            <family val="2"/>
          </rPr>
          <t>Incuir además el avance acumulado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600-000001000000}">
      <text>
        <r>
          <rPr>
            <b/>
            <sz val="9"/>
            <color indexed="81"/>
            <rFont val="Tahoma"/>
            <family val="2"/>
          </rPr>
          <t>USUARIO:</t>
        </r>
        <r>
          <rPr>
            <sz val="9"/>
            <color indexed="81"/>
            <rFont val="Tahoma"/>
            <family val="2"/>
          </rPr>
          <t xml:space="preserve">
PSP, Unidades Moviles</t>
        </r>
      </text>
    </comment>
    <comment ref="S22" authorId="0" shapeId="0" xr:uid="{00000000-0006-0000-0600-000002000000}">
      <text>
        <r>
          <rPr>
            <b/>
            <sz val="9"/>
            <color indexed="81"/>
            <rFont val="Tahoma"/>
            <family val="2"/>
          </rPr>
          <t>USUARIO:</t>
        </r>
        <r>
          <rPr>
            <sz val="9"/>
            <color indexed="81"/>
            <rFont val="Tahoma"/>
            <family val="2"/>
          </rPr>
          <t xml:space="preserve">
Transporte</t>
        </r>
      </text>
    </comment>
    <comment ref="T22" authorId="0" shapeId="0" xr:uid="{00000000-0006-0000-06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600-000004000000}">
      <text>
        <r>
          <rPr>
            <b/>
            <sz val="9"/>
            <color indexed="81"/>
            <rFont val="Tahoma"/>
            <family val="2"/>
          </rPr>
          <t>USUARIO:</t>
        </r>
        <r>
          <rPr>
            <sz val="9"/>
            <color indexed="81"/>
            <rFont val="Tahoma"/>
            <family val="2"/>
          </rPr>
          <t xml:space="preserve">
papeleria, central de medios</t>
        </r>
      </text>
    </comment>
    <comment ref="C24" authorId="0" shapeId="0" xr:uid="{00000000-0006-0000-0600-000005000000}">
      <text>
        <r>
          <rPr>
            <b/>
            <sz val="9"/>
            <color indexed="81"/>
            <rFont val="Tahoma"/>
            <family val="2"/>
          </rPr>
          <t>USUARIO:</t>
        </r>
        <r>
          <rPr>
            <sz val="9"/>
            <color indexed="81"/>
            <rFont val="Tahoma"/>
            <family val="2"/>
          </rPr>
          <t xml:space="preserve">
Impresos, operador logistico, Central de Medios</t>
        </r>
      </text>
    </comment>
    <comment ref="D24" authorId="0" shapeId="0" xr:uid="{00000000-0006-0000-0600-000006000000}">
      <text>
        <r>
          <rPr>
            <b/>
            <sz val="9"/>
            <color indexed="81"/>
            <rFont val="Tahoma"/>
            <family val="2"/>
          </rPr>
          <t>USUARIO:</t>
        </r>
        <r>
          <rPr>
            <sz val="9"/>
            <color indexed="81"/>
            <rFont val="Tahoma"/>
            <family val="2"/>
          </rPr>
          <t xml:space="preserve">
Transporte, SIMISIONAL, adición operador logistico, chalecos, PSP Jesica, Adición PSP Luis, Adición PSP Laura, Adición PSP Johanna, Adición PSP Sandra, Adición PSP Angela, Adición PSP Ana, Adición PSP Pilar, Adición PSP Carol Rozo, Central de Medios</t>
        </r>
      </text>
    </comment>
    <comment ref="E24" authorId="0" shapeId="0" xr:uid="{00000000-0006-0000-0600-000007000000}">
      <text>
        <r>
          <rPr>
            <b/>
            <sz val="9"/>
            <color indexed="81"/>
            <rFont val="Tahoma"/>
            <family val="2"/>
          </rPr>
          <t>USUARIO:</t>
        </r>
        <r>
          <rPr>
            <sz val="9"/>
            <color indexed="81"/>
            <rFont val="Tahoma"/>
            <family val="2"/>
          </rPr>
          <t xml:space="preserve">
Adición operador logistico</t>
        </r>
      </text>
    </comment>
    <comment ref="F24" authorId="0" shapeId="0" xr:uid="{00000000-0006-0000-0600-000008000000}">
      <text>
        <r>
          <rPr>
            <b/>
            <sz val="9"/>
            <color indexed="81"/>
            <rFont val="Tahoma"/>
            <family val="2"/>
          </rPr>
          <t>USUARIO:</t>
        </r>
        <r>
          <rPr>
            <sz val="9"/>
            <color indexed="81"/>
            <rFont val="Tahoma"/>
            <family val="2"/>
          </rPr>
          <t xml:space="preserve">
Adición operador logistico</t>
        </r>
      </text>
    </comment>
    <comment ref="R24" authorId="0" shapeId="0" xr:uid="{00000000-0006-0000-0600-000009000000}">
      <text>
        <r>
          <rPr>
            <b/>
            <sz val="9"/>
            <color rgb="FF000000"/>
            <rFont val="Tahoma"/>
            <family val="2"/>
          </rPr>
          <t>USUARIO:</t>
        </r>
        <r>
          <rPr>
            <sz val="9"/>
            <color rgb="FF000000"/>
            <rFont val="Tahoma"/>
            <family val="2"/>
          </rPr>
          <t xml:space="preserve">
</t>
        </r>
        <r>
          <rPr>
            <sz val="9"/>
            <color rgb="FF000000"/>
            <rFont val="Tahoma"/>
            <family val="2"/>
          </rPr>
          <t>PSP</t>
        </r>
      </text>
    </comment>
    <comment ref="S24" authorId="0" shapeId="0" xr:uid="{00000000-0006-0000-0600-00000A000000}">
      <text>
        <r>
          <rPr>
            <b/>
            <sz val="9"/>
            <color indexed="81"/>
            <rFont val="Tahoma"/>
            <family val="2"/>
          </rPr>
          <t>USUARIO:</t>
        </r>
        <r>
          <rPr>
            <sz val="9"/>
            <color indexed="81"/>
            <rFont val="Tahoma"/>
            <family val="2"/>
          </rPr>
          <t xml:space="preserve">
PSP</t>
        </r>
      </text>
    </comment>
    <comment ref="T24" authorId="0" shapeId="0" xr:uid="{00000000-0006-0000-0600-00000B000000}">
      <text>
        <r>
          <rPr>
            <b/>
            <sz val="9"/>
            <color indexed="81"/>
            <rFont val="Tahoma"/>
            <family val="2"/>
          </rPr>
          <t>USUARIO:</t>
        </r>
        <r>
          <rPr>
            <sz val="9"/>
            <color indexed="81"/>
            <rFont val="Tahoma"/>
            <family val="2"/>
          </rPr>
          <t xml:space="preserve">
PSP, Transporte</t>
        </r>
      </text>
    </comment>
    <comment ref="U24" authorId="0" shapeId="0" xr:uid="{00000000-0006-0000-0600-00000C000000}">
      <text>
        <r>
          <rPr>
            <b/>
            <sz val="9"/>
            <color indexed="81"/>
            <rFont val="Tahoma"/>
            <family val="2"/>
          </rPr>
          <t>USUARIO:</t>
        </r>
        <r>
          <rPr>
            <sz val="9"/>
            <color indexed="81"/>
            <rFont val="Tahoma"/>
            <family val="2"/>
          </rPr>
          <t xml:space="preserve">
PSP, transporte, operador logistico, licenciamiento</t>
        </r>
      </text>
    </comment>
    <comment ref="V24" authorId="0" shapeId="0" xr:uid="{00000000-0006-0000-0600-00000D000000}">
      <text>
        <r>
          <rPr>
            <b/>
            <sz val="9"/>
            <color indexed="81"/>
            <rFont val="Tahoma"/>
            <family val="2"/>
          </rPr>
          <t>USUARIO:</t>
        </r>
        <r>
          <rPr>
            <sz val="9"/>
            <color indexed="81"/>
            <rFont val="Tahoma"/>
            <family val="2"/>
          </rPr>
          <t xml:space="preserve">
PSP, transporte, operador  logistico</t>
        </r>
      </text>
    </comment>
    <comment ref="W24" authorId="0" shapeId="0" xr:uid="{00000000-0006-0000-0600-00000E000000}">
      <text>
        <r>
          <rPr>
            <b/>
            <sz val="9"/>
            <color indexed="81"/>
            <rFont val="Tahoma"/>
            <family val="2"/>
          </rPr>
          <t>USUARIO:</t>
        </r>
        <r>
          <rPr>
            <sz val="9"/>
            <color indexed="81"/>
            <rFont val="Tahoma"/>
            <family val="2"/>
          </rPr>
          <t xml:space="preserve">
PSP, transporte, papeleria, operador logistico, central de medios</t>
        </r>
      </text>
    </comment>
    <comment ref="X24" authorId="0" shapeId="0" xr:uid="{00000000-0006-0000-0600-00000F000000}">
      <text>
        <r>
          <rPr>
            <b/>
            <sz val="9"/>
            <color indexed="81"/>
            <rFont val="Tahoma"/>
            <family val="2"/>
          </rPr>
          <t>USUARIO:</t>
        </r>
        <r>
          <rPr>
            <sz val="9"/>
            <color indexed="81"/>
            <rFont val="Tahoma"/>
            <family val="2"/>
          </rPr>
          <t xml:space="preserve">
PSP, transporte, operador logistico</t>
        </r>
      </text>
    </comment>
    <comment ref="Y24" authorId="0" shapeId="0" xr:uid="{00000000-0006-0000-0600-000010000000}">
      <text>
        <r>
          <rPr>
            <b/>
            <sz val="9"/>
            <color indexed="81"/>
            <rFont val="Tahoma"/>
            <family val="2"/>
          </rPr>
          <t>USUARIO:</t>
        </r>
        <r>
          <rPr>
            <sz val="9"/>
            <color indexed="81"/>
            <rFont val="Tahoma"/>
            <family val="2"/>
          </rPr>
          <t xml:space="preserve">
PSP, transporte, operador logistico, central de medios</t>
        </r>
      </text>
    </comment>
    <comment ref="Z24" authorId="0" shapeId="0" xr:uid="{00000000-0006-0000-0600-000011000000}">
      <text>
        <r>
          <rPr>
            <b/>
            <sz val="9"/>
            <color indexed="81"/>
            <rFont val="Tahoma"/>
            <family val="2"/>
          </rPr>
          <t>USUARIO:</t>
        </r>
        <r>
          <rPr>
            <sz val="9"/>
            <color indexed="81"/>
            <rFont val="Tahoma"/>
            <family val="2"/>
          </rPr>
          <t xml:space="preserve">
PSP, transporte, operador logistico</t>
        </r>
      </text>
    </comment>
    <comment ref="AA24" authorId="0" shapeId="0" xr:uid="{00000000-0006-0000-0600-000012000000}">
      <text>
        <r>
          <rPr>
            <b/>
            <sz val="9"/>
            <color indexed="81"/>
            <rFont val="Tahoma"/>
            <family val="2"/>
          </rPr>
          <t>USUARIO:</t>
        </r>
        <r>
          <rPr>
            <sz val="9"/>
            <color indexed="81"/>
            <rFont val="Tahoma"/>
            <family val="2"/>
          </rPr>
          <t xml:space="preserve">
PSP, transporte, operador logistico, central de medios</t>
        </r>
      </text>
    </comment>
    <comment ref="AB24" authorId="0" shapeId="0" xr:uid="{00000000-0006-0000-0600-000013000000}">
      <text>
        <r>
          <rPr>
            <b/>
            <sz val="9"/>
            <color indexed="81"/>
            <rFont val="Tahoma"/>
            <family val="2"/>
          </rPr>
          <t>USUARIO:</t>
        </r>
        <r>
          <rPr>
            <sz val="9"/>
            <color indexed="81"/>
            <rFont val="Tahoma"/>
            <family val="2"/>
          </rPr>
          <t xml:space="preserve">
PSP, transporte, operador logistico</t>
        </r>
      </text>
    </comment>
    <comment ref="C32" authorId="1" shapeId="0" xr:uid="{00000000-0006-0000-0600-000014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600-000015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600-000016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38" authorId="3" shapeId="0" xr:uid="{5185BC08-13E5-4D52-93CD-15369B5B7AC4}">
      <text>
        <r>
          <rPr>
            <b/>
            <sz val="11"/>
            <color rgb="FF000000"/>
            <rFont val="Tahoma"/>
            <family val="2"/>
          </rPr>
          <t>ANGELA MARCELA FORERO RUIZ:</t>
        </r>
        <r>
          <rPr>
            <sz val="11"/>
            <color rgb="FF000000"/>
            <rFont val="Tahoma"/>
            <family val="2"/>
          </rPr>
          <t xml:space="preserve">
</t>
        </r>
        <r>
          <rPr>
            <sz val="11"/>
            <color rgb="FF000000"/>
            <rFont val="Tahoma"/>
            <family val="2"/>
          </rPr>
          <t>Incluir adicionalmnete el avance acumulado</t>
        </r>
      </text>
    </comment>
    <comment ref="Q40" authorId="3" shapeId="0" xr:uid="{4363C1B5-F855-4132-A54D-BF67152AF234}">
      <text>
        <r>
          <rPr>
            <b/>
            <sz val="11"/>
            <color rgb="FF000000"/>
            <rFont val="Tahoma"/>
            <family val="2"/>
          </rPr>
          <t>ANGELA MARCELA FORERO RUIZ:</t>
        </r>
        <r>
          <rPr>
            <sz val="11"/>
            <color rgb="FF000000"/>
            <rFont val="Tahoma"/>
            <family val="2"/>
          </rPr>
          <t xml:space="preserve">
</t>
        </r>
        <r>
          <rPr>
            <sz val="11"/>
            <color rgb="FF000000"/>
            <rFont val="Tahoma"/>
            <family val="2"/>
          </rPr>
          <t>Incluir adicional el avance acumulado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ANDREA PAOLA BELLO VARGAS</author>
  </authors>
  <commentList>
    <comment ref="C26" authorId="0" shapeId="0" xr:uid="{00000000-0006-0000-07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26" authorId="1" shapeId="0" xr:uid="{00000000-0006-0000-07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xr:uid="{00000000-0006-0000-07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 Office User</author>
    <author>ANGELA MARCELA FORERO RUIZ</author>
  </authors>
  <commentList>
    <comment ref="AV5" authorId="0" shapeId="0" xr:uid="{00000000-0006-0000-0800-000001000000}">
      <text>
        <r>
          <rPr>
            <b/>
            <sz val="10"/>
            <color rgb="FF000000"/>
            <rFont val="Tahoma"/>
            <family val="2"/>
          </rPr>
          <t>Microsoft Office User:</t>
        </r>
        <r>
          <rPr>
            <sz val="10"/>
            <color rgb="FF000000"/>
            <rFont val="Tahoma"/>
            <family val="2"/>
          </rPr>
          <t xml:space="preserve">
</t>
        </r>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W5" authorId="0" shapeId="0" xr:uid="{00000000-0006-0000-0800-000002000000}">
      <text>
        <r>
          <rPr>
            <b/>
            <sz val="10"/>
            <color rgb="FF000000"/>
            <rFont val="Tahoma"/>
            <family val="2"/>
          </rPr>
          <t>Microsoft Office User:</t>
        </r>
        <r>
          <rPr>
            <sz val="10"/>
            <color rgb="FF000000"/>
            <rFont val="Tahoma"/>
            <family val="2"/>
          </rPr>
          <t xml:space="preserve">
</t>
        </r>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X5" authorId="0" shapeId="0" xr:uid="{00000000-0006-0000-0800-000003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800-000004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800-000005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00000000-0006-0000-0800-000006000000}">
      <text>
        <r>
          <rPr>
            <b/>
            <sz val="10"/>
            <color indexed="8"/>
            <rFont val="Tahoma"/>
            <family val="2"/>
          </rPr>
          <t>Microsoft Office User:</t>
        </r>
        <r>
          <rPr>
            <sz val="10"/>
            <color indexed="8"/>
            <rFont val="Tahoma"/>
            <family val="2"/>
          </rPr>
          <t xml:space="preserve">
</t>
        </r>
        <r>
          <rPr>
            <sz val="10"/>
            <color indexed="8"/>
            <rFont val="Tahoma"/>
            <family val="2"/>
          </rPr>
          <t xml:space="preserve">Corresponde a la meta PDD o meta proyecto articulada con el indicador a medir.
</t>
        </r>
        <r>
          <rPr>
            <sz val="10"/>
            <color indexed="8"/>
            <rFont val="Tahoma"/>
            <family val="2"/>
          </rPr>
          <t xml:space="preserve">Así mismo se podrá establecer una meta nueva en caso de evidenciar la necesidad. </t>
        </r>
      </text>
    </comment>
    <comment ref="J11" authorId="0" shapeId="0" xr:uid="{00000000-0006-0000-0800-000007000000}">
      <text>
        <r>
          <rPr>
            <b/>
            <sz val="10"/>
            <color rgb="FF000000"/>
            <rFont val="Tahoma"/>
            <family val="2"/>
          </rPr>
          <t>Microsoft Office User:</t>
        </r>
        <r>
          <rPr>
            <sz val="10"/>
            <color rgb="FF000000"/>
            <rFont val="Tahoma"/>
            <family val="2"/>
          </rPr>
          <t xml:space="preserve">
</t>
        </r>
        <r>
          <rPr>
            <sz val="10"/>
            <color rgb="FF000000"/>
            <rFont val="Tahoma"/>
            <family val="2"/>
          </rPr>
          <t xml:space="preserve">Detallar la expresión cualitativa del indicador.
</t>
        </r>
        <r>
          <rPr>
            <sz val="10"/>
            <color rgb="FF000000"/>
            <rFont val="Tahoma"/>
            <family val="2"/>
          </rPr>
          <t>Objeto + condición deseada del objeto (verbo conjugado) + elementos adicionales de contexto descriptivo</t>
        </r>
      </text>
    </comment>
    <comment ref="K11" authorId="0" shapeId="0" xr:uid="{00000000-0006-0000-0800-000008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N11" authorId="0" shapeId="0" xr:uid="{00000000-0006-0000-0800-00000900000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T11" authorId="0" shapeId="0" xr:uid="{00000000-0006-0000-0800-00000A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 ref="AV16" authorId="1" shapeId="0" xr:uid="{52EB5584-BF29-458B-9332-96D04A34FD23}">
      <text>
        <r>
          <rPr>
            <b/>
            <sz val="9"/>
            <color indexed="81"/>
            <rFont val="Tahoma"/>
            <family val="2"/>
          </rPr>
          <t>ANGELA MARCELA FORERO RUIZ:</t>
        </r>
        <r>
          <rPr>
            <sz val="9"/>
            <color indexed="81"/>
            <rFont val="Tahoma"/>
            <family val="2"/>
          </rPr>
          <t xml:space="preserve">
Incluir la localidad de las 20 mujeres certificadas</t>
        </r>
      </text>
    </comment>
    <comment ref="AW17" authorId="1" shapeId="0" xr:uid="{F7E854AF-E0F5-49ED-8B83-B52C0370E330}">
      <text>
        <r>
          <rPr>
            <b/>
            <sz val="9"/>
            <color rgb="FF000000"/>
            <rFont val="Tahoma"/>
            <family val="2"/>
          </rPr>
          <t>ANGELA MARCELA FORERO RUIZ:</t>
        </r>
        <r>
          <rPr>
            <sz val="9"/>
            <color rgb="FF000000"/>
            <rFont val="Tahoma"/>
            <family val="2"/>
          </rPr>
          <t xml:space="preserve">
</t>
        </r>
        <r>
          <rPr>
            <sz val="9"/>
            <color rgb="FF000000"/>
            <rFont val="Tahoma"/>
            <family val="2"/>
          </rPr>
          <t xml:space="preserve">Son 670 o 676 beneficiarias </t>
        </r>
      </text>
    </comment>
    <comment ref="AT19" authorId="1" shapeId="0" xr:uid="{6DFEEC34-79E9-4DC7-B029-7FBF92D76E24}">
      <text>
        <r>
          <rPr>
            <b/>
            <sz val="9"/>
            <color rgb="FF000000"/>
            <rFont val="Tahoma"/>
            <family val="2"/>
          </rPr>
          <t>ANGELA MARCELA FORERO RUIZ:</t>
        </r>
        <r>
          <rPr>
            <sz val="9"/>
            <color rgb="FF000000"/>
            <rFont val="Tahoma"/>
            <family val="2"/>
          </rPr>
          <t xml:space="preserve">
</t>
        </r>
        <r>
          <rPr>
            <sz val="9"/>
            <color rgb="FF000000"/>
            <rFont val="Tahoma"/>
            <family val="2"/>
          </rPr>
          <t>Revisar la formula dado que estan tomando el valor programado</t>
        </r>
      </text>
    </comment>
  </commentList>
</comments>
</file>

<file path=xl/sharedStrings.xml><?xml version="1.0" encoding="utf-8"?>
<sst xmlns="http://schemas.openxmlformats.org/spreadsheetml/2006/main" count="1958" uniqueCount="570">
  <si>
    <t>SECRETARÍA DISTRITAL DE LA MUJER</t>
  </si>
  <si>
    <t>Código: DE-FO-5</t>
  </si>
  <si>
    <t xml:space="preserve">DIRECCIONAMIENTO ESTRATEGICO </t>
  </si>
  <si>
    <t>Versión: 09</t>
  </si>
  <si>
    <t xml:space="preserve">FORMULACIÓN Y SEGUIMIENTO  PLAN DE ACCIÓN </t>
  </si>
  <si>
    <t>Fecha de Emisión: 10/01/2023</t>
  </si>
  <si>
    <t>Página 1 de 3</t>
  </si>
  <si>
    <t>PERIODO REPORTADO</t>
  </si>
  <si>
    <t>MAR</t>
  </si>
  <si>
    <t>FECHA DE REPORTE</t>
  </si>
  <si>
    <t>TIPO DE REPORTE</t>
  </si>
  <si>
    <t>FORMULACION</t>
  </si>
  <si>
    <t>ACTUALIZACION</t>
  </si>
  <si>
    <t>SEGUIMIENTO</t>
  </si>
  <si>
    <t>X</t>
  </si>
  <si>
    <t>NOMBRE DEL PROYECTO</t>
  </si>
  <si>
    <t>7718 - Implementación del Sistema Distrital de Cuidado</t>
  </si>
  <si>
    <t>PROPÓSITO</t>
  </si>
  <si>
    <t>Hacer un nuevo contrato social con igualdad de oportunidades para la inclusión social, productiva y política.</t>
  </si>
  <si>
    <t>LOGRO</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</si>
  <si>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</si>
  <si>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PROGRAMA</t>
  </si>
  <si>
    <t>Sistema Distrital de Cuidado</t>
  </si>
  <si>
    <t>DESCRIPCIÓN DE LA META (ACTIVIDAD MGA)</t>
  </si>
  <si>
    <t>Diseñar 1 documento de lineamientos técnicos para la formulación de las bases del sistema distrital de cuidado. (Objetivo 1) (Indicador 2. Meta PDD)</t>
  </si>
  <si>
    <t xml:space="preserve">MAGNITUD META VIGENCIA ACTUAL	</t>
  </si>
  <si>
    <t>PONDERACIÓN META (%)</t>
  </si>
  <si>
    <t>EJECUCIÓN PRESUPUESTAL DEL PROYECTO</t>
  </si>
  <si>
    <t>RESERVAS VIGENCIA ANTERIOR (en pesos, sin decimales)</t>
  </si>
  <si>
    <t>PRESUPUESTO ASIGNADO EN LA VIGENCIA ACTUAL (en pesos, sin decimales)</t>
  </si>
  <si>
    <t>ENE</t>
  </si>
  <si>
    <t>FEB</t>
  </si>
  <si>
    <t>ABR</t>
  </si>
  <si>
    <t>MAY</t>
  </si>
  <si>
    <t>JUN</t>
  </si>
  <si>
    <t>JUL</t>
  </si>
  <si>
    <t>AGO</t>
  </si>
  <si>
    <t>SEP</t>
  </si>
  <si>
    <t>OCT</t>
  </si>
  <si>
    <t>NOV</t>
  </si>
  <si>
    <t>DIC</t>
  </si>
  <si>
    <t>TOTAL</t>
  </si>
  <si>
    <t>AVANCE</t>
  </si>
  <si>
    <t>PROGRAMACION DE COMPROMISOS</t>
  </si>
  <si>
    <t>COMPROMISOS</t>
  </si>
  <si>
    <t>PROGRAMACION DE GIROS</t>
  </si>
  <si>
    <t>GIROS</t>
  </si>
  <si>
    <t xml:space="preserve">                                     -  </t>
  </si>
  <si>
    <t xml:space="preserve">                        -  </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</si>
  <si>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</si>
  <si>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</si>
  <si>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</si>
  <si>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</si>
  <si>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</si>
  <si>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t xml:space="preserve">1. Diseñar 1 documento de lineamientos técnicos para la formulación de las bases del sistema distrital de cuidado. </t>
  </si>
  <si>
    <t>REPORTE METAS VIGENCIA (Ejecución vigencia)</t>
  </si>
  <si>
    <t xml:space="preserve">DESCRIPCIÓN DE LA META (ACTIVIDAD) </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</si>
  <si>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</si>
  <si>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</si>
  <si>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</si>
  <si>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</si>
  <si>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</si>
  <si>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</si>
  <si>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</si>
  <si>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</si>
  <si>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Ejecución</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</si>
  <si>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</si>
  <si>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</si>
  <si>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</si>
  <si>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</si>
  <si>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</si>
  <si>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</si>
  <si>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</si>
  <si>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</si>
  <si>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</si>
  <si>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</si>
  <si>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</si>
  <si>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</si>
  <si>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</si>
  <si>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</si>
  <si>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</si>
  <si>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</si>
  <si>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</si>
  <si>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</si>
  <si>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</si>
  <si>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 xml:space="preserve">1. Socializar los lineamientos técnicos del Sistema Distrital de Cuidado con espacios e instancias de participación y ciudadanía en general. </t>
  </si>
  <si>
    <t>2. Hacer seguimiento a la implementación del Convenio 913 de 2021 cuyo objeto es "Aunar esfuerzos administrativos para la articulación de servicios intersectoriales en el marco del Sistema Distrital de Cuidado que garantice la prestación efectiva, oportuna, eficiente y eficaz de los servicios"</t>
  </si>
  <si>
    <t>*Incluir tantas filas sean necesarias</t>
  </si>
  <si>
    <t>DESCRIPCIÓN DE LA ACTIVIDAD</t>
  </si>
  <si>
    <t>Coordinar y articular 13 secretarías del nivel distrital para la implementación del sistema distrital de cuidado. (Objetivo 1) (Indicador 2. Meta PDD)</t>
  </si>
  <si>
    <t xml:space="preserve">               -  </t>
  </si>
  <si>
    <t xml:space="preserve">2. Coordinar y articular 13 secretarías del nivel distrital para la implementación del sistema distrital de cuidado. </t>
  </si>
  <si>
    <t>Retrasos y Alternativas de solución (1.000 caracteres)</t>
  </si>
  <si>
    <t xml:space="preserve">Las personas cuidadoras y las personas que requieren cuidado y apoyo cuentan con 17 manzanas de cuidado implementadas, con un aumento en la cobertura a través de los servicios intersectoriales que se prestan en cinco componentes: formación, bienestar/respiro, generación de ingresos, cuidado y transformación cultural. También pueden acceder a los buses del cuidado, los cuales garantizaron la prestación de los servicios intersectoriales en 3 zonas rurales de 3 localidades y en 3 zonas urbanas alejadas o donde no hay ubicadas manzanas del cuidado, en el marco del Ciclo VI, con recursos de la Administración Distrital, así como a ofertas que brindan servicios a personas cuidadoras, personas con discapacidad y mayores directamente en sus casas. </t>
  </si>
  <si>
    <t>3. Convocar y gestionar las sesiones de la Comisión Intersectorial del Sistema de Cuidado según lo establecido en el Decreto 237 de 2020</t>
  </si>
  <si>
    <t>4. Convocar y gestionar las sesiones de la Unidad Técnica de Apoyo de la Comisión Intersectorial del Sistema de Cuidado según lo establecido en el Decreto 237 de 2020</t>
  </si>
  <si>
    <t>5. Convocar y gestionar las sesiones del Mecanismo de Participación y Seguimiento de la Comisión Intersectorial del Sistema de Cuidado según lo establecido en el Decreto 237 de 2020</t>
  </si>
  <si>
    <t>N</t>
  </si>
  <si>
    <t>Gestionar 1 estrategia para la adecuación de infraestructura de manzanas de cuidado</t>
  </si>
  <si>
    <t xml:space="preserve">3. Gestionar 1 estrategia para la adecuación de infraestructura de manzanas de cuidado </t>
  </si>
  <si>
    <t>Durante el mes de marzo de 2023, se logró inaugurar la Manzana del Cuidado de Suba. Así mismo, se lograron llevar a cabo las acciones de articulación intersectorial requeridas para la concertación y aprobación de la ficha técnica que establece los servicios ofertados por el Distrito, en beneficio de las personas cuidadoras y de las personas que requieren cuidados en esta localidad.</t>
  </si>
  <si>
    <t xml:space="preserve">Con la inauguración de la Manzana el Cuidado de la localidad de Suba, Bogotá logró pasar de 16 a 17 Manzanas. </t>
  </si>
  <si>
    <t>Ninguno</t>
  </si>
  <si>
    <t>La inauguración de la Manzana del Cuidado de Suba ampliará significativamente la cobertura de atenciones y el posicionamiento de la estrategia territorial de las Manzanas del Cuidado, en beneficio de las personas cuidadoras y de las personas que requieren cuidados o altos niveles de apoyo en Bogotá.</t>
  </si>
  <si>
    <t xml:space="preserve">6. Implementar actividades de difusión del programa de Sistema de Cuidado con ciudadanía y actores territoriales </t>
  </si>
  <si>
    <t>7. Articular las acciones intersectoriales para la puesta en operación de cinco (5) manzanas del cuidado</t>
  </si>
  <si>
    <t>8. Convocar y gestionar las sesiones de las Mesas Locales de las Manzanas del Cuidado que se encuentran en funcionamiento</t>
  </si>
  <si>
    <t>Diseñar e implementar 1 estrategia de cuidado a cuidadoras</t>
  </si>
  <si>
    <t>4. Diseñar e implementar 1 estrategia de cuidado a cuidadoras</t>
  </si>
  <si>
    <t>9. Implementar el componente de formación para cuidadoras</t>
  </si>
  <si>
    <t xml:space="preserve">10. Implementar el componente de orientación psicojurídica para cuidadoras </t>
  </si>
  <si>
    <t xml:space="preserve">11. Implementar, monitorear y hacer seguimiento al Plan Integral de Acciones Afirmativas </t>
  </si>
  <si>
    <t>Diseñar 1 documento para la implementación de la estrategia pedagógica para la valoración, la resignificación, el reconocimiento y la redistribución del trabajo de cuidado no remunerado que realizan las mujeres en Bogotá</t>
  </si>
  <si>
    <t xml:space="preserve">5. Diseñar 1 documento para la implementación de la estrategia pedagógica para la valoración, la resignificación, el reconocimiento y la redistribución del trabajo de cuidado no remunerado que realizan las mujeres en Bogotá </t>
  </si>
  <si>
    <t xml:space="preserve">12. Diseñar, publicar y socializar una caja de herramientas de la Estrategia Pedagógica y de Cambio Cultural.  </t>
  </si>
  <si>
    <t>Implementar 1 estrategia para el reconocimiento y la redistribución del trabajo de cuidado no remunerado entre hombres y mujeres.</t>
  </si>
  <si>
    <t>6. Implementar 1 estrategia para el reconocimiento y la redistribución del trabajo de cuidado no remunerado entre hombres y mujeres.</t>
  </si>
  <si>
    <t>Durante el mes de marzo y, de acuerdo al informe de SIMISIONAL, se vincularon a talleres de Cambio Cultural a 587 personas, sin embargo, de estas personas solamente 542 fueron nuevos ingresos. De igual forma, en el reporte del mes de marzo no se evidenciaron dos talleres con 27 participantes.
Actualmente se presentan demoras en la contratación de la coordinadora de la RAC, no obstante, para no afectar significativamente el desarrollo de las acciones programadas, se distribuyó las responsabilidades en los lideres y talleristas del equipo de Cambio Cultural.</t>
  </si>
  <si>
    <t xml:space="preserve">13. Implementar los talleres de cambio cultural </t>
  </si>
  <si>
    <t>14. Implementar la Red de Alianzas del Cuidado</t>
  </si>
  <si>
    <t>15. Convocar y gestionar las sesiones de la Mesa de Transformación Cultural de la Unidad Técnica de Apoyo de la Comisión Intersectorial del Sistema de Cuidado</t>
  </si>
  <si>
    <t>Gestionar la implementación de 1 estrategia de unidades móviles de cuidado</t>
  </si>
  <si>
    <t> </t>
  </si>
  <si>
    <t>7. Gestionar la implementación de 1 estrategia de unidades móviles de cuidado</t>
  </si>
  <si>
    <t>Presencia del Sistema Distrital de Cuidado en zonas rurales y urbanas prestando servicios de formación, respiro, generación de ingresos y cuidado.</t>
  </si>
  <si>
    <t>16. Hacer seguimiento a la ejecución del Contrato No. 928 de 2022 cuyo objeto es: "Prestar los servicios requeridos para la operación y puesta en marcha de las Unidades Móviles en el marco de la implementación de la estrategia territorial del Sistema Distrital de Cuidado, de acuerdo con el anexo técnico"</t>
  </si>
  <si>
    <t>17. Convocar y gestionar las sesiones de las Mesa de Unidades Móviles de Servicios del Cuidado</t>
  </si>
  <si>
    <t>Código: DE-FO-05</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</si>
  <si>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</si>
  <si>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</si>
  <si>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</si>
  <si>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</si>
  <si>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</si>
  <si>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</si>
  <si>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</si>
  <si>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</si>
  <si>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</si>
  <si>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</si>
  <si>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</si>
  <si>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</si>
  <si>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</si>
  <si>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Avances y Logros (2.000 caracteres)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</si>
  <si>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</si>
  <si>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</si>
  <si>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</si>
  <si>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</si>
  <si>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FORMULACIÓN Y SEGUIMIENTO PLAN DE ACCIÓN</t>
  </si>
  <si>
    <t>Página 2 de 3</t>
  </si>
  <si>
    <t xml:space="preserve">PROGRAMACIÓN </t>
  </si>
  <si>
    <t>DESCRIPCIÓN CUALITATIVA DEL AVANCE MES</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</si>
  <si>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</si>
  <si>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</si>
  <si>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</si>
  <si>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</si>
  <si>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</si>
  <si>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</si>
  <si>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</si>
  <si>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</si>
  <si>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</si>
  <si>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</si>
  <si>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</si>
  <si>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</si>
  <si>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</si>
  <si>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</si>
  <si>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</si>
  <si>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</si>
  <si>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</si>
  <si>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</si>
  <si>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Meta sectorial</t>
  </si>
  <si>
    <t>Meta trazadora</t>
  </si>
  <si>
    <t>Meta estratégica</t>
  </si>
  <si>
    <t>PMR</t>
  </si>
  <si>
    <t xml:space="preserve"> De actividad  </t>
  </si>
  <si>
    <t>Otro</t>
  </si>
  <si>
    <t xml:space="preserve"> Proceso</t>
  </si>
  <si>
    <t>Planes Decreto 612</t>
  </si>
  <si>
    <t>MAGNITUD EJECUTADA</t>
  </si>
  <si>
    <t>AVANCE %</t>
  </si>
  <si>
    <t>Formular e implementar una estrategia pedagógica para la valoración, la resignificación, el reconocimiento y la redistribución del trabajo de cuidado no remunerado que realizan las mujeres en Bogotá</t>
  </si>
  <si>
    <t>Estrategia pedagógica para la valoración, la resignificación, el reconocimiento y la redistribución del trabajo de cuidado no remunerado implementada</t>
  </si>
  <si>
    <t>Creciente</t>
  </si>
  <si>
    <t>Estrategia</t>
  </si>
  <si>
    <t>Avance en la  implementación de la estrategia pedagógica para la valoración, la resignificación, el reconocimiento y la redistribución del trabajo de cuidado no remunerado que realizan las mujeres en Bogotá.</t>
  </si>
  <si>
    <t>Trimestral</t>
  </si>
  <si>
    <t xml:space="preserve">Documento consolidado del Sistema Distrital de Cuidado </t>
  </si>
  <si>
    <t>Formular las bases técnicas y coordinar la implementación del sistema distrital del cuidado</t>
  </si>
  <si>
    <t>Porcentaje de avance en la definición técnica y coordinación para la implementación del sistema distrital de cuidado</t>
  </si>
  <si>
    <t>Suma</t>
  </si>
  <si>
    <t>Porcentaje</t>
  </si>
  <si>
    <t>Avance en la construcción del documento de lineamientos técnicos para la formulación de las bases del Sistema Distrital de Cuidado y los resultados de articulación con las entidades distritales que hacen parte del sistema</t>
  </si>
  <si>
    <t>Gestionar la implementación, en la ciudad y la ruralidad, de la estrategia de manzanas del cuidado y unidades móviles de servicios del cuidado para las personas que requieren cuidado y para los y las cuidadoras de personas y animales domésticos</t>
  </si>
  <si>
    <t>Estrategias de manzanas del cuidado y unidades móviles de servicios del cuidado implementadas</t>
  </si>
  <si>
    <t>Avances en la implementación de 1a estrategia para la adecuación de infraestructura de manzanas de 
cuidado</t>
  </si>
  <si>
    <t>Informes de gestión de las manzanas y unidades de cuidado implementadas</t>
  </si>
  <si>
    <t>Gestión del Sistema Distrital de Cuidado</t>
  </si>
  <si>
    <t>Número de mujeres formadas en cuidados, en el marco de la estrategia cuidado a cuidadoras</t>
  </si>
  <si>
    <t>Mujeres formadas</t>
  </si>
  <si>
    <t>Mujeres únicas formadas (Incluye certificadas).</t>
  </si>
  <si>
    <t>Mensual</t>
  </si>
  <si>
    <t>SiMisional</t>
  </si>
  <si>
    <r>
      <t xml:space="preserve">Programación y realización de </t>
    </r>
    <r>
      <rPr>
        <b/>
        <sz val="11"/>
        <color theme="1"/>
        <rFont val="Times New Roman"/>
        <family val="1"/>
      </rPr>
      <t>17 cursos</t>
    </r>
    <r>
      <rPr>
        <sz val="11"/>
        <color theme="1"/>
        <rFont val="Times New Roman"/>
        <family val="1"/>
      </rPr>
      <t xml:space="preserve"> de Formación Complementaria para mujeres cuidadoras todos ellos en "Herramientas para cuidadoras en el reconocimiento de su trabajo de cuidado", programa de 10 horas cuyos contenidos fueron elaborados por la Universidad Nacional de Colombia en la vigencia 2021 y a los que se accede a través del Aula Virtual de la Secretaría Distrital de la Mujer con el apoyo de las tutoras territoriales vinculadas al Componente de Formación de la Estrategia Cuidado a Cuidadoras. El número total de </t>
    </r>
    <r>
      <rPr>
        <b/>
        <sz val="11"/>
        <color theme="1"/>
        <rFont val="Times New Roman"/>
        <family val="1"/>
      </rPr>
      <t>cuidadoras graduadas en el mes de marzo fue de 200</t>
    </r>
    <r>
      <rPr>
        <sz val="11"/>
        <color theme="1"/>
        <rFont val="Times New Roman"/>
        <family val="1"/>
      </rPr>
      <t>. La distribución por localidad de prestación del servicio expresa el siguiente comportamiento: Barrios Unidos: 18; Chapinero: 8; Engativá: 12; Fontibón: 15; La Candelaria: 6; Los Mártires: 15; Suba: 14; Usaquén: 3; Bosa: 10; Ciudad Bolívar Mochuelo: 15; Antonio Nariño: 24; Usme: 16; Kennedy: 27 y UM Rural: 17. 
En cuanto al proceso de Homologación de Saberes, se registraron 23 cuidadoras, de las cuales 20</t>
    </r>
    <r>
      <rPr>
        <b/>
        <sz val="11"/>
        <color theme="1"/>
        <rFont val="Times New Roman"/>
        <family val="1"/>
      </rPr>
      <t xml:space="preserve"> se certificaron</t>
    </r>
    <r>
      <rPr>
        <sz val="11"/>
        <color theme="1"/>
        <rFont val="Times New Roman"/>
        <family val="1"/>
      </rPr>
      <t xml:space="preserve"> en el mes de </t>
    </r>
    <r>
      <rPr>
        <b/>
        <sz val="11"/>
        <color theme="1"/>
        <rFont val="Times New Roman"/>
        <family val="1"/>
      </rPr>
      <t>marzo</t>
    </r>
    <r>
      <rPr>
        <sz val="11"/>
        <color theme="1"/>
        <rFont val="Times New Roman"/>
        <family val="1"/>
      </rPr>
      <t xml:space="preserve">. </t>
    </r>
  </si>
  <si>
    <t>Número de personas vinculadas a los talleres de cambio cultural</t>
  </si>
  <si>
    <t>Personas vinculadas</t>
  </si>
  <si>
    <t xml:space="preserve">Número de personas vinculadas en talleres presenciales y virtual de cambio cultural.  </t>
  </si>
  <si>
    <t>En el mes de marzo se implementaron 46 talleres de Cambio Cultural, a través de los cuales se vincularon 542 beneficiarias.</t>
  </si>
  <si>
    <t>Número de manzanas inauguradas</t>
  </si>
  <si>
    <t>Manzanas puestas en operación</t>
  </si>
  <si>
    <t>Número de manzanas del cuidado puestas en operación en Bogotá</t>
  </si>
  <si>
    <t>El 29 de marzo de 2023, fue inaugurada con éxito la Manzana del Cuidado de Suba, que representa la decimoséptima Manzana del Cuidado de Bogotá y la segunda inaugurada en 2023. Así mismo, se realizaron las acciones de articulación intersectorial requeridas para su apertura y puesta en operación, a saber, la concertación intersectorial del minuto a minuto de la inauguración y de la ficha técnica de la manzana que da cuenta de la oferta de servicios disponible por los sectores distritales para las personas cuidadoras y las personas que requieren cuidados o altos niveles de apoyo en la localidad de Suba.</t>
  </si>
  <si>
    <t/>
  </si>
  <si>
    <t>Implementar la estrategia territorial y los servicios que presta la Dirección del Sistema de Cuidado, así como liderar la coordinación intersectorial a nivel distrital.</t>
  </si>
  <si>
    <t xml:space="preserve">Porcentaje de cumplimiento de la programación para la implementación del Sistema Distrital de Cuidado durante la vigencia anual </t>
  </si>
  <si>
    <t xml:space="preserve">Constante </t>
  </si>
  <si>
    <t xml:space="preserve">Porcentaje </t>
  </si>
  <si>
    <t xml:space="preserve">Avance en la implementación del Sistema Distrital de Cuidado </t>
  </si>
  <si>
    <t xml:space="preserve">Matriz de programación mensual </t>
  </si>
  <si>
    <t xml:space="preserve">De acuerdo al componente territorial, se logro la inauguración de la Manzana del Cuidado 17. Con relación al componente de coordinación intersectorial, se llevo a cabo las sesiones con la comisión intersectorial junto con la unidad de apoyo técnico. Se pudo efectuar el taller de cambio cultural a 542 personas y prestó orientación psicosociales, jurídicas y psico jurídicas a 1357 personas. </t>
  </si>
  <si>
    <t>ELABORÓ</t>
  </si>
  <si>
    <t xml:space="preserve">Firma: </t>
  </si>
  <si>
    <t>APROBÓ (Según aplique Gerenta de proyecto, Lider técnica y responsable de proceso)</t>
  </si>
  <si>
    <t>Firma:</t>
  </si>
  <si>
    <t>REVISÓ OFICINA ASESORA DE PLANEACIÓN</t>
  </si>
  <si>
    <t xml:space="preserve">VoBo. </t>
  </si>
  <si>
    <t>Nombre:  Jacqueline Marín Pérez</t>
  </si>
  <si>
    <t>Nombre: Luz Angela Ramirez Salgado</t>
  </si>
  <si>
    <t xml:space="preserve">Nombre: Diana María Parra Romero </t>
  </si>
  <si>
    <t>Nombre:</t>
  </si>
  <si>
    <t>Nombre: Catalina Campos Romero</t>
  </si>
  <si>
    <t>Cargo:  Profesional Universitario</t>
  </si>
  <si>
    <t>Cargo: Directora del Sistema de Cuidado (E)</t>
  </si>
  <si>
    <t xml:space="preserve">Cargo:  Subsecretaría del Cuidado y Políticas de Igualdad </t>
  </si>
  <si>
    <t xml:space="preserve">Cargo: </t>
  </si>
  <si>
    <t>Cargo: Jefa Oficina Asesora de Planeación</t>
  </si>
  <si>
    <t xml:space="preserve">FORMULACIÓN Y SEGUIMIENTO PLAN DE ACCIÓN </t>
  </si>
  <si>
    <t>ANEXO - TERRITORIALIZACIÓN</t>
  </si>
  <si>
    <t>Página 3 de 3</t>
  </si>
  <si>
    <t xml:space="preserve">SEGUIMIENTO </t>
  </si>
  <si>
    <t>PERIODO DE REPORTE:</t>
  </si>
  <si>
    <t>INDICADOR / META:</t>
  </si>
  <si>
    <t>Número de mujeres formadas en cuidados, en el marco de la Estrategia de Cuidado a Cuidadoras. La meta para el año 2023 son 4.000 cuidadoras</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</si>
  <si>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</si>
  <si>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</si>
  <si>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</si>
  <si>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</si>
  <si>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</si>
  <si>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</si>
  <si>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</si>
  <si>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</si>
  <si>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</si>
  <si>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</si>
  <si>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</si>
  <si>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</si>
  <si>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</si>
  <si>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</si>
  <si>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</si>
  <si>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</si>
  <si>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</si>
  <si>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</si>
  <si>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</si>
  <si>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</si>
  <si>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</si>
  <si>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</si>
  <si>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</si>
  <si>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</si>
  <si>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</si>
  <si>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</si>
  <si>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</si>
  <si>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</si>
  <si>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</si>
  <si>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</si>
  <si>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</si>
  <si>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</si>
  <si>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</si>
  <si>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</si>
  <si>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</si>
  <si>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</si>
  <si>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</si>
  <si>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</si>
  <si>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</si>
  <si>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</si>
  <si>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 xml:space="preserve">Número de personas vinculadas a los talleres de cambio cultural. La meta para el año 2023 son 5.000 ciudadanas y ciudadanos
(Criterio de territorialización para este indicador: Se toma el territorio donde se desarrolló el taller de cambio cultural, para aquellos que no reportan localidad, se reportará en Bogotá Distrito Capital. </t>
  </si>
  <si>
    <t>PESTAÑA No. 1 METAS PA PROYECTO</t>
  </si>
  <si>
    <t>ITEM</t>
  </si>
  <si>
    <t xml:space="preserve">DESCRIPCIÓN </t>
  </si>
  <si>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</si>
  <si>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vez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</si>
  <si>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</si>
  <si>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</si>
  <si>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</si>
  <si>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</si>
  <si>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</si>
  <si>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</si>
  <si>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</si>
  <si>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</si>
  <si>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</si>
  <si>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</si>
  <si>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</si>
  <si>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</si>
  <si>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</si>
  <si>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PESTAÑA No. 2 INDICADORES PA</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</si>
  <si>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</si>
  <si>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</si>
  <si>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</si>
  <si>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</si>
  <si>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</si>
  <si>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</si>
  <si>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</si>
  <si>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</si>
  <si>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</si>
  <si>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</si>
  <si>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Este campo solo aplica para los planes relacionados con el Decreto 612.</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</si>
  <si>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</si>
  <si>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</si>
  <si>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</si>
  <si>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</si>
  <si>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</si>
  <si>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</si>
  <si>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t xml:space="preserve">En este campo se debe relacionar la meta programada de acuerdo al indicador formulado Parámetro de referencia para determinar la magnitud. </t>
    </r>
    <r>
      <rPr>
        <i/>
        <sz val="11"/>
        <rFont val="Times New Roman"/>
        <family val="1"/>
      </rPr>
      <t>Ejemplo: 600, 100, 4.000.</t>
    </r>
  </si>
  <si>
    <t>UNIDAD DE MEDIDA</t>
  </si>
  <si>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</si>
  <si>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</si>
  <si>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rPr>
        <sz val="11"/>
        <color rgb="FF000000"/>
        <rFont val="Times New Roman"/>
        <family val="1"/>
      </rPr>
      <t xml:space="preserve">En este campo se debe diligenciar:
</t>
    </r>
    <r>
      <rPr>
        <b/>
        <sz val="11"/>
        <color rgb="FF000000"/>
        <rFont val="Times New Roman"/>
        <family val="1"/>
      </rPr>
      <t xml:space="preserve">1.La descripción detallada de la medición del indicador.
</t>
    </r>
    <r>
      <rPr>
        <i/>
        <sz val="11"/>
        <color rgb="FF000000"/>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color rgb="FF000000"/>
        <rFont val="Times New Roman"/>
        <family val="1"/>
      </rPr>
      <t xml:space="preserve">2.La representación matemática del cálculo del indicador.
</t>
    </r>
    <r>
      <rPr>
        <i/>
        <sz val="11"/>
        <color rgb="FF000000"/>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</si>
  <si>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</si>
  <si>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</si>
  <si>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</si>
  <si>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</si>
  <si>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</si>
  <si>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</si>
  <si>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</si>
  <si>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</si>
  <si>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SEGUIMIENTO TOTAL</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</si>
  <si>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</si>
  <si>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el avance mensual del indicador.</t>
  </si>
  <si>
    <t>DESCRIPCIÓN CUALITATIVA DEL AVANCE ACUMULADA</t>
  </si>
  <si>
    <t>En este campo se debe registrar el avance del indicador a la fecha del reporte de forma acumulada e integrada.</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</si>
  <si>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</si>
  <si>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</si>
  <si>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</si>
  <si>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</si>
  <si>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</si>
  <si>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</si>
  <si>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</si>
  <si>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</si>
  <si>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</si>
  <si>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</si>
  <si>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</si>
  <si>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</si>
  <si>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</si>
  <si>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</si>
  <si>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</si>
  <si>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</si>
  <si>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</si>
  <si>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</si>
  <si>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</si>
  <si>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</si>
  <si>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</si>
  <si>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</si>
  <si>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</si>
  <si>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</si>
  <si>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</si>
  <si>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</si>
  <si>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</si>
  <si>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</si>
  <si>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</si>
  <si>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</si>
  <si>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</si>
  <si>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</si>
  <si>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</si>
  <si>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</si>
  <si>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</si>
  <si>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</si>
  <si>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</si>
  <si>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</si>
  <si>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</si>
  <si>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</si>
  <si>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</si>
  <si>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</si>
  <si>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</si>
  <si>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</si>
  <si>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</si>
  <si>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</si>
  <si>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</si>
  <si>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</si>
  <si>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</si>
  <si>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</si>
  <si>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</si>
  <si>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</si>
  <si>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</si>
  <si>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</si>
  <si>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</si>
  <si>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</si>
  <si>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</si>
  <si>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</si>
  <si>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</si>
  <si>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</si>
  <si>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</si>
  <si>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</si>
  <si>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</si>
  <si>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</si>
  <si>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</si>
  <si>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</si>
  <si>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</si>
  <si>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</si>
  <si>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</si>
  <si>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</si>
  <si>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</si>
  <si>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</si>
  <si>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</si>
  <si>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</si>
  <si>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</si>
  <si>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</si>
  <si>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</si>
  <si>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</si>
  <si>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</si>
  <si>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</si>
  <si>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</si>
  <si>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</si>
  <si>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</si>
  <si>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</si>
  <si>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</si>
  <si>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</si>
  <si>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</si>
  <si>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</si>
  <si>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</si>
  <si>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</si>
  <si>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</si>
  <si>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</si>
  <si>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</si>
  <si>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</si>
  <si>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</si>
  <si>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</si>
  <si>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</si>
  <si>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</si>
  <si>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</si>
  <si>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</si>
  <si>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</si>
  <si>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</si>
  <si>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</si>
  <si>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</si>
  <si>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</si>
  <si>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</si>
  <si>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</si>
  <si>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</si>
  <si>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</si>
  <si>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</si>
  <si>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</si>
  <si>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</si>
  <si>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</si>
  <si>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</si>
  <si>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</si>
  <si>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</si>
  <si>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</si>
  <si>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</si>
  <si>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</si>
  <si>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</si>
  <si>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</si>
  <si>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</si>
  <si>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</si>
  <si>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</si>
  <si>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</si>
  <si>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</si>
  <si>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</si>
  <si>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</si>
  <si>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</si>
  <si>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</si>
  <si>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</si>
  <si>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</si>
  <si>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</si>
  <si>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</si>
  <si>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</si>
  <si>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</si>
  <si>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</si>
  <si>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</si>
  <si>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</si>
  <si>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</si>
  <si>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</si>
  <si>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</si>
  <si>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</si>
  <si>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</si>
  <si>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</si>
  <si>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</si>
  <si>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</si>
  <si>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</si>
  <si>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</si>
  <si>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</si>
  <si>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</si>
  <si>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</si>
  <si>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</si>
  <si>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</si>
  <si>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</si>
  <si>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</si>
  <si>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</si>
  <si>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</si>
  <si>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</si>
  <si>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</si>
  <si>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</si>
  <si>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</si>
  <si>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</si>
  <si>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</si>
  <si>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</si>
  <si>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</si>
  <si>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</si>
  <si>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</si>
  <si>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</si>
  <si>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</si>
  <si>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</si>
  <si>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</si>
  <si>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</si>
  <si>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</si>
  <si>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</si>
  <si>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</si>
  <si>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</si>
  <si>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</si>
  <si>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</si>
  <si>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</si>
  <si>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</si>
  <si>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</si>
  <si>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</si>
  <si>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t>Se articularon 14 entidades del Sector Central, 6 entidades del Sector Descentralizado Adscritas, 1 entidad del Sector Descentralizado Territorialmente y la Alcaldía Mayor de Bogotá en dos (2) sesiones de la Unidad Técnica de Apoyo, una ordinaria (17 de marzo) y otra extraordinaria (27 de marzo). En estas se coordinó y definió la inauguración de la Manzana del Cuidado de la localidad de Suba. Por otra parte, se realizó una sesión de la Mesa de Relevos Domiciliarios (28 de marzo), y una sesión ordinaria (30 de marzo) del Mecanismo de Participación y Seguimiento, donde se contó con la participación de 6 de las 10 instancias y representaciones de la ciudadanía, así como de las Secretarías de 7 Sectores. Así las cosas, se cumplió con lo establecido en el Decreto 237 de 2020 en aras de coordinar, articular y hacer la gestión intersectorial de las entidades que hacen parte del Sistema Distrital de Cuidado para definirlo, implementarlo y hacerle seguimiento.</t>
  </si>
  <si>
    <t xml:space="preserve">En el marco de la estrategia para la adecuación de infraestructura de manzanas de cuidado en la ciudad de Bogotá, con la inauguración de la Manzana el Cuidado de la localidad de Suba, se logró pasar de 16 a 17 Manzanas de Cuidado. </t>
  </si>
  <si>
    <t>En el marco de diseñar un documento que abarque la implementación de la estrategia pedagógica para la valoración, la resignificación, el reconocimiento y la redistribución del trabajo de cuidado no remunerado que realizan las mujeres en Bogotá, en el mes de marzo se continuo con las actividades requeridas dentro del diseño de la caja de herramientas de la Estrategia Pedagógica y de Cambio Cultural, logrando así la elaboración de la primera versión del documento “Caja de herramientas EPCC”.</t>
  </si>
  <si>
    <t xml:space="preserve">Durante el primer trimestre, con relación al proceso de diseño y  socialización de la caja de herramientas de la estrategia pedagógica de cambio cultural, se avanzó en la construcción de dos documentos metodológicos, los cuales están dirigidos a aportar a los beneficiarios del programa "A cuidar se aprende", versión familias. También, se elaboró la primera versión del documento “Caja de herramientas EPCC”.	</t>
  </si>
  <si>
    <t xml:space="preserve">En el mes de marzo se logró beneficiar a 542 personas en los talleres de cambio cultural. Adicionalmente, se realizó la actualización y ajuste del documento “Estrategia de conformación y fortalecimiento de la red de alianzas del cuidado - RAC” y se llevo a cabo la primera Mesa Técnica de Transformación Cultural del 2023.
</t>
  </si>
  <si>
    <t xml:space="preserve">DIRECCIONAMIENTO ESTRATÉGICO </t>
  </si>
  <si>
    <t>FORMULACIÓN</t>
  </si>
  <si>
    <t>ACTUALIZACIÓN</t>
  </si>
  <si>
    <t>PROGRAMACIÓN DE COMPROMISOS</t>
  </si>
  <si>
    <t>PROGRAMACIÓN DE GIROS</t>
  </si>
  <si>
    <r>
      <t xml:space="preserve">En el mes de </t>
    </r>
    <r>
      <rPr>
        <b/>
        <sz val="11"/>
        <color theme="1"/>
        <rFont val="Times New Roman"/>
        <family val="1"/>
      </rPr>
      <t>marzo de 2023</t>
    </r>
    <r>
      <rPr>
        <sz val="11"/>
        <color theme="1"/>
        <rFont val="Times New Roman"/>
        <family val="1"/>
      </rPr>
      <t xml:space="preserve"> se obtuvieron los siguientes logros en el proceso de formación de la Estrategia Cuidado a Cuidadoras: 
</t>
    </r>
    <r>
      <rPr>
        <b/>
        <sz val="11"/>
        <color theme="1"/>
        <rFont val="Times New Roman"/>
        <family val="1"/>
      </rPr>
      <t xml:space="preserve">Formación Complementaria: </t>
    </r>
    <r>
      <rPr>
        <sz val="11"/>
        <color theme="1"/>
        <rFont val="Times New Roman"/>
        <family val="1"/>
      </rPr>
      <t xml:space="preserve">200 cuidadoras graduadas. 
</t>
    </r>
    <r>
      <rPr>
        <b/>
        <sz val="11"/>
        <color theme="1"/>
        <rFont val="Times New Roman"/>
        <family val="1"/>
      </rPr>
      <t xml:space="preserve">Homologación de Saberes: </t>
    </r>
    <r>
      <rPr>
        <sz val="11"/>
        <color theme="1"/>
        <rFont val="Times New Roman"/>
        <family val="1"/>
      </rPr>
      <t xml:space="preserve">20 cuidadoras certificadas.
</t>
    </r>
    <r>
      <rPr>
        <b/>
        <sz val="11"/>
        <color theme="1"/>
        <rFont val="Times New Roman"/>
        <family val="1"/>
      </rPr>
      <t xml:space="preserve">Atención Espacios Respiros: </t>
    </r>
    <r>
      <rPr>
        <sz val="11"/>
        <color theme="1"/>
        <rFont val="Times New Roman"/>
        <family val="1"/>
      </rPr>
      <t xml:space="preserve">36 atenciones.
</t>
    </r>
    <r>
      <rPr>
        <b/>
        <sz val="11"/>
        <color theme="1"/>
        <rFont val="Times New Roman"/>
        <family val="1"/>
      </rPr>
      <t>Orientación y asesoría psico jurídica</t>
    </r>
    <r>
      <rPr>
        <sz val="11"/>
        <color theme="1"/>
        <rFont val="Times New Roman"/>
        <family val="1"/>
      </rPr>
      <t xml:space="preserve">: 1.357 cuidadoras (660 atención jurídica y 697 atención psicosociales).	
 </t>
    </r>
  </si>
  <si>
    <t>Las cuidadoras apropian contenidos orientados al reconocimiento de su trabajo de cuidado y avanzan en el manejo de las tecnologías de información a través de la Estrategia de Cuidado a Cuidadoras. Adicionalmente, disfrutan de la gestión de espacios de desconexión  o descanso, ofrecidos por sectores corresponsables con el SIDICU en el marco de los procesos de coordinación territorial con expresión en la oferta de las Manzanas del Cuidado.</t>
  </si>
  <si>
    <t>Durante el mes de marzo se desarrollaron las siguientes actividades: 1. Inauguración del Bus del Cuidado Urbano en la localidad de Engativá, con la presencia de comunidad beneficiada, alcaldía local y las secretaria que prestan servicios en el Bus del Cuidado.
2. Implementación de los servicios estabilizados para la estrategia territorial por parte de las secretaria de Educación, Integración Social, Salud, Desarrollo Económico, Mujer e IDRD
3. Incorporación del servicio "Taller educación financiera para la adquisición de vivienda" de la Secretaria Distrital de Hábitat en los puntos de las localidades de Usme, Suba y San Cristóbal.
4. Inicio de Formación Complementaria en alianza con el SENA con "Curso de Ofimática general. World, excel e internet" en las localizaciones de Usme, Usaquén, San Cristóbal y Engativá</t>
  </si>
  <si>
    <t>Desde el 16 de enero 2023 a la fecha se han prestado los servicios en el marco del Ciclo IV  de Unidades Móviles en seis zonas de la ciudad.</t>
  </si>
  <si>
    <t xml:space="preserve">En el mes de marzo los avances fueron:
1) se presentó la primera versión del documento “Caja de herramientas EPCC”.
2) 542 beneficiarias de los talleres de cambio cultural. 
3) Actualización y ajuste del documento “Estrategia de conformación y fortalecimiento de la red de alianzas del cuidado - RAC”. 
4) Realización de la primera Mesa Técnica de Transformación Cultural del 2023.
</t>
  </si>
  <si>
    <t xml:space="preserve">En el primer trimestre con relación al proceso de diseño y de socialización de una caja de herramientas de la estrategia pedagógica de cambio cultural, se avanzó en la construcción de dos documentos metodológicos, los cuales están dirigidos a aportar a los beneficiarios del programa "A cuidar se aprende", versión familias. También, se elaboró la primera versión del documento “Caja de herramientas EPCC”.	
Por otro lado, se han beneficiado a 670 personas con los talleres de cambio cultural. Rastreo y organización documentos RAC, actualización y ajuste del documento “Estrategia de conformación y fortalecimiento de la red de alianzas del cuidado - RAC”. Realización de la primera Mesa Técnica de Transformación Cultural del 2023.
</t>
  </si>
  <si>
    <t>Durante el mes de marzo de 2023 se realizaron cinco jornadas de socialización del Sistema Distrital de Cuidado y sus lineamientos técnicos. La primera sesión ordinaria trimestral de la Mesa Intersectorial de Seguimiento al Convenio Marco Interadministrativo 913 de 2021. La suscripción de los Anexos I y II del Convenio Marco Interadministrativo 913 de 2021 para la Manzana del Cuidado de Suba. Se articularon 14 entidades del Sector Central, 6 entidades del Sector Descentralizado Adscritas, 1 entidad del Sector Descentralizado Territorialmente y la Alcaldía Mayor de Bogotá en dos (2) sesiones de la Unidad Técnica de Apoyo, una ordinaria (17 de marzo) y otra extraordinaria (27 de marzo), donde se coordinó y definió lo pertinente para la inauguración de la Manzana del Cuidado de Suba; una (1) sesión de la Mesa de Relevos Domiciliarios (28 de marzo), y una (1) sesión ordinaria (30 de marzo) del Mecanismo de Participación y Seguimiento, donde se contó con la participación de 6 de las 10 instancias y representaciones de la ciudadanía, así como de las Secretarías de 7 Sectores, de tal manera que se cumplió con lo establecido en el Decreto 237 de 2020 en aras de coordinar, articular y hacer la gestión intersectorial de las entidades que hacen parte del Sistema Distrital de Cuidado para definirlo, implementarlo y hacerle seguimiento.</t>
  </si>
  <si>
    <t xml:space="preserve">Durante el mes de marzo de 2023, se logró inaugurar la Manzana del Cuidado de Suba. Así mismo, se lograron llevar a cabo las acciones de articulación intersectorial requeridas para la concertación y aprobación de la ficha técnica que establece los servicios ofertados por el Distrito, en beneficio de las personas cuidadoras y de las personas que requieren cuidados en esta localidad. En el mes de marzo de 2023 se obtuvieron los siguientes logros en el proceso de formación de la Estrategia Cuidado a Cuidadoras:  Formación Complementaria: 200 cuidadoras graduadas. Homologación de Saberes: 20 cuidadoras certificadas. Atención Espacios Respiros: 36 atenciones.  Orientación y asesoría psico jurídica: 1.357 cuidadoras (660 atención jurídica y 697 atención psicosociales).	</t>
  </si>
  <si>
    <t>Con la inauguración de la Manzana el Cuidado de la localidad de Suba, Bogotá logró pasar de 16 a 17 Manzanas. Con la implementación del proceso de formación de la Estrategia Cuidado a Cuidadoras, en lo corrido de la vigencia 2023 se han desarrollado 17 cursos de formación complementaria graduando a 200 mujeres en "Herramientas para Cuidadoras en el Reconocimiento de su Trabajo de Cuidado" a través del Aula Virtual de la Mujer. Se cuenta con el apoyo de 19 tutoras en todas las localidades del Distrito Capital. La distribución de las cuidadoras graduadas según localidad, es la siguiente: Barrios Unidos: 18; Chapinero:8; Engativá:12; Fontibón:15; La Candelaria:6; Los Mártires:15; Suba:14; Usaquén: 3; Bosa:10; Ciudad Bolívar Mochuelo:15; Antonio Nariño:24; Usme:16; Kennedy:27  y UM Rural: 17. Respecto de los procesos de Homologación de Saberes, el acumulado de la vigencia 2023 es de 20 cuidadoras certificadas en el Distrito Capital a través de 1 grupo conformado desde el mes de febrero. En el marco de los procesos realizados por el SIDICU en la vigencia referida al reporte, se han beneficiado del servicio de orientación y asesoría psico jurídica a: 1.462 cuidadoras  
Respecto de los espacios respiro adelantados en el periodo de referencia, se ha logrado la realización de 2, con participación de 36 cuidadoras pertenecientes a las comunidades étnicas Afro y Negras así como a pueblos indígenas (Consultivo 612 de 2015). Las atenciones registradas en el marco del desarrollo del Plan Integral de Acciones Afirmativas ascienden a las ya mencionadas 36.</t>
  </si>
  <si>
    <r>
      <t>Con la implementación del proceso de formación de la Estrategia Cuidado a Cuidadoras, en lo corrido de la vigencia 2023 se han desarrollado</t>
    </r>
    <r>
      <rPr>
        <b/>
        <sz val="11"/>
        <color theme="1"/>
        <rFont val="Times New Roman"/>
        <family val="1"/>
      </rPr>
      <t xml:space="preserve"> 17 cursos </t>
    </r>
    <r>
      <rPr>
        <sz val="11"/>
        <color theme="1"/>
        <rFont val="Times New Roman"/>
        <family val="1"/>
      </rPr>
      <t xml:space="preserve">de formación complementaria </t>
    </r>
    <r>
      <rPr>
        <b/>
        <sz val="11"/>
        <color theme="1"/>
        <rFont val="Times New Roman"/>
        <family val="1"/>
      </rPr>
      <t>graduando a 200 mujeres</t>
    </r>
    <r>
      <rPr>
        <sz val="11"/>
        <color theme="1"/>
        <rFont val="Times New Roman"/>
        <family val="1"/>
      </rPr>
      <t xml:space="preserve"> en "Herramientas para Cuidadoras en el Reconocimiento de su Trabajo de Cuidado" a través del Aula Virtual de la Mujer. Se cuenta con el apoyo de 19 tutoras en todas las localidades del Distrito Capital. 
La distribución de las cuidadoras graduadas según localidad, es la siguiente: Barrios Unidos: 18; Chapinero: 8; Engativá: 12; Fontibón: 15; La Candelaria: 6; Los Mártires: 15; Suba: 14; Usaquén: 3; Bosa: 10; Ciudad Bolívar Mochuelo: 15; Antonio Nariño: 24; Usme: 16; Kennedy: 27 y UM Rural: 17.
Respecto de los procesos de Homologación de Saberes, el acumulado de la vigencia 2023 es de 20</t>
    </r>
    <r>
      <rPr>
        <b/>
        <sz val="11"/>
        <color theme="1"/>
        <rFont val="Times New Roman"/>
        <family val="1"/>
      </rPr>
      <t xml:space="preserve"> cuidadoras certificadas </t>
    </r>
    <r>
      <rPr>
        <sz val="11"/>
        <color theme="1"/>
        <rFont val="Times New Roman"/>
        <family val="1"/>
      </rPr>
      <t>en el Distrito Capital a través de 1 grupo conformado por una de las Evaluadoras Certificadoras de la Mujer.</t>
    </r>
  </si>
  <si>
    <t>Durante el mes de marzo se realizaron cinco jornadas de socialización del Sistema Distrital de Cuidado y sus lineamientos técnicos. Por otra parte, se realizó la primera sesión ordinaria trimestral de la Mesa Intersectorial de Seguimiento al Convenio Interadministrativo 913 de 2021 y se suscribieron los anexos I y II del Convenio 913 de 2021de acuerdo a la apertura de la Manzana del Cuidado en la localidad de Suba.</t>
  </si>
  <si>
    <t>La socialización de los lineamientos técnicos del Sistema Distrital de Cuidado; además de contribuir al posicionamiento del Sistema de Cuidado como un referente imprescindible de política innovadora a nivel Distrital, Nacional e Internacional; impulsa la difusión de sus principales desarrollos y servicios entre la ciudadanía y actores estratégicos estatales y no estatales, de modo que aporta a la ampliación de la cobertura y a la armonización de las políticas sociales de las entidades publicas en torno a las necesidades de las personas cuidadoras de la capital.</t>
  </si>
  <si>
    <t>Durante el primer trimestre de 2023, se ha logrado mantener la articulación de las entidades de la Administración Distrital y así se avanzó en la implementación y seguimiento de Sistema Distrital de Cuidado, tanto a nivel distrital como territorial. En este sentido, se inauguró la Manzana del Cuidado de Suba el 29 de marzo, lo que da como balance, 17 manzana del cuidado inaugurada desde el año 2020. Adicionalmente, se están implementando el Ciclo IV de los buses del cuidado urbano y rural en 6 localidades, 3 zonas urbanas y 3 zonas rurales, y dos proyectos/programas de asistencia domiciliaria. Por otra parte, se ha continuado en la implementación del Decreto 237 de 2020 "Por medio del cual se crea la Comisión Intersectorial del Sistema Distrital de Cuidado" y del Acuerdo 001 de 2020 "Por el cual se adopta el Reglamento Interno de la Comisión Intersectorial del Sistema Distrital de Cuidado", así como de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</si>
  <si>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 xml:space="preserve">En lo referente a gestionar una estrategia para la adecuación de infraestructura de manzanas de cuidado , durante el primer trimestre del 2023 no se han presentado dificultades que alteren la mormal ejecución de esta meta.			
			</t>
  </si>
  <si>
    <t>En lo referente a la coordinación y articulación con las 13 secretarías del nivel distrital para garantizar la continuidad e implementación del sistema distrital de cuidado, durante el primer trimestre del 2023 no se han presentado dificultades que alteren la mormal ejecución de esta meta.</t>
  </si>
  <si>
    <t xml:space="preserve">En lo referente a diseñar e implementar una estrategia de cuidado a cuidadoras, durante el primer trimestre del 2023 no se han presentado dificultades que alteren la mormal ejecución de esta meta.			
			</t>
  </si>
  <si>
    <t xml:space="preserve">En lo referente a diseñar un documento para la implementación de la estrategia pedagógica para la valoración, la resignificación, el reconocimiento y la redistribución del trabajo de cuidado no remunerado que realizan las mujeres en Bogotá, durante el primer trimestre del 2023 no se han presentado dificultades que alteren la mormal ejecución de esta meta.			
			</t>
  </si>
  <si>
    <t xml:space="preserve">En lo referente a gestionar la implementación de una estrategia de unidades móviles de cuidado, durante el primer trimestre del 2023 no se han presentado dificultades que alteren la mormal ejecución de esta meta.			
			</t>
  </si>
  <si>
    <t>Durante los meses de enero a marzo de 2023 se avanzó en:  
1) La retroalimentación del documento “Desarrollo técnico del Sistema Distrital de Cuidado”, entregado por el equipo consultor de la Fundación Barco – Open Society Fundación en diciembre de 2022.  
2) La actualización de las delegaciones a la Unidad Técnica de Apoyo de la Comisión intersectorial del Sistema Distrital de Cuidado para retomar el funcionamiento de la Mesa Intersectorial de Seguimiento al Convenio Marco Interadministrativo 913 de 2021.
3) La publicación en SECOP II del Anexo Técnico II de la Manzana del Cuidado de Ciudad Bolívar - Manitas, correspondiente al Acuerdo de Coordinación con el Instituto Distrital para las Artes y la Secretaría General.
4) La suscripción de los Anexos I y II del Convenio Marco Interadministrativo 913 de 2021 para la Manzana del Cuidado de Suba.
5) La terminación anticipada del Convenio 725 de 2020, con el objetivo de adoptar dentro del Convenio Marco Interadministrativo 913 de 2021 el funcionamiento de las Manzanas del Cuidado de: Bosa - Porvenir, San Cristóbal - San Blas y Usme - Julio César Sánchez.
6) Se realizaron las jornadas de socialización del Sistema Distrital de Cuidado y sus lineamientos técnicos.</t>
  </si>
  <si>
    <t>En lo referente a diseñar un documento de lineamientos técnicos para la formulación de las bases del sistema distrital de cuidado, durante el primer trimestre del 2023 no se han presentado dificultades que alteren la mormal ejecución de esta meta.</t>
  </si>
  <si>
    <t xml:space="preserve">De acuerdo al componente territorial, se mantiene el funcionamiento de las dos unidades móviles y se logro la inauguración de la Manzana del Cuidado 17. Con relación al componente de coordinación intersectorial, se llevo a cabo las sesiones con la comisión intersectorial junto con la unidad de apoyo técnico. se logra ejecutar mas de lo programado, generando cumplimiento del 198%. a su vez en el marco de la actividad asociada a las Orientaciones Psicosociales, Jurídicas y psico jurídicas estas para el mes de marzo presentaron una ejecución significativa versus la programación estimada lo que con llevo a que en términos generales el desarrollo de los 3 componente logre un avance del 198% y en lo corrido del año, se evidencia un cumplimento promedio del 92,6% en la programación para la implementación del Sistema Distrital de Cuidado durante la vigencia anual </t>
  </si>
  <si>
    <t>Durante el mes de marzo de 2023 se realizaron cinco jornadas de socialización del Sistema Distrital de Cuidado y sus lineamientos técnicos:
1) 04-03-2023: Sensibilización a contratistas del Instituto Distrital de Recreación y Deporte (IDRD).
2) 22-03-2023: Intervención en la sesión de la Junta Administradora Local (JAL) de Puente Aranda.
3) 27-03-2023: Intercambio con la Honorable Senadora (H.S.) Andrea Padilla Villarraga y activistas animalistas para promover la inclusión de personas cuidadoras de animales no humanos en el Sistema Distrital de Cuidado.
4) 28-03-2023: Intercambio con el equipo consultor de la Dirección de Género y Diversidad del Banco Interamericano de Desarrollo (BID) para su investigación sobre personas con discapacidad (PcD) en el Sistema Distrital de Cuidado (SIDICU).
5) 29-03-2023: Participación en la mesa de trabajo citada por la Unidad de Apoyo Normativo (UAN) de la Honorable Concejala (H.C.) Heidy Sánchez Barreto sobre el Proyecto de Acuerdo (PA) 040 de 2023.
Sumado a lo anterior, el balance durante el primer trimestre del 2023, es la realización de 7 jornadas de socialización de los lineamientos técnicos del Sistema.</t>
  </si>
  <si>
    <t>Durante el mes de marzo de 2023, en el marco del seguimiento al convenio interadministrativo 913 de 21021, se realizaron las siguientes actividades: 
1) La primera sesión ordinaria trimestral de la Mesa Intersectorial de Seguimiento al Convenio Marco Interadministrativo 913 de 2021.
2) La suscripción de los Anexos I y II adhesión al Convenio Marco Interadministrativo 913 de 2021 para la Manzana del Cuidado de Suba.
3) Se proyectó el Anexo II para la manzana de cuidado ubicada en la localidad de Chapinero, en la cual con la infraestructura ancla es el Centro de Desarrollo Comunitario Titos Garzón, el cual administra la Secretaría Distrital de Integración Social.
4) Se realizó la cuarta mesa de seguimiento y la primera de la vigencia 2023 al convenio 913-2021. En esta se realizó la verificación de los pendientes derivados de la suscripción del Anexo 2 y las inquietudes en relación a la ejecución del convenio.  
Sumado a lo anterior, el balance durante el primer trimestre del 2023 se logró la terminación anticipada del Convenio interadministrativo 725 de 2020</t>
  </si>
  <si>
    <t xml:space="preserve">De acuerdo con lo establecido en el Decreto 237 de 2020, en el artículo 7: "La Comisión se reunirá ordinariamente cada trimestre, es decir, cuatro (4) veces al año", por lo que en el mes de marzo no está prevista la realización de acciones para el cumplimiento de la actividad asociada a la meta. Sin embargo, se reiteró la aprobación del cuarto informe trimestral de 2022 de la Comisión Intersectorial del Sistema de Cuidado y se tramitó su publicación en la página Web de la Secretaría de la Mujer (06 de marzo) y el Sistema Distrital del Cuidado (10 de marzo). Además, se convalidó el contenido del acta No. 10 de la Comisión Intersectorial del Sistema de Cuidado realizada el 20 de febrero de 2023 (03 de marzo), se realizaron los ajustes solicitados por las Secretarías de Planeación y Ambiente, se tramitaron las firmas de la Presidencia y Secretaría Técnica ejercida por la Secretaría de la Mujer (06 y 07 de marzo) y su publicación en las páginas Web de la Secretaría de la Mujer y el Sistema Distrital del Cuidado (08 de marzo). Sin embargo, el balance del primer trimestre del 2023 es satisfactirio, ya que se realizó la primera sesión ordinaria de la Comisión Intersectorial del Sistema Distrital de Cuidado (la No. 10 desde que se expidió el Decreto 237 de 2020) </t>
  </si>
  <si>
    <t>Se realizaron 2 sesiones de la UTA, una ordinaria y otra extraordinaria, (31 y 32 desde que se expidió el Decreto 237 2020). En la 3 sesión se desarrolló la siguiente agenda: Revisión de la ficha técnica de la Manzana del Cuidado de Suba, Intervención de la Salud sobre dispensadores en las manzanas del cuidado, Seguimiento a compromisos establecidos el 21 de feb, Visita técnica en el equipamiento ancla de la Manzana del Cuidado de Suba: a. Definición de la cartelera de servicios. b. Inauguración. 5. Varios: a. Intervención del IDRD. b. Socialización del paso a paso para la modificación de la cartelera de servicios en fichas técnicas. Participaron de manera virtual 57 directivas y personas delegadas (40 mujeres y 17 hombres) de 12 Sectores del Sector Central (Salud, SDIS, Gobierno, Planeación, Desarrollo Económico, Cultura, Recreación y Deporte, Educación, Ambiente, Movilidad, Hábitat, SCJ y Mujer), 5 entidades del Sector Descentralizado Adscritas (Jardín Botánico, IDT, Idartes, IDRD e Idipron) y 1 entidad del Sector Descentralizado Territorial (Alcaldía de Suba). En la 4 sesión se desarrolló: Aprobación de la Ficha Técnica de la Manzana del Cuidado de Suba, Aprobación del minuto a minuto de la inauguración de la Manzana del Cuidado de Suba, Seguimiento a compromisos establecidos el 17 de mar. Participaron de manera virtual 49 directivas y personas delegadas (38 mujeres y 11 hombres) de las mismas entidades participantes en la 1° sesión excepto la SDSCJ, además de la SDH y la SDJ, el IDPyBA y la Alcaldía Mayor. Se realizó la 2 sesión del año (la No 9 desde que se creó por la UTA) de la Mesa de Relevos Domiciliarios./  Se convalidó el contenido del acta de la UTA No. 30 realizada el 21 de febrero, la cual incorpora observaciones de la SDDE y el IDIPRON. /Se tramitó la publicación de las actas No. 29 y 30 de la UTA. Lo anterior da como balance durante el primer trimestre del 2023, la realización de 4 sesiones de la UTA</t>
  </si>
  <si>
    <t>Realización de la 2da sesión del Mecanismo de Participación y Seguimiento de la Comisión Intersectorial del Sistema Distrital de Cuidado (la primera sesión ordinaria y la No. 7 desde que se expidió el Decreto 237 de 2020). La agenda fue la siguiente: 1 Verificación del quorum. 2. Socialización del Acuerdo 893 de 2023 “Por el cual se institucionaliza el Sistema Distrital de Cuidado de Bogotá D.C. y se dictan otras disposiciones”. 3. Socialización del plan de acción de la Comisión Intersectorial del Sistema Distrital de Cuidado 2023. 4. Intervenciones de personas integrantes del Mecanismo de Seguimiento y Participación. 5. Intervenciones de entidades de la Administración Distrital. 6. Conclusiones y cierre. Participaron 16 delegadas y representantes (15 mujeres y 1 hombre) de las siguientes instancias, procesos y entidades: Consejo Consultivo de Mujeres, Consejo Consultivo Distrital de Niños, Niñas y Adolescentes (Secretaría Técnica ejercida por la SDIS), Consejo Distrital de Sabios y Sabias, Comisión Consultiva Distrital de Bogotá de Comunidades Negras, Afrocolombianas, Raizales y Palenqueras, Consejo Consultivo LGBT, Organizaciones de Cuidadoras y Cuidadores, así como Secretarías de Integración Social, Jurídica Distrital, Gobierno, Desarrollo Económico, Salud, Educación y de la Mujer. Además, se tramitó la publicación del acta No. 6 (la primera del año 2023) realizada el 13 de febrero, en las páginas Web de la Secretaría de la Mujer y el Sistema Distrital del Cuidado (1 y 13 de marzo). Lo anterior da como balance durante el primer trimestre del 2023, la realización de 2.</t>
  </si>
  <si>
    <t>Desde la Estrategia Territorial de las Manzanas del Cuidado se implementaron 107 actividades de difusión y socialización del Sistema Distrital del Cuidado y los servicios de las Manzanas del Cuidado en 16 localidades de Bogotá, a saber: Bosa, Centro (Santa Fe-Candelaria), Chapinero, Ciudad Bolívar, Engativá, Fontibón, Kennedy, Mártires, Puente Aranda, Rafael Uribe, San Cristóbal, Suba, Usaquén y Usme. La difusión a nivel territorial con personas cuidadoras y actores estratégicos en las localidades, contribuyó a avanzar en el propósito de divulgar los objetivos del Sistema Distrital del Cuidado, los servicios de las manzanas y su posicionamiento con las cuidadoras y la ciudadanía en general. Lo anterior da como balance durante el primer trimestre del 2023, la realización de 197 actividades encaminadas a la difusión y socialización del sistema del Cuidado</t>
  </si>
  <si>
    <t>El 29 de marzo de 2023, fue inaugurada con éxito la Manzana del Cuidado de Suba, que representa la decimoséptima Manzana del Cuidado de Bogotá y la segunda inaugurada en 2023.
Así mismo, se realizaron las acciones de articulación intersectorial requeridas para su apertura y puesta en operación, a saber, la concertación intersectorial del minuto a minuto de la inauguración y de la ficha técnica de la manzana que da cuenta de la oferta de servicios disponible por los sectores distritales para las personas cuidadoras y las personas que requieren cuidados o altos niveles de apoyo en la localidad de Suba.</t>
  </si>
  <si>
    <t>Durante el mes de Marzo se efectuaron 16 sesiones de las Mesas Locales de las Manzanas del Cuidado en: Bosa - Porvenir, Bosa - Campo Verde, Kennedy, Ciudad Bolívar - Manitas, Usme, San Cristóbal - CEFE, Mártires, Usaquén, Centro, Engativá, Rafael Uribe , Ciudad Bolívar - Mochuelos, Tunjuelito, San Cristóbal - Juan Rey, Chapinero y Fontibón. En dichas sesiones, se monitorearon las acciones intersectoriales de los sectores representados, el estado de la operación de los servicios implementados y el balance mensual de las atenciones prestadas. Lo anterior da como balance durante el primer trimestre del 2023, la realización de 32 sesiones de las mesas locales.</t>
  </si>
  <si>
    <r>
      <t xml:space="preserve">Con la implementación del </t>
    </r>
    <r>
      <rPr>
        <b/>
        <sz val="11"/>
        <rFont val="Times New Roman"/>
        <family val="1"/>
      </rPr>
      <t>proceso de formación</t>
    </r>
    <r>
      <rPr>
        <sz val="11"/>
        <rFont val="Times New Roman"/>
        <family val="1"/>
      </rPr>
      <t xml:space="preserve"> de la Estrategia Cuidado a Cuidadoras, en lo corrido de la vigencia 2023 se han desarrollado </t>
    </r>
    <r>
      <rPr>
        <b/>
        <sz val="11"/>
        <rFont val="Times New Roman"/>
        <family val="1"/>
      </rPr>
      <t>17 cursos</t>
    </r>
    <r>
      <rPr>
        <sz val="11"/>
        <rFont val="Times New Roman"/>
        <family val="1"/>
      </rPr>
      <t xml:space="preserve"> de formación complementaria </t>
    </r>
    <r>
      <rPr>
        <b/>
        <sz val="11"/>
        <rFont val="Times New Roman"/>
        <family val="1"/>
      </rPr>
      <t>graduando a 200 mujeres</t>
    </r>
    <r>
      <rPr>
        <sz val="11"/>
        <rFont val="Times New Roman"/>
        <family val="1"/>
      </rPr>
      <t xml:space="preserve"> en "Herramientas para Cuidadoras en el Reconocimiento de su Trabajo de Cuidado" a través del Aula Virtual de la Mujer. 
Se cuenta con el apoyo de 19 tutoras en todas las localidades del Distrito Capital. 
La distribución de las cuidadoras graduadas según localidad, es la siguiente: Barrios Unidos: 18; Chapinero:8; Engativá:12; Fontibón:15; La Candelaria:6; Los Mártires:15; Suba:14; Usaquén: 3; Bosa:10; Ciudad Bolívar Mochuelo:15; Antonio Nariño:24; Usme:16; Kennedy:27  y UM Rural: 17.
Respecto de los procesos de</t>
    </r>
    <r>
      <rPr>
        <b/>
        <sz val="11"/>
        <rFont val="Times New Roman"/>
        <family val="1"/>
      </rPr>
      <t xml:space="preserve"> Homologación de Saberes</t>
    </r>
    <r>
      <rPr>
        <sz val="11"/>
        <rFont val="Times New Roman"/>
        <family val="1"/>
      </rPr>
      <t>, el acumulado de la vigencia 2023 es de</t>
    </r>
    <r>
      <rPr>
        <b/>
        <sz val="11"/>
        <rFont val="Times New Roman"/>
        <family val="1"/>
      </rPr>
      <t xml:space="preserve"> 20 cuidadoras certificadas </t>
    </r>
    <r>
      <rPr>
        <sz val="11"/>
        <rFont val="Times New Roman"/>
        <family val="1"/>
      </rPr>
      <t xml:space="preserve">en el Distrito Capital a través de 1 grupo conformado desde el mes de febrero.
En el marco de los procesos realizados por el SIDICU en la vigencia referida al reporte, se han beneficiado del servicio de </t>
    </r>
    <r>
      <rPr>
        <b/>
        <sz val="11"/>
        <rFont val="Times New Roman"/>
        <family val="1"/>
      </rPr>
      <t>orientación y asesoría psico jurídica</t>
    </r>
    <r>
      <rPr>
        <sz val="11"/>
        <rFont val="Times New Roman"/>
        <family val="1"/>
      </rPr>
      <t xml:space="preserve"> a 1.458 cuidadoras  
</t>
    </r>
    <r>
      <rPr>
        <b/>
        <sz val="11"/>
        <rFont val="Times New Roman"/>
        <family val="1"/>
      </rPr>
      <t>Respecto de los espacios respiro</t>
    </r>
    <r>
      <rPr>
        <sz val="11"/>
        <rFont val="Times New Roman"/>
        <family val="1"/>
      </rPr>
      <t xml:space="preserve"> adelantados en el periodo de referencia, se ha logrado la realización de 2, </t>
    </r>
    <r>
      <rPr>
        <b/>
        <sz val="11"/>
        <rFont val="Times New Roman"/>
        <family val="1"/>
      </rPr>
      <t>con participación de 36 cuidadoras pertenecientes a las comunidades étnicas Afro y Negras así como a pueblos indígenas</t>
    </r>
    <r>
      <rPr>
        <sz val="11"/>
        <rFont val="Times New Roman"/>
        <family val="1"/>
      </rPr>
      <t xml:space="preserve"> (Consultivo 612 de 2015). Las atenciones registradas en el marco del desarrollo del Plan Integral de Acciones Afirmativas ascienden a las ya mencionadas 36.</t>
    </r>
  </si>
  <si>
    <r>
      <t xml:space="preserve">Programación y realización de </t>
    </r>
    <r>
      <rPr>
        <b/>
        <sz val="11"/>
        <rFont val="Times New Roman"/>
        <family val="1"/>
      </rPr>
      <t>17 cursos de Formación Complementaria</t>
    </r>
    <r>
      <rPr>
        <sz val="11"/>
        <rFont val="Times New Roman"/>
        <family val="1"/>
      </rPr>
      <t xml:space="preserve"> para mujeres cuidadoras. Todos ellos en </t>
    </r>
    <r>
      <rPr>
        <b/>
        <sz val="11"/>
        <rFont val="Times New Roman"/>
        <family val="1"/>
      </rPr>
      <t>"Herramientas para cuidadoras en el reconocimiento de su trabajo de cuidado"</t>
    </r>
    <r>
      <rPr>
        <sz val="11"/>
        <rFont val="Times New Roman"/>
        <family val="1"/>
      </rPr>
      <t>, programa de 10 horas cuyos contenidos fueron elaborados por la Universidad Nacional de Colombia en la vigencia 2021 y a los que se accede a través del Aula Virtual de la Secretaría Distrital de la Mujer con el apoyo de las formadoras territoriales vinculadas al Componente de Formación de la Estrategia Cuidado a Cuidadoras. El número total de cuidadoras graduadas en el mes de</t>
    </r>
    <r>
      <rPr>
        <b/>
        <sz val="11"/>
        <rFont val="Times New Roman"/>
        <family val="1"/>
      </rPr>
      <t xml:space="preserve"> marzo fue de 200</t>
    </r>
    <r>
      <rPr>
        <sz val="11"/>
        <rFont val="Times New Roman"/>
        <family val="1"/>
      </rPr>
      <t xml:space="preserve">. La distribución por localidad de prestación del servicio expresa el siguiente comportamiento: Barrios Unidos: 18; Chapinero: 8; Engativá: 12; Fontibón: 15; La Candelaria: 6; Los Mártires: 15; Suba: 14; Usaquén: 3; Bosa: 10; Ciudad Bolívar Mochuelo: 15; Antonio Nariño: 24; Usme: 16; Kennedy: 27 y UM Rural: 17. 
En cuanto al proceso de Homologación de Saberes, se registraron 23 cuidadoras, de las cuales 20 se certificaron en el mes de marzo.
Sumado a las acciones ya descritas, durante el primer trimestre del 2023 se destacan los siguientes avances: los encuentros con los responsables de los Centros de Formación y así concretar la programación de 1.536 cupos distribuidos en los cursos de Word, Excel y English Dot Works Beginner. También con el SENA, se avanzó en la formalización del primer grupo de la SDMujer orientado a obtener la Formación Titulada, con 44 cuidadoras vinculadas al al Centro de Formación de Talento Humano y se reactivo con la Regional Bogotá, el proceso para asegurar el acceso de 729 cuidadoras a la homologación de saberes en la norma: "Cuidar personas según protocolos de actividades básicas cotidianas y grado de Autonomía"  (ver oficios y bases de datos).  </t>
    </r>
  </si>
  <si>
    <r>
      <t>En relación con la oferta de atención psico jurídica en el mes de marzo, se beneficiaron 660 personas cuidadoras de la atención jurídica, 102 en las localidades de Usaquén, 86 Bosa, 84 Ciudad Bolívar, 81 Chapinero, 70 San Cristóbal, 62 Engativá, 54 Kennedy, 43 Rafael Uribe , 26 Suba, 19 Fontibón, 8 Teusaquillo, 8 Mártires, 1 Usme, 2 Antonio Nariño, 3 Puente Aranda, 1 Tunjuelito, 2 Barrios Unidos, 2 Santa Fe, 1 Sumapa y 5 fuera de Bogotá. Y con relación a las atenciones psicosociales, se atendieron a 697 personas cuidadoras distribuidas a lo largo de las localidades de la siguiente manera: 98 Usaquén, 91 Bosa, 81 Ciudad Bolívar, 69 Chapinero, 68 San Cristóbal, 63 Engativá, 42 Kennedy, 38 Rafael Uribe , 26 Suba, 43 Fontibón, 7 Teusaquillo, 5  Mártires, 48 Usme, 3 Antonio Nariño, 3 Puente Aranda, 2 Tunjuelito, 2 Barrios Unidos, 2 Santa Fe, 1 Sumapaz y  4 fuera de Bogotá. En este sentido, el balance correspondiente para el primer trimestre del 2023, es de 1.458</t>
    </r>
    <r>
      <rPr>
        <b/>
        <sz val="18"/>
        <rFont val="Times New Roman"/>
        <family val="1"/>
      </rPr>
      <t xml:space="preserve"> </t>
    </r>
    <r>
      <rPr>
        <sz val="11"/>
        <rFont val="Times New Roman"/>
        <family val="1"/>
      </rPr>
      <t>beneficiaras de las acciones derivadas de implementar el componente de orientaciones para cuidadores</t>
    </r>
  </si>
  <si>
    <t>Durante el mes de marzo se implementaron 2 espacios respiro ofreciendo un total de 36 atenciones. A continuación el detalle de los procesos adelantados: 1) Nombre del espacio: “Cuidado, auto cuidado y medicina ancestral a través de la elaboración de pomadas y aceites medicinales”, con una asistencia de 11 afros el 26 de marzo de 11:00 a.m. a 3:00 p.m. en la Fundación FUSCIPAC de la Localidad de Usme y 2) Nombre del espacio: Cantar y Danzar, con una asistencia de 25 indígenas el  24 de marzo de 9:00 a.m. a 1:00 p.m. en el Jardín Botánico de Bogotá. Sumado a los dos espacios implementados, durante el primer trmiestre del 2023 se avanzó en realizar el balance acumulado del 2021 y 2022.</t>
  </si>
  <si>
    <t>Posterior a la construcción de dos metodologias dirigidos a familias beneficiarias del programa Casa a Casa, y sumado las actividades desarrolladas durante el mes de marzo, dan como balance que a la fecha ya se cuente y presentado la primera versión del documento “Caja de herramientas EPCC”.</t>
  </si>
  <si>
    <t xml:space="preserve">En el mes de marzo se realizó la revisión y perfeccionamiento del documento “Estrategia de conformación y fortalecimiento de la red de alianzas del cuidado - RAC”. Por otra parte, frente a la implementación de la Red de Alianzas del Cuidado, las acciones de los enlaces y la vinculación con diferentes actores como lo son: empresas, organizaciones no gubernamentales, entidades e instituciones publicas; requiere contar con una persona que se desempeñe como coordinadora de la RAC, en este sentido se están adelantando los tramites pertinentes para hacer la vinculación de este rol a través de un contrato de prestación de servicios profesionales, la cual se espera se realice en el mes de abril.	
</t>
  </si>
  <si>
    <t xml:space="preserve">En el marco de las gestiones realizadas en el mes de febrero, en la cual se realizaron las convocatoria y gestiones pertinentes, se logro que se realizara el 16 de marzo la primera Mesa técnica de Transformación Cultural. En este sentido, a lo largo del primer trimestre se han desarrollado las gestiones pertinentes, las cuales permitieron el cumplimiento de realizar la seseión trimestral programada </t>
  </si>
  <si>
    <t>En el marco del seguimiento a la ejecución del contrato de prestación de servicios 928 de 2022 se desarrollaron las siguientes actividades: 1. Revisión y aprobación de la hoja de vida del señor MARIO DUQUE, relevo de los conductores de las Unidades Móviles, 2. Remisión de oficio 1-2023-003259 de Fecha: 27-03-2023 dirigido por la supervisión del contrato 928 de 2022 al contratista FEELING COMPANY SAS, como respuesta de fondo a la solicitud de reajuste precios de operación IPC 2023 del Contrato 928 de 2022. Este oficio fue enviado el 30-03-2023 y sobre el cual Feeling Company SAS, dio respuesta el mismo día, manifestando su aprobación sobre el valor del incremento del IPC, para iniciar el trámite de OTROSÍ modificatorio del contrato 928 de 2022, 3.Reunión de Seguimiento contractual - Supervisión del contrato 928 de 2022 de la MUJER y Feeling Company SAS, llevada a cabo el 13 de marzo de 2023, cuyo objetivo fue: “Hacer el seguimiento al daño/novedad de las carpas inflables Buses del Cuidado CTO 928 de 2022.” (Anexo 3) y 4. Remisión de informe de conectividad a Internet de la Unidad Móvil Urbana-  operadores de internet TIGO y CLARO, enviado por el contratista Feeling Company SAS a la supervisión del contrato 928 de 2022, mediante correo electrónico de fecha 24 de marzo de 2023. (Anexo 4). Sumado a estas acciones y en concordancia con las actividades desarrolladas durante enero y febrero de 2023 como lo han sido: Revisión y aprobación de la hoja de vida requerida en el marco de la operación del servicio, 2. Remisión de oficios, 3. Actualización de documentos como antecedentes (Policía, CGR, Medidas Correctivas, Delitos Sexuales, Procuraduría) del equipo de Feeling Company SAS que presta sus servicios en las Unidades Móviles (Urbana y Rural), en el marco del contrato 928 de 2022, entre otros; se ha prestado de manera satisfactoría el seguimiento a la ejecución del contrato de prestación de servicios 928 de 2022.</t>
  </si>
  <si>
    <t>En el mes de marzo se convoco a la tercera Mesa Local de Buses de Cuidado para la actual vigencia donde: i) se socializaron las atenciones de enero a marzo de 2023 ii) se socializó la versión preliminar de las Fichas Técnicas de Buses del Cuidado y iii) se informó a los sectores sobre las actividades especiales. Lo anterior, permite dar cummplimiento a las tres mesas de trabajo programadas dentro de las acciones de la presente actividad para el tercer trimestre del 2023.</t>
  </si>
  <si>
    <t xml:space="preserve">Durante el primer trimestre se han beneficiado a 676 personas en los talleres de cambio cultural. Se avanzó en el rastreo y organización de documentos RAC, actualización y ajuste del documento “Estrategia de conformación y fortalecimiento de la red de alianzas del cuidado - RAC” y se realizó la primera Mesa Técnica de Transformación Cultural del 2023.
</t>
  </si>
  <si>
    <t xml:space="preserve">En el mes de marzo se implementaron 46 talleres de Cambio Cultural, a través de los cuales se vincularon 542 beneficiarias. En la localidad de Bosa se realizaron 2 talleres y se vincularon 18 beneficiarias, en Chapinero se realizaron 5 talleres y se vincularon 41 beneficiaria, en Engativá se realizaron 7 talleres y se vincularon 120 beneficiarias; en Fontibón se realizaron 2 talleres y se vincularon 34 beneficiarias, en Kennedy se realizaron 3 talleres y se vincularon 22 beneficiarias, en  La Candelaria se realizaron 2 talleres y se vincularon 13 beneficiarias, en  Los Mártires se realizaron 2 talleres y se vincularon 31 beneficiarias, en  Puente Aranda se realizaron 4 talleres y se vincularon 67 beneficiarias, en Rafael Uribe  se realizó 1 taller y se vincularon 6 beneficiarias, en  San Cristóbal se realizaron 3 talleres y se vincularon 35 beneficiarias, en Santa Fe se realizaron 2 talleres y se vincularon 8 beneficiarias, en Suba se realizaron 3 talleres y se vincularon 48 beneficiarias, en Tunjuelito se realizó 1 taller y se vincularon 10 beneficiarias, en Usaquén se realizaron 5 talleres y se vincularon 62 beneficiarias, en Usme se realizaron 2 talleres y se vincularon 12 beneficiarias y a nivel Distrital se realizaron 2 talleres y se vincularon 15 beneficiarias. Sumando los beneficiarios del primer bimestre del 2023, dan como balance 676  beneficiarios vinculados. </t>
  </si>
  <si>
    <t>Durante el 2023 se han vinculado 676 beneficiarias a los talleres de Cambio Cultural</t>
  </si>
  <si>
    <t>Durante los meses de enero, febrero y marzo de 2023 se avanzó en:
-La retroalimentación del documento “Desarrollo técnico del Sistema Distrital de Cuidado”, entregado por el equipo consultor de la Fundación Barco – Open Society Fundación en diciembre de 2022. 
-La socialización del Sistema Distrital de Cuidado y sus lineamientos técnicos con actores estratégicos de la ciudadanía y otros a niveles nacional e internacional.
-La actualización de las delegaciones a la Unidad Técnica de Apoyo de la Comisión intersectorial del Sistema Distrital de Cuidado para retomar el funcionamiento de la Mesa Intersectorial de Seguimiento al Convenio Marco Interadministrativo 913 de 2021.
-La publicación en SECOP del Anexo Técnico II de la Manzana del Cuidado de Ciudad Bolívar - Manitas, correspondiente al Acuerdo de Coordinación con el Instituto Distrital para las Artes y la Secretaría General.
-La suscripción de los Anexos I y II del Convenio Marco Interadministrativo 913 de 2021 para la Manzana del Cuidado de Suba.
-La terminación anticipada del Convenio 725 de 2020 para adoptar el Convenio Marco Interadministrativo 913 de 2021 en las Manzanas del Cuidado de Bosa - Porvenir, San Cristóbal - San Blas y Usme - Julio César Sánchez.
-La suscripción de los Anexos I y II del Convenio Marco Interadministrativo 913 de 2021 para la Manzana del Cuidado de Suba.
A. Articulación de las entidades de la Administración Distrital para avanzar en la implementación y seguimiento de Sistema Distrital de Cuidado, tanto a nivel distrital como territorial, gracias a la cual se inauguró la Manzana del Cuidado de Suba el 29 de marzo, la décimo séptima manzana del cuidado inaugurada desde el año 2020. Además, se están implementando el Ciclo IV de los buses del cuidado urbano y rural en 6 localidades, 3 zonas urbanas y 3 zonas rurales, y dos proyectos/programas de asistencia domiciliaria en el D.C. B. Implementación del Decreto 237 de 2020 "Por medio del cual se crea la Comisión Intersectorial del Sistema Distrital de Cuidado" y del Acuerdo 001 de 2020 "Por el cual se adopta el Reglamento Interno de la Comisión Intersectorial del Sistema Distrital de Cuidado", así como de la Resolución 233 de 2018 y la Resolución 753 de 2020 “Por la cual se modifica la Resolución 233 del 08 de junio de 2018 “Por la cual se expiden lineamientos para el funcionamiento, operación, seguimiento e informes de las Instancias de Coordinación del Distrito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</si>
</sst>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164" formatCode="_-&quot;$&quot;* #,##0.00_-;\-&quot;$&quot;* #,##0.00_-;_-&quot;$&quot;* &quot;-&quot;??_-;_-@_-"/>
    <numFmt numFmtId="165" formatCode="#,##0\ &quot;€&quot;;\-#,##0\ &quot;€&quot;"/>
    <numFmt numFmtId="166" formatCode="_-* #,##0\ &quot;€&quot;_-;\-* #,##0\ &quot;€&quot;_-;_-* &quot;-&quot;\ &quot;€&quot;_-;_-@_-"/>
    <numFmt numFmtId="167" formatCode="_-* #,##0.00\ &quot;€&quot;_-;\-* #,##0.00\ &quot;€&quot;_-;_-* &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quot;$&quot;\ #,##0"/>
    <numFmt numFmtId="173" formatCode="_-* #,##0\ _€_-;\-* #,##0\ _€_-;_-* &quot;-&quot;??\ _€_-;_-@_-"/>
    <numFmt numFmtId="174" formatCode="0.0%"/>
    <numFmt numFmtId="175" formatCode="[$$-240A]\ #,##0;[Red][$$-240A]\ #,##0"/>
    <numFmt numFmtId="176" formatCode="#,##0;[Red]#,##0"/>
    <numFmt numFmtId="177" formatCode="_-[$$-240A]\ * #,##0.00_-;\-[$$-240A]\ * #,##0.00_-;_-[$$-240A]\ * &quot;-&quot;??_-;_-@_-"/>
    <numFmt numFmtId="178" formatCode="&quot;$&quot;\ #,##0.00"/>
    <numFmt numFmtId="179" formatCode="_-* #,##0_-;\-* #,##0_-;_-* &quot;-&quot;_-;_-@"/>
    <numFmt numFmtId="180" formatCode="_-* #,##0.00\ _€_-;\-* #,##0.00\ _€_-;_-* &quot;-&quot;\ _€_-;_-@"/>
    <numFmt numFmtId="181" formatCode="_-* #,##0\ _€_-;\-* #,##0\ _€_-;_-* &quot;-&quot;\ _€_-;_-@"/>
    <numFmt numFmtId="182" formatCode="#,##0_ ;\-#,##0\ "/>
    <numFmt numFmtId="183" formatCode="#,##0.0"/>
    <numFmt numFmtId="184" formatCode="0.000"/>
    <numFmt numFmtId="185" formatCode="0.00000"/>
    <numFmt numFmtId="186" formatCode="0.0000"/>
  </numFmts>
  <fonts count="58"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b/>
      <sz val="9"/>
      <color indexed="8"/>
      <name val="Tahoma"/>
      <family val="2"/>
    </font>
    <font>
      <sz val="9"/>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i/>
      <sz val="11"/>
      <name val="Times New Roman"/>
      <family val="1"/>
    </font>
    <font>
      <b/>
      <sz val="12"/>
      <name val="Times New Roman"/>
      <family val="1"/>
    </font>
    <font>
      <sz val="11"/>
      <name val="Calibri"/>
      <family val="2"/>
    </font>
    <font>
      <sz val="9"/>
      <color indexed="81"/>
      <name val="Tahoma"/>
      <family val="2"/>
    </font>
    <font>
      <b/>
      <sz val="9"/>
      <color indexed="81"/>
      <name val="Tahoma"/>
      <family val="2"/>
    </font>
    <font>
      <b/>
      <sz val="8"/>
      <name val="Times New Roman"/>
      <family val="1"/>
    </font>
    <font>
      <sz val="8"/>
      <name val="Times New Roman"/>
      <family val="1"/>
    </font>
    <font>
      <sz val="7"/>
      <name val="Times New Roman"/>
      <family val="1"/>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2"/>
      <color theme="1"/>
      <name val="Times New Roman"/>
      <family val="1"/>
    </font>
    <font>
      <b/>
      <sz val="18"/>
      <color theme="0" tint="-0.34998626667073579"/>
      <name val="Calibri"/>
      <family val="2"/>
      <scheme val="minor"/>
    </font>
    <font>
      <b/>
      <sz val="11"/>
      <color theme="0" tint="-0.34998626667073579"/>
      <name val="Times New Roman"/>
      <family val="1"/>
    </font>
    <font>
      <sz val="11"/>
      <color rgb="FF000000"/>
      <name val="Times New Roman"/>
      <family val="1"/>
    </font>
    <font>
      <i/>
      <sz val="11"/>
      <color rgb="FF000000"/>
      <name val="Times New Roman"/>
      <family val="1"/>
    </font>
    <font>
      <sz val="11"/>
      <color theme="1"/>
      <name val="Times New Roman"/>
      <family val="1"/>
    </font>
    <font>
      <b/>
      <sz val="9"/>
      <color rgb="FF000000"/>
      <name val="Tahoma"/>
      <family val="2"/>
    </font>
    <font>
      <sz val="9"/>
      <color rgb="FF000000"/>
      <name val="Tahoma"/>
      <family val="2"/>
    </font>
    <font>
      <b/>
      <sz val="10"/>
      <color rgb="FF000000"/>
      <name val="Tahoma"/>
      <family val="2"/>
    </font>
    <font>
      <sz val="10"/>
      <color rgb="FF000000"/>
      <name val="Tahoma"/>
      <family val="2"/>
    </font>
    <font>
      <b/>
      <sz val="11"/>
      <color rgb="FF000000"/>
      <name val="Tahoma"/>
      <family val="2"/>
    </font>
    <font>
      <sz val="11"/>
      <color rgb="FF000000"/>
      <name val="Tahoma"/>
      <family val="2"/>
    </font>
    <font>
      <b/>
      <sz val="18"/>
      <name val="Times New Roman"/>
      <family val="1"/>
    </font>
    <font>
      <sz val="14"/>
      <name val="Times New Roman"/>
      <family val="1"/>
    </font>
  </fonts>
  <fills count="33">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theme="9"/>
      </patternFill>
    </fill>
    <fill>
      <patternFill patternType="solid">
        <fgColor rgb="FF217346"/>
        <bgColor indexed="64"/>
      </patternFill>
    </fill>
    <fill>
      <patternFill patternType="solid">
        <fgColor rgb="FFDBE5F1"/>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DDDDD"/>
        <bgColor indexed="64"/>
      </patternFill>
    </fill>
    <fill>
      <patternFill patternType="solid">
        <fgColor theme="0" tint="-0.14999847407452621"/>
        <bgColor indexed="64"/>
      </patternFill>
    </fill>
    <fill>
      <patternFill patternType="solid">
        <fgColor rgb="FFFFFFCC"/>
        <bgColor rgb="FFFFFFCC"/>
      </patternFill>
    </fill>
    <fill>
      <patternFill patternType="solid">
        <fgColor rgb="FFFF6699"/>
        <bgColor indexed="64"/>
      </patternFill>
    </fill>
    <fill>
      <patternFill patternType="solid">
        <fgColor rgb="FFC6D9F0"/>
        <bgColor rgb="FFC6D9F0"/>
      </patternFill>
    </fill>
    <fill>
      <patternFill patternType="solid">
        <fgColor rgb="FFFDE9D9"/>
        <bgColor rgb="FFFDE9D9"/>
      </patternFill>
    </fill>
    <fill>
      <patternFill patternType="solid">
        <fgColor rgb="FFF79646"/>
        <bgColor rgb="FFF79646"/>
      </patternFill>
    </fill>
    <fill>
      <patternFill patternType="solid">
        <fgColor rgb="FFFFFFFF"/>
        <bgColor rgb="FF000000"/>
      </patternFill>
    </fill>
    <fill>
      <patternFill patternType="solid">
        <fgColor rgb="FFCCC0DA"/>
        <bgColor rgb="FF000000"/>
      </patternFill>
    </fill>
    <fill>
      <patternFill patternType="solid">
        <fgColor rgb="FFFFFF00"/>
        <bgColor indexed="64"/>
      </patternFill>
    </fill>
    <fill>
      <patternFill patternType="solid">
        <fgColor rgb="FFD9D9D9"/>
        <bgColor rgb="FF000000"/>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medium">
        <color indexed="64"/>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rgb="FF000000"/>
      </bottom>
      <diagonal/>
    </border>
  </borders>
  <cellStyleXfs count="34">
    <xf numFmtId="0" fontId="0" fillId="0" borderId="0"/>
    <xf numFmtId="0" fontId="26" fillId="3" borderId="70" applyNumberFormat="0" applyAlignment="0" applyProtection="0"/>
    <xf numFmtId="49" fontId="28" fillId="0" borderId="0" applyFill="0" applyBorder="0" applyProtection="0">
      <alignment horizontal="left" vertical="center"/>
    </xf>
    <xf numFmtId="0" fontId="29" fillId="4" borderId="71" applyNumberFormat="0" applyFont="0" applyFill="0" applyAlignment="0"/>
    <xf numFmtId="0" fontId="29" fillId="4" borderId="72" applyNumberFormat="0" applyFont="0" applyFill="0" applyAlignment="0"/>
    <xf numFmtId="0" fontId="31" fillId="6" borderId="0" applyNumberFormat="0" applyProtection="0">
      <alignment horizontal="left" wrapText="1" indent="4"/>
    </xf>
    <xf numFmtId="0" fontId="32" fillId="6" borderId="0" applyNumberFormat="0" applyProtection="0">
      <alignment horizontal="left" wrapText="1" indent="4"/>
    </xf>
    <xf numFmtId="0" fontId="30" fillId="5" borderId="0" applyNumberFormat="0" applyBorder="0" applyAlignment="0" applyProtection="0"/>
    <xf numFmtId="16" fontId="33" fillId="0" borderId="0" applyFont="0" applyFill="0" applyBorder="0" applyAlignment="0">
      <alignment horizontal="left"/>
    </xf>
    <xf numFmtId="0" fontId="34" fillId="7" borderId="0" applyNumberFormat="0" applyBorder="0" applyProtection="0">
      <alignment horizontal="center" vertical="center"/>
    </xf>
    <xf numFmtId="169" fontId="26" fillId="0" borderId="0" applyFont="0" applyFill="0" applyBorder="0" applyAlignment="0" applyProtection="0"/>
    <xf numFmtId="168" fontId="26" fillId="0" borderId="0" applyFont="0" applyFill="0" applyBorder="0" applyAlignment="0" applyProtection="0"/>
    <xf numFmtId="41" fontId="26" fillId="0" borderId="0" applyFont="0" applyFill="0" applyBorder="0" applyAlignment="0" applyProtection="0"/>
    <xf numFmtId="169" fontId="5"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164" fontId="26" fillId="0" borderId="0" applyFont="0" applyFill="0" applyBorder="0" applyAlignment="0" applyProtection="0"/>
    <xf numFmtId="171" fontId="2" fillId="0" borderId="0" applyFont="0" applyFill="0" applyBorder="0" applyAlignment="0" applyProtection="0"/>
    <xf numFmtId="170" fontId="26"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0" fontId="35" fillId="8" borderId="0" applyNumberFormat="0" applyBorder="0" applyAlignment="0" applyProtection="0"/>
    <xf numFmtId="0" fontId="2" fillId="0" borderId="0"/>
    <xf numFmtId="0" fontId="2" fillId="0" borderId="0"/>
    <xf numFmtId="0" fontId="29" fillId="0" borderId="0"/>
    <xf numFmtId="0" fontId="6" fillId="0" borderId="0"/>
    <xf numFmtId="0" fontId="5" fillId="0" borderId="0"/>
    <xf numFmtId="0" fontId="2" fillId="0" borderId="0"/>
    <xf numFmtId="9" fontId="26"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32" fillId="0" borderId="0" applyFill="0" applyBorder="0">
      <alignment wrapText="1"/>
    </xf>
    <xf numFmtId="0" fontId="27" fillId="0" borderId="0"/>
    <xf numFmtId="0" fontId="36" fillId="6" borderId="0" applyNumberFormat="0" applyBorder="0" applyProtection="0">
      <alignment horizontal="left" indent="1"/>
    </xf>
  </cellStyleXfs>
  <cellXfs count="869">
    <xf numFmtId="0" fontId="0" fillId="0" borderId="0" xfId="0"/>
    <xf numFmtId="9" fontId="4" fillId="9" borderId="1" xfId="28" applyFont="1" applyFill="1" applyBorder="1" applyAlignment="1" applyProtection="1">
      <alignment horizontal="center" vertical="center" wrapText="1"/>
      <protection locked="0"/>
    </xf>
    <xf numFmtId="9" fontId="3" fillId="0" borderId="2" xfId="22" applyNumberFormat="1" applyFont="1" applyBorder="1" applyAlignment="1">
      <alignment horizontal="center" vertical="center" wrapText="1"/>
    </xf>
    <xf numFmtId="176" fontId="26" fillId="0" borderId="0" xfId="14" applyNumberFormat="1" applyFont="1" applyBorder="1" applyAlignment="1">
      <alignment vertical="center"/>
    </xf>
    <xf numFmtId="0" fontId="0" fillId="0" borderId="3" xfId="0" applyBorder="1" applyAlignment="1">
      <alignment horizontal="center"/>
    </xf>
    <xf numFmtId="0" fontId="0" fillId="10" borderId="1" xfId="0" applyFill="1" applyBorder="1"/>
    <xf numFmtId="9" fontId="4" fillId="10" borderId="1" xfId="28" applyFont="1" applyFill="1" applyBorder="1" applyAlignment="1" applyProtection="1">
      <alignment horizontal="center" vertical="center" wrapText="1"/>
      <protection locked="0"/>
    </xf>
    <xf numFmtId="9" fontId="3" fillId="10" borderId="2" xfId="22" applyNumberFormat="1" applyFont="1" applyFill="1" applyBorder="1" applyAlignment="1">
      <alignment horizontal="center" vertical="center" wrapText="1"/>
    </xf>
    <xf numFmtId="0" fontId="0" fillId="11" borderId="1" xfId="0" applyFill="1" applyBorder="1"/>
    <xf numFmtId="0" fontId="0" fillId="12" borderId="1" xfId="0" applyFill="1" applyBorder="1"/>
    <xf numFmtId="9" fontId="4" fillId="12" borderId="1" xfId="28" applyFont="1" applyFill="1" applyBorder="1" applyAlignment="1" applyProtection="1">
      <alignment horizontal="center" vertical="center" wrapText="1"/>
      <protection locked="0"/>
    </xf>
    <xf numFmtId="9" fontId="3" fillId="12" borderId="2" xfId="22" applyNumberFormat="1" applyFont="1" applyFill="1" applyBorder="1" applyAlignment="1">
      <alignment horizontal="center" vertical="center" wrapText="1"/>
    </xf>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1" xfId="0" applyFill="1" applyBorder="1"/>
    <xf numFmtId="0" fontId="0" fillId="15" borderId="4" xfId="0" applyFill="1" applyBorder="1"/>
    <xf numFmtId="0" fontId="0" fillId="17" borderId="1" xfId="0" applyFill="1" applyBorder="1"/>
    <xf numFmtId="0" fontId="0" fillId="12" borderId="2" xfId="0" applyFill="1" applyBorder="1"/>
    <xf numFmtId="0" fontId="0" fillId="15" borderId="2" xfId="0" applyFill="1" applyBorder="1"/>
    <xf numFmtId="0" fontId="0" fillId="9" borderId="2" xfId="0" applyFill="1" applyBorder="1"/>
    <xf numFmtId="0" fontId="0" fillId="17" borderId="2" xfId="0" applyFill="1" applyBorder="1"/>
    <xf numFmtId="0" fontId="0" fillId="14" borderId="2" xfId="0" applyFill="1" applyBorder="1"/>
    <xf numFmtId="0" fontId="0" fillId="10" borderId="5" xfId="0" applyFill="1" applyBorder="1"/>
    <xf numFmtId="0" fontId="0" fillId="12" borderId="5" xfId="0" applyFill="1" applyBorder="1"/>
    <xf numFmtId="0" fontId="0" fillId="15" borderId="5" xfId="0" applyFill="1" applyBorder="1"/>
    <xf numFmtId="0" fontId="0" fillId="9" borderId="5" xfId="0" applyFill="1" applyBorder="1"/>
    <xf numFmtId="0" fontId="0" fillId="17" borderId="5" xfId="0" applyFill="1" applyBorder="1"/>
    <xf numFmtId="0" fontId="0" fillId="14" borderId="5" xfId="0" applyFill="1" applyBorder="1"/>
    <xf numFmtId="0" fontId="0" fillId="0" borderId="6" xfId="0" applyBorder="1" applyAlignment="1">
      <alignment horizontal="center"/>
    </xf>
    <xf numFmtId="0" fontId="0" fillId="0" borderId="7" xfId="0" applyBorder="1" applyAlignment="1">
      <alignment horizontal="center"/>
    </xf>
    <xf numFmtId="9" fontId="4" fillId="10" borderId="8" xfId="28" applyFont="1" applyFill="1" applyBorder="1" applyAlignment="1" applyProtection="1">
      <alignment horizontal="center" vertical="center" wrapText="1"/>
      <protection locked="0"/>
    </xf>
    <xf numFmtId="9" fontId="3" fillId="10" borderId="9" xfId="22" applyNumberFormat="1" applyFont="1" applyFill="1" applyBorder="1" applyAlignment="1">
      <alignment horizontal="center" vertical="center" wrapText="1"/>
    </xf>
    <xf numFmtId="9" fontId="3" fillId="12" borderId="8" xfId="22" applyNumberFormat="1" applyFont="1" applyFill="1" applyBorder="1" applyAlignment="1">
      <alignment horizontal="center" vertical="center" wrapText="1"/>
    </xf>
    <xf numFmtId="0" fontId="0" fillId="12" borderId="9" xfId="0" applyFill="1" applyBorder="1"/>
    <xf numFmtId="0" fontId="0" fillId="12" borderId="8" xfId="0" applyFill="1" applyBorder="1"/>
    <xf numFmtId="0" fontId="0" fillId="15" borderId="8" xfId="0" applyFill="1" applyBorder="1"/>
    <xf numFmtId="0" fontId="0" fillId="15" borderId="9" xfId="0" applyFill="1" applyBorder="1"/>
    <xf numFmtId="0" fontId="0" fillId="9" borderId="8" xfId="0" applyFill="1" applyBorder="1"/>
    <xf numFmtId="0" fontId="0" fillId="9" borderId="9" xfId="0" applyFill="1" applyBorder="1"/>
    <xf numFmtId="0" fontId="0" fillId="17" borderId="8" xfId="0" applyFill="1" applyBorder="1"/>
    <xf numFmtId="0" fontId="0" fillId="17" borderId="9" xfId="0" applyFill="1" applyBorder="1"/>
    <xf numFmtId="0" fontId="0" fillId="14" borderId="8" xfId="0" applyFill="1" applyBorder="1"/>
    <xf numFmtId="0" fontId="0" fillId="14" borderId="9" xfId="0" applyFill="1" applyBorder="1"/>
    <xf numFmtId="0" fontId="0" fillId="15" borderId="10" xfId="0" applyFill="1" applyBorder="1"/>
    <xf numFmtId="0" fontId="0" fillId="18" borderId="4" xfId="0" applyFill="1" applyBorder="1"/>
    <xf numFmtId="0" fontId="0" fillId="18" borderId="1" xfId="0" applyFill="1" applyBorder="1"/>
    <xf numFmtId="0" fontId="0" fillId="18" borderId="10" xfId="0" applyFill="1" applyBorder="1"/>
    <xf numFmtId="9" fontId="37" fillId="0" borderId="0" xfId="28" applyFont="1" applyBorder="1" applyAlignment="1">
      <alignment horizontal="center" vertical="center"/>
    </xf>
    <xf numFmtId="0" fontId="0" fillId="0" borderId="0" xfId="0" applyAlignment="1">
      <alignment vertical="center"/>
    </xf>
    <xf numFmtId="0" fontId="12" fillId="19" borderId="73" xfId="22" applyFont="1" applyFill="1" applyBorder="1" applyAlignment="1">
      <alignment vertical="center" wrapText="1"/>
    </xf>
    <xf numFmtId="0" fontId="12" fillId="19" borderId="74" xfId="22" applyFont="1" applyFill="1" applyBorder="1" applyAlignment="1">
      <alignment vertical="center" wrapText="1"/>
    </xf>
    <xf numFmtId="0" fontId="12" fillId="19" borderId="75" xfId="22" applyFont="1" applyFill="1" applyBorder="1" applyAlignment="1">
      <alignment vertical="center" wrapText="1"/>
    </xf>
    <xf numFmtId="0" fontId="12" fillId="19" borderId="0" xfId="22" applyFont="1" applyFill="1" applyAlignment="1">
      <alignment vertical="center" wrapText="1"/>
    </xf>
    <xf numFmtId="0" fontId="14" fillId="19" borderId="0" xfId="22" applyFont="1" applyFill="1" applyAlignment="1">
      <alignment vertical="center" wrapText="1"/>
    </xf>
    <xf numFmtId="0" fontId="12" fillId="19" borderId="11" xfId="22" applyFont="1" applyFill="1" applyBorder="1" applyAlignment="1">
      <alignment vertical="center" wrapText="1"/>
    </xf>
    <xf numFmtId="0" fontId="11" fillId="19" borderId="11" xfId="22" applyFont="1" applyFill="1" applyBorder="1" applyAlignment="1">
      <alignment vertical="center" wrapText="1"/>
    </xf>
    <xf numFmtId="0" fontId="11" fillId="19" borderId="12" xfId="22" applyFont="1" applyFill="1" applyBorder="1" applyAlignment="1">
      <alignment vertical="center" wrapText="1"/>
    </xf>
    <xf numFmtId="0" fontId="12" fillId="19" borderId="13" xfId="22" applyFont="1" applyFill="1" applyBorder="1" applyAlignment="1">
      <alignment vertical="center" wrapText="1"/>
    </xf>
    <xf numFmtId="0" fontId="11" fillId="19" borderId="0" xfId="22" applyFont="1" applyFill="1" applyAlignment="1">
      <alignment vertical="center" wrapText="1"/>
    </xf>
    <xf numFmtId="0" fontId="11" fillId="19" borderId="14" xfId="22" applyFont="1" applyFill="1" applyBorder="1" applyAlignment="1">
      <alignment vertical="center" wrapText="1"/>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19" borderId="13" xfId="22" applyFont="1" applyFill="1" applyBorder="1" applyAlignment="1">
      <alignment horizontal="center" vertical="center" wrapText="1"/>
    </xf>
    <xf numFmtId="0" fontId="12" fillId="19" borderId="79" xfId="22" applyFont="1" applyFill="1" applyBorder="1" applyAlignment="1">
      <alignment horizontal="center" vertical="center" wrapText="1"/>
    </xf>
    <xf numFmtId="0" fontId="15" fillId="19" borderId="0" xfId="22" applyFont="1" applyFill="1" applyAlignment="1">
      <alignment horizontal="center" vertical="center" wrapText="1"/>
    </xf>
    <xf numFmtId="0" fontId="12" fillId="19" borderId="0" xfId="22" applyFont="1" applyFill="1" applyAlignment="1">
      <alignment horizontal="center" vertical="center" wrapText="1"/>
    </xf>
    <xf numFmtId="0" fontId="15" fillId="0" borderId="0" xfId="22" applyFont="1" applyAlignment="1">
      <alignment horizontal="center" vertical="center" wrapText="1"/>
    </xf>
    <xf numFmtId="0" fontId="0" fillId="0" borderId="0" xfId="0" applyAlignment="1">
      <alignment horizontal="center" vertical="center" wrapText="1"/>
    </xf>
    <xf numFmtId="0" fontId="11" fillId="19" borderId="15" xfId="22" applyFont="1" applyFill="1" applyBorder="1" applyAlignment="1">
      <alignment vertical="center" wrapText="1"/>
    </xf>
    <xf numFmtId="0" fontId="11" fillId="19" borderId="16" xfId="22" applyFont="1" applyFill="1" applyBorder="1" applyAlignment="1">
      <alignment vertical="center" wrapText="1"/>
    </xf>
    <xf numFmtId="9" fontId="12" fillId="0" borderId="17" xfId="28" applyFont="1" applyFill="1" applyBorder="1" applyAlignment="1" applyProtection="1">
      <alignment horizontal="center" vertical="center" wrapText="1"/>
    </xf>
    <xf numFmtId="0" fontId="16" fillId="2" borderId="0" xfId="22" applyFont="1" applyFill="1" applyAlignment="1">
      <alignment vertical="center" wrapText="1"/>
    </xf>
    <xf numFmtId="0" fontId="38" fillId="19" borderId="13" xfId="0" applyFont="1" applyFill="1" applyBorder="1" applyAlignment="1">
      <alignment vertical="center"/>
    </xf>
    <xf numFmtId="0" fontId="38" fillId="19" borderId="0" xfId="0" applyFont="1" applyFill="1" applyAlignment="1">
      <alignment vertical="center"/>
    </xf>
    <xf numFmtId="0" fontId="38" fillId="19" borderId="14" xfId="0" applyFont="1" applyFill="1" applyBorder="1" applyAlignment="1">
      <alignment vertical="center"/>
    </xf>
    <xf numFmtId="0" fontId="12" fillId="19" borderId="0" xfId="22" applyFont="1" applyFill="1" applyAlignment="1">
      <alignment horizontal="left" vertical="center" wrapText="1"/>
    </xf>
    <xf numFmtId="0" fontId="0" fillId="19" borderId="0" xfId="0" applyFill="1" applyAlignment="1">
      <alignment vertical="center"/>
    </xf>
    <xf numFmtId="0" fontId="11" fillId="19" borderId="13" xfId="22" applyFont="1" applyFill="1" applyBorder="1" applyAlignment="1">
      <alignment vertical="center" wrapText="1"/>
    </xf>
    <xf numFmtId="176" fontId="0" fillId="0" borderId="0" xfId="0" applyNumberFormat="1" applyAlignment="1">
      <alignment vertical="center"/>
    </xf>
    <xf numFmtId="175" fontId="0" fillId="19" borderId="0" xfId="0" applyNumberFormat="1" applyFill="1" applyAlignment="1">
      <alignment vertical="center"/>
    </xf>
    <xf numFmtId="0" fontId="11" fillId="0" borderId="18" xfId="22" applyFont="1" applyBorder="1" applyAlignment="1">
      <alignment horizontal="left" vertical="center" wrapText="1"/>
    </xf>
    <xf numFmtId="168" fontId="12" fillId="0" borderId="10" xfId="11" applyFont="1" applyFill="1" applyBorder="1" applyAlignment="1" applyProtection="1">
      <alignment horizontal="center" vertical="center" wrapText="1"/>
    </xf>
    <xf numFmtId="166" fontId="26" fillId="0" borderId="0" xfId="15" applyFont="1" applyAlignment="1">
      <alignment vertical="center"/>
    </xf>
    <xf numFmtId="0" fontId="12" fillId="20" borderId="1" xfId="22" applyFont="1" applyFill="1" applyBorder="1" applyAlignment="1">
      <alignment horizontal="center" vertical="center" wrapText="1"/>
    </xf>
    <xf numFmtId="0" fontId="12" fillId="0" borderId="10" xfId="22" applyFont="1" applyBorder="1" applyAlignment="1">
      <alignment horizontal="center" vertical="center" wrapText="1"/>
    </xf>
    <xf numFmtId="0" fontId="12" fillId="0" borderId="4" xfId="22" applyFont="1" applyBorder="1" applyAlignment="1">
      <alignment horizontal="left" vertical="center" wrapText="1"/>
    </xf>
    <xf numFmtId="0" fontId="12" fillId="9" borderId="19" xfId="22" applyFont="1" applyFill="1" applyBorder="1" applyAlignment="1">
      <alignment horizontal="left" vertical="center" wrapText="1"/>
    </xf>
    <xf numFmtId="9" fontId="39" fillId="9" borderId="19" xfId="30" applyFont="1" applyFill="1" applyBorder="1" applyAlignment="1" applyProtection="1">
      <alignment vertical="center" wrapText="1"/>
    </xf>
    <xf numFmtId="174" fontId="12" fillId="9" borderId="19" xfId="28" applyNumberFormat="1" applyFont="1" applyFill="1" applyBorder="1" applyAlignment="1" applyProtection="1">
      <alignment vertical="center" wrapText="1"/>
    </xf>
    <xf numFmtId="166" fontId="37" fillId="0" borderId="0" xfId="15" applyFont="1" applyAlignment="1">
      <alignment vertical="center"/>
    </xf>
    <xf numFmtId="9" fontId="11" fillId="0" borderId="4" xfId="29" applyFont="1" applyFill="1" applyBorder="1" applyAlignment="1" applyProtection="1">
      <alignment horizontal="center" vertical="center" wrapText="1"/>
      <protection locked="0"/>
    </xf>
    <xf numFmtId="9" fontId="12" fillId="0" borderId="20" xfId="22" applyNumberFormat="1" applyFont="1" applyBorder="1" applyAlignment="1">
      <alignment horizontal="center" vertical="center" wrapText="1"/>
    </xf>
    <xf numFmtId="9" fontId="12" fillId="0" borderId="0" xfId="22" applyNumberFormat="1" applyFont="1" applyAlignment="1">
      <alignment vertical="center" wrapText="1"/>
    </xf>
    <xf numFmtId="0" fontId="37" fillId="0" borderId="0" xfId="0" applyFont="1" applyAlignment="1">
      <alignment vertical="center"/>
    </xf>
    <xf numFmtId="0" fontId="12" fillId="9" borderId="1" xfId="22" applyFont="1" applyFill="1" applyBorder="1" applyAlignment="1">
      <alignment horizontal="left" vertical="center" wrapText="1"/>
    </xf>
    <xf numFmtId="9" fontId="11" fillId="9" borderId="1" xfId="28" applyFont="1" applyFill="1" applyBorder="1" applyAlignment="1" applyProtection="1">
      <alignment horizontal="center" vertical="center" wrapText="1"/>
      <protection locked="0"/>
    </xf>
    <xf numFmtId="9" fontId="12" fillId="0" borderId="2" xfId="22" applyNumberFormat="1" applyFont="1" applyBorder="1" applyAlignment="1">
      <alignment horizontal="center" vertical="center" wrapText="1"/>
    </xf>
    <xf numFmtId="0" fontId="12" fillId="0" borderId="1" xfId="22" applyFont="1" applyBorder="1" applyAlignment="1">
      <alignment horizontal="left" vertical="center" wrapText="1"/>
    </xf>
    <xf numFmtId="9" fontId="11" fillId="0" borderId="1" xfId="29" applyFont="1" applyFill="1" applyBorder="1" applyAlignment="1" applyProtection="1">
      <alignment horizontal="center" vertical="center" wrapText="1"/>
      <protection locked="0"/>
    </xf>
    <xf numFmtId="9" fontId="11" fillId="9" borderId="2" xfId="28" applyFont="1" applyFill="1" applyBorder="1" applyAlignment="1" applyProtection="1">
      <alignment horizontal="center" vertical="center" wrapText="1"/>
      <protection locked="0"/>
    </xf>
    <xf numFmtId="9" fontId="11" fillId="9" borderId="19" xfId="28" applyFont="1" applyFill="1" applyBorder="1" applyAlignment="1" applyProtection="1">
      <alignment horizontal="center" vertical="center" wrapText="1"/>
      <protection locked="0"/>
    </xf>
    <xf numFmtId="9" fontId="11" fillId="9" borderId="21" xfId="28" applyFont="1" applyFill="1" applyBorder="1" applyAlignment="1" applyProtection="1">
      <alignment horizontal="center" vertical="center" wrapText="1"/>
      <protection locked="0"/>
    </xf>
    <xf numFmtId="9" fontId="12" fillId="0" borderId="21" xfId="22" applyNumberFormat="1" applyFont="1" applyBorder="1" applyAlignment="1">
      <alignment horizontal="center" vertical="center" wrapText="1"/>
    </xf>
    <xf numFmtId="0" fontId="38" fillId="0" borderId="0" xfId="0" applyFont="1" applyAlignment="1">
      <alignment vertical="center"/>
    </xf>
    <xf numFmtId="0" fontId="40" fillId="9" borderId="22" xfId="0" applyFont="1" applyFill="1" applyBorder="1" applyAlignment="1">
      <alignment vertical="center"/>
    </xf>
    <xf numFmtId="0" fontId="40" fillId="9" borderId="23" xfId="0" applyFont="1" applyFill="1" applyBorder="1" applyAlignment="1">
      <alignment vertical="center"/>
    </xf>
    <xf numFmtId="0" fontId="40" fillId="9" borderId="0" xfId="0" applyFont="1" applyFill="1" applyAlignment="1">
      <alignment vertical="center"/>
    </xf>
    <xf numFmtId="0" fontId="40" fillId="9" borderId="24" xfId="0" applyFont="1" applyFill="1" applyBorder="1" applyAlignment="1">
      <alignment vertical="center"/>
    </xf>
    <xf numFmtId="0" fontId="40" fillId="9" borderId="3" xfId="0" applyFont="1" applyFill="1" applyBorder="1" applyAlignment="1">
      <alignment vertical="center"/>
    </xf>
    <xf numFmtId="0" fontId="40" fillId="9" borderId="25" xfId="0" applyFont="1" applyFill="1" applyBorder="1" applyAlignment="1">
      <alignment vertical="center"/>
    </xf>
    <xf numFmtId="0" fontId="40" fillId="9"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xf>
    <xf numFmtId="0" fontId="38" fillId="0" borderId="1" xfId="0" applyFont="1" applyBorder="1" applyAlignment="1">
      <alignment horizontal="center" vertical="center"/>
    </xf>
    <xf numFmtId="0" fontId="12" fillId="9" borderId="10" xfId="0" applyFont="1" applyFill="1" applyBorder="1" applyAlignment="1">
      <alignment horizontal="center" vertical="center" wrapText="1"/>
    </xf>
    <xf numFmtId="0" fontId="41" fillId="9" borderId="1" xfId="0" applyFont="1" applyFill="1" applyBorder="1" applyAlignment="1">
      <alignment horizontal="center" vertical="center"/>
    </xf>
    <xf numFmtId="0" fontId="38" fillId="0" borderId="0" xfId="0" applyFont="1" applyAlignment="1">
      <alignment horizontal="center" vertical="center"/>
    </xf>
    <xf numFmtId="0" fontId="42" fillId="0" borderId="1" xfId="0" applyFont="1" applyBorder="1" applyAlignment="1">
      <alignment vertical="center"/>
    </xf>
    <xf numFmtId="0" fontId="41" fillId="9" borderId="1" xfId="0" applyFont="1" applyFill="1" applyBorder="1" applyAlignment="1">
      <alignment horizontal="left" vertical="center"/>
    </xf>
    <xf numFmtId="0" fontId="38" fillId="0" borderId="1" xfId="0" applyFont="1" applyBorder="1" applyAlignment="1">
      <alignment horizontal="left" vertical="center"/>
    </xf>
    <xf numFmtId="0" fontId="38" fillId="0" borderId="2" xfId="0" applyFont="1" applyBorder="1" applyAlignment="1">
      <alignment horizontal="left" vertical="center"/>
    </xf>
    <xf numFmtId="41" fontId="38" fillId="0" borderId="1" xfId="12" applyFont="1" applyFill="1" applyBorder="1" applyAlignment="1">
      <alignment vertical="center"/>
    </xf>
    <xf numFmtId="0" fontId="42" fillId="0" borderId="0" xfId="0" applyFont="1" applyAlignment="1">
      <alignment vertical="center"/>
    </xf>
    <xf numFmtId="0" fontId="40" fillId="0" borderId="0" xfId="0" applyFont="1" applyAlignment="1">
      <alignment horizontal="left" vertical="center"/>
    </xf>
    <xf numFmtId="0" fontId="40" fillId="9" borderId="1" xfId="0" applyFont="1" applyFill="1" applyBorder="1" applyAlignment="1">
      <alignment vertical="center"/>
    </xf>
    <xf numFmtId="41" fontId="38" fillId="0" borderId="2" xfId="12" applyFont="1" applyFill="1" applyBorder="1" applyAlignment="1">
      <alignment vertical="center"/>
    </xf>
    <xf numFmtId="49" fontId="38" fillId="0" borderId="2" xfId="12" applyNumberFormat="1" applyFont="1" applyFill="1" applyBorder="1" applyAlignment="1">
      <alignment vertical="center"/>
    </xf>
    <xf numFmtId="49" fontId="38" fillId="0" borderId="1" xfId="12" applyNumberFormat="1" applyFont="1" applyFill="1" applyBorder="1" applyAlignment="1">
      <alignment vertical="center"/>
    </xf>
    <xf numFmtId="0" fontId="38" fillId="0" borderId="0" xfId="0" applyFont="1" applyAlignment="1">
      <alignment horizontal="left" vertical="center"/>
    </xf>
    <xf numFmtId="0" fontId="40" fillId="21" borderId="1" xfId="0" applyFont="1" applyFill="1" applyBorder="1" applyAlignment="1">
      <alignment horizontal="center" vertical="center"/>
    </xf>
    <xf numFmtId="0" fontId="38" fillId="0" borderId="4" xfId="0" applyFont="1" applyBorder="1" applyAlignment="1">
      <alignment horizontal="left" vertical="center" wrapText="1"/>
    </xf>
    <xf numFmtId="0" fontId="38" fillId="0" borderId="1" xfId="0" applyFont="1" applyBorder="1" applyAlignment="1">
      <alignment horizontal="left" vertical="center" wrapText="1"/>
    </xf>
    <xf numFmtId="0" fontId="38" fillId="0" borderId="1" xfId="0" applyFont="1" applyBorder="1" applyAlignment="1">
      <alignment vertical="center" wrapText="1"/>
    </xf>
    <xf numFmtId="0" fontId="40" fillId="0" borderId="1" xfId="0" applyFont="1" applyBorder="1" applyAlignment="1">
      <alignment vertical="center" wrapText="1"/>
    </xf>
    <xf numFmtId="0" fontId="11" fillId="19" borderId="1" xfId="0" applyFont="1" applyFill="1" applyBorder="1" applyAlignment="1">
      <alignment horizontal="left" vertical="center" wrapText="1"/>
    </xf>
    <xf numFmtId="0" fontId="40" fillId="0" borderId="10" xfId="0" applyFont="1" applyBorder="1" applyAlignment="1">
      <alignment horizontal="left" vertical="center" wrapText="1"/>
    </xf>
    <xf numFmtId="0" fontId="38" fillId="0" borderId="10" xfId="0" applyFont="1" applyBorder="1" applyAlignment="1">
      <alignment horizontal="left" vertical="center"/>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0" fontId="12" fillId="0" borderId="2" xfId="22" applyFont="1" applyBorder="1" applyAlignment="1">
      <alignment horizontal="center" vertical="center" wrapText="1"/>
    </xf>
    <xf numFmtId="0" fontId="12" fillId="0" borderId="26" xfId="22" applyFont="1" applyBorder="1" applyAlignment="1">
      <alignment horizontal="center" vertical="center" wrapText="1"/>
    </xf>
    <xf numFmtId="0" fontId="17" fillId="19" borderId="0" xfId="0" applyFont="1" applyFill="1" applyAlignment="1">
      <alignment vertical="center"/>
    </xf>
    <xf numFmtId="0" fontId="17" fillId="19" borderId="0" xfId="0" applyFont="1" applyFill="1" applyAlignment="1">
      <alignment horizontal="center" vertical="center"/>
    </xf>
    <xf numFmtId="49" fontId="12" fillId="9" borderId="10" xfId="0" applyNumberFormat="1" applyFont="1" applyFill="1" applyBorder="1" applyAlignment="1">
      <alignment horizontal="center" vertical="center" wrapText="1"/>
    </xf>
    <xf numFmtId="0" fontId="17" fillId="0" borderId="1" xfId="0" applyFont="1" applyBorder="1" applyAlignment="1">
      <alignment vertical="center"/>
    </xf>
    <xf numFmtId="0" fontId="13" fillId="22" borderId="1" xfId="0" applyFont="1" applyFill="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vertical="center" wrapText="1"/>
    </xf>
    <xf numFmtId="0" fontId="13" fillId="22" borderId="1" xfId="0" applyFont="1" applyFill="1" applyBorder="1" applyAlignment="1">
      <alignment horizontal="left" vertical="center"/>
    </xf>
    <xf numFmtId="0" fontId="12" fillId="9" borderId="1" xfId="0" applyFont="1" applyFill="1" applyBorder="1" applyAlignment="1">
      <alignment horizontal="left" vertical="center" wrapText="1"/>
    </xf>
    <xf numFmtId="0" fontId="12" fillId="9" borderId="1" xfId="0" applyFont="1" applyFill="1" applyBorder="1" applyAlignment="1">
      <alignment vertical="center" wrapText="1"/>
    </xf>
    <xf numFmtId="177" fontId="13" fillId="22" borderId="1" xfId="15" applyNumberFormat="1" applyFont="1" applyFill="1" applyBorder="1" applyAlignment="1">
      <alignment horizontal="center" vertical="center"/>
    </xf>
    <xf numFmtId="177" fontId="13" fillId="22" borderId="1" xfId="0" applyNumberFormat="1" applyFont="1" applyFill="1" applyBorder="1" applyAlignment="1">
      <alignment horizontal="center" vertical="center"/>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9" fontId="12" fillId="0" borderId="10" xfId="28" applyFont="1" applyFill="1" applyBorder="1" applyAlignment="1" applyProtection="1">
      <alignment horizontal="center" vertical="center" wrapText="1"/>
    </xf>
    <xf numFmtId="9" fontId="12" fillId="9" borderId="19" xfId="28" applyFont="1" applyFill="1" applyBorder="1" applyAlignment="1" applyProtection="1">
      <alignment horizontal="center" vertical="center" wrapText="1"/>
    </xf>
    <xf numFmtId="0" fontId="12" fillId="19" borderId="30" xfId="22" applyFont="1" applyFill="1" applyBorder="1" applyAlignment="1">
      <alignment horizontal="center" vertical="center" wrapText="1"/>
    </xf>
    <xf numFmtId="0" fontId="12" fillId="19" borderId="22" xfId="22" applyFont="1" applyFill="1" applyBorder="1" applyAlignment="1">
      <alignment horizontal="center" vertical="center" wrapText="1"/>
    </xf>
    <xf numFmtId="0" fontId="12" fillId="19" borderId="23" xfId="22" applyFont="1" applyFill="1" applyBorder="1" applyAlignment="1">
      <alignment horizontal="center" vertical="center" wrapText="1"/>
    </xf>
    <xf numFmtId="0" fontId="43" fillId="0" borderId="0" xfId="0" applyFont="1" applyAlignment="1">
      <alignment horizontal="center" vertical="center"/>
    </xf>
    <xf numFmtId="0" fontId="37" fillId="0" borderId="0" xfId="0" applyFont="1" applyAlignment="1">
      <alignment horizontal="center" vertical="center" wrapText="1"/>
    </xf>
    <xf numFmtId="0" fontId="0" fillId="0" borderId="0" xfId="0" applyAlignment="1">
      <alignment horizontal="center" vertical="center"/>
    </xf>
    <xf numFmtId="0" fontId="12" fillId="0" borderId="13" xfId="22" applyFont="1" applyBorder="1" applyAlignment="1">
      <alignment vertical="center" wrapText="1"/>
    </xf>
    <xf numFmtId="0" fontId="12" fillId="0" borderId="0" xfId="22" applyFont="1" applyAlignment="1">
      <alignment vertical="center" wrapText="1"/>
    </xf>
    <xf numFmtId="0" fontId="14" fillId="0" borderId="0" xfId="22" applyFont="1" applyAlignment="1">
      <alignment vertical="center" wrapText="1"/>
    </xf>
    <xf numFmtId="0" fontId="11" fillId="0" borderId="0" xfId="22" applyFont="1" applyAlignment="1">
      <alignment vertical="center" wrapText="1"/>
    </xf>
    <xf numFmtId="0" fontId="11" fillId="0" borderId="14" xfId="22" applyFont="1" applyBorder="1" applyAlignment="1">
      <alignment vertical="center" wrapText="1"/>
    </xf>
    <xf numFmtId="173" fontId="26" fillId="0" borderId="1" xfId="10" applyNumberFormat="1" applyFont="1" applyBorder="1" applyAlignment="1">
      <alignment vertical="center"/>
    </xf>
    <xf numFmtId="173" fontId="26" fillId="0" borderId="8" xfId="10" applyNumberFormat="1" applyFont="1" applyBorder="1" applyAlignment="1">
      <alignment vertical="center"/>
    </xf>
    <xf numFmtId="173" fontId="26" fillId="0" borderId="19" xfId="10" applyNumberFormat="1" applyFont="1" applyBorder="1" applyAlignment="1">
      <alignment vertical="center"/>
    </xf>
    <xf numFmtId="173" fontId="26" fillId="0" borderId="4" xfId="10" applyNumberFormat="1" applyFont="1" applyBorder="1" applyAlignment="1">
      <alignment vertical="center"/>
    </xf>
    <xf numFmtId="173" fontId="26" fillId="0" borderId="2" xfId="10" applyNumberFormat="1" applyFont="1" applyBorder="1" applyAlignment="1">
      <alignment vertical="center"/>
    </xf>
    <xf numFmtId="173" fontId="26" fillId="0" borderId="32" xfId="10" applyNumberFormat="1" applyFont="1" applyBorder="1" applyAlignment="1">
      <alignment vertical="center"/>
    </xf>
    <xf numFmtId="173" fontId="26" fillId="0" borderId="20" xfId="10" applyNumberFormat="1" applyFont="1" applyBorder="1" applyAlignment="1">
      <alignment vertical="center"/>
    </xf>
    <xf numFmtId="9" fontId="26" fillId="0" borderId="21" xfId="28" applyFont="1" applyBorder="1" applyAlignment="1">
      <alignment vertical="center"/>
    </xf>
    <xf numFmtId="9" fontId="26" fillId="0" borderId="9" xfId="28" applyFont="1" applyBorder="1" applyAlignment="1">
      <alignment vertical="center"/>
    </xf>
    <xf numFmtId="9" fontId="26" fillId="0" borderId="33" xfId="28" applyFont="1" applyBorder="1" applyAlignment="1">
      <alignment vertical="center"/>
    </xf>
    <xf numFmtId="9" fontId="26" fillId="0" borderId="34" xfId="28" applyFont="1" applyBorder="1" applyAlignment="1">
      <alignment vertical="center"/>
    </xf>
    <xf numFmtId="0" fontId="3" fillId="9" borderId="10"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4" xfId="0" applyFont="1" applyFill="1" applyBorder="1" applyAlignment="1">
      <alignment horizontal="center" vertical="center" wrapText="1"/>
    </xf>
    <xf numFmtId="177" fontId="13" fillId="0" borderId="1" xfId="15" applyNumberFormat="1" applyFont="1" applyFill="1" applyBorder="1" applyAlignment="1">
      <alignment horizontal="center" vertical="center"/>
    </xf>
    <xf numFmtId="0" fontId="17" fillId="23" borderId="1" xfId="0" applyFont="1" applyFill="1" applyBorder="1" applyAlignment="1">
      <alignment horizontal="center" vertical="center"/>
    </xf>
    <xf numFmtId="0" fontId="13" fillId="23" borderId="1" xfId="0" applyFont="1" applyFill="1" applyBorder="1" applyAlignment="1">
      <alignment horizontal="center" vertical="center"/>
    </xf>
    <xf numFmtId="9" fontId="26" fillId="0" borderId="2" xfId="28" applyFont="1" applyBorder="1" applyAlignment="1">
      <alignment vertical="center"/>
    </xf>
    <xf numFmtId="0" fontId="12" fillId="9" borderId="2" xfId="0" applyFont="1" applyFill="1" applyBorder="1" applyAlignment="1">
      <alignment horizontal="center" vertical="center" wrapText="1"/>
    </xf>
    <xf numFmtId="9" fontId="40" fillId="9" borderId="1" xfId="28" applyFont="1" applyFill="1" applyBorder="1" applyAlignment="1">
      <alignment horizontal="center" vertical="center" wrapText="1"/>
    </xf>
    <xf numFmtId="9" fontId="38" fillId="0" borderId="0" xfId="28" applyFont="1" applyAlignment="1">
      <alignment vertical="center"/>
    </xf>
    <xf numFmtId="0" fontId="40" fillId="21" borderId="1" xfId="0" applyFont="1" applyFill="1" applyBorder="1" applyAlignment="1">
      <alignment horizontal="left" vertical="center"/>
    </xf>
    <xf numFmtId="0" fontId="40" fillId="0" borderId="1" xfId="0" applyFont="1" applyBorder="1" applyAlignment="1">
      <alignment horizontal="left" vertical="center"/>
    </xf>
    <xf numFmtId="0" fontId="40" fillId="0" borderId="1" xfId="0" applyFont="1" applyBorder="1" applyAlignment="1">
      <alignment horizontal="left" vertical="center" wrapText="1"/>
    </xf>
    <xf numFmtId="178" fontId="17" fillId="0" borderId="1" xfId="14" applyNumberFormat="1" applyFont="1" applyBorder="1" applyAlignment="1">
      <alignment vertical="center"/>
    </xf>
    <xf numFmtId="178" fontId="13" fillId="22" borderId="1" xfId="14" applyNumberFormat="1" applyFont="1" applyFill="1" applyBorder="1" applyAlignment="1">
      <alignment horizontal="center" vertical="center"/>
    </xf>
    <xf numFmtId="0" fontId="13" fillId="0" borderId="10" xfId="0" applyFont="1" applyBorder="1" applyAlignment="1">
      <alignment horizontal="left" vertical="center" wrapText="1"/>
    </xf>
    <xf numFmtId="0" fontId="12" fillId="19" borderId="80" xfId="22" applyFont="1" applyFill="1" applyBorder="1" applyAlignment="1">
      <alignment vertical="center" wrapText="1"/>
    </xf>
    <xf numFmtId="0" fontId="12" fillId="19" borderId="81" xfId="22" applyFont="1" applyFill="1" applyBorder="1" applyAlignment="1">
      <alignment vertical="center" wrapText="1"/>
    </xf>
    <xf numFmtId="0" fontId="11" fillId="19" borderId="36" xfId="22" applyFont="1" applyFill="1" applyBorder="1" applyAlignment="1">
      <alignment vertical="center" wrapText="1"/>
    </xf>
    <xf numFmtId="0" fontId="11" fillId="19" borderId="37" xfId="22" applyFont="1" applyFill="1" applyBorder="1" applyAlignment="1">
      <alignment vertical="center" wrapText="1"/>
    </xf>
    <xf numFmtId="9" fontId="11" fillId="19" borderId="4" xfId="29" applyFont="1" applyFill="1" applyBorder="1" applyAlignment="1" applyProtection="1">
      <alignment horizontal="center" vertical="center" wrapText="1"/>
      <protection locked="0"/>
    </xf>
    <xf numFmtId="9" fontId="11" fillId="19" borderId="1" xfId="28" applyFont="1" applyFill="1" applyBorder="1" applyAlignment="1" applyProtection="1">
      <alignment horizontal="center" vertical="center" wrapText="1"/>
      <protection locked="0"/>
    </xf>
    <xf numFmtId="179" fontId="11" fillId="0" borderId="82" xfId="25" applyNumberFormat="1" applyFont="1" applyBorder="1" applyAlignment="1">
      <alignment vertical="top" wrapText="1"/>
    </xf>
    <xf numFmtId="0" fontId="11" fillId="0" borderId="82" xfId="25" applyFont="1" applyBorder="1" applyAlignment="1">
      <alignment vertical="top" wrapText="1"/>
    </xf>
    <xf numFmtId="0" fontId="11" fillId="0" borderId="83" xfId="25" applyFont="1" applyBorder="1" applyAlignment="1">
      <alignment vertical="top" wrapText="1"/>
    </xf>
    <xf numFmtId="180" fontId="11" fillId="0" borderId="82" xfId="25" applyNumberFormat="1" applyFont="1" applyBorder="1" applyAlignment="1">
      <alignment vertical="top" wrapText="1"/>
    </xf>
    <xf numFmtId="181" fontId="11" fillId="0" borderId="82" xfId="25" applyNumberFormat="1" applyFont="1" applyBorder="1" applyAlignment="1">
      <alignment vertical="top" wrapText="1"/>
    </xf>
    <xf numFmtId="0" fontId="11" fillId="0" borderId="84" xfId="25" applyFont="1" applyBorder="1" applyAlignment="1">
      <alignment vertical="top" wrapText="1"/>
    </xf>
    <xf numFmtId="181" fontId="11" fillId="0" borderId="84" xfId="25" applyNumberFormat="1" applyFont="1" applyBorder="1" applyAlignment="1">
      <alignment vertical="top" wrapText="1"/>
    </xf>
    <xf numFmtId="3" fontId="11" fillId="0" borderId="82" xfId="25" applyNumberFormat="1" applyFont="1" applyBorder="1" applyAlignment="1">
      <alignment vertical="top" wrapText="1"/>
    </xf>
    <xf numFmtId="179" fontId="11" fillId="0" borderId="85" xfId="25" applyNumberFormat="1" applyFont="1" applyBorder="1" applyAlignment="1">
      <alignment vertical="top" wrapText="1"/>
    </xf>
    <xf numFmtId="0" fontId="11" fillId="0" borderId="0" xfId="25" applyFont="1" applyAlignment="1">
      <alignment vertical="top" wrapText="1"/>
    </xf>
    <xf numFmtId="173" fontId="26" fillId="0" borderId="1" xfId="10" applyNumberFormat="1" applyFont="1" applyFill="1" applyBorder="1" applyAlignment="1">
      <alignment vertical="center"/>
    </xf>
    <xf numFmtId="180" fontId="11" fillId="0" borderId="84" xfId="25" applyNumberFormat="1" applyFont="1" applyBorder="1" applyAlignment="1">
      <alignment vertical="top" wrapText="1"/>
    </xf>
    <xf numFmtId="180" fontId="11" fillId="0" borderId="86" xfId="25" applyNumberFormat="1" applyFont="1" applyBorder="1" applyAlignment="1">
      <alignment vertical="top" wrapText="1"/>
    </xf>
    <xf numFmtId="181" fontId="11" fillId="0" borderId="83" xfId="25" applyNumberFormat="1" applyFont="1" applyBorder="1" applyAlignment="1">
      <alignment vertical="top" wrapText="1"/>
    </xf>
    <xf numFmtId="180" fontId="11" fillId="19" borderId="1" xfId="25" applyNumberFormat="1" applyFont="1" applyFill="1" applyBorder="1" applyAlignment="1">
      <alignment vertical="top" wrapText="1"/>
    </xf>
    <xf numFmtId="0" fontId="11" fillId="0" borderId="87" xfId="25" applyFont="1" applyBorder="1" applyAlignment="1">
      <alignment vertical="top" wrapText="1"/>
    </xf>
    <xf numFmtId="0" fontId="11" fillId="0" borderId="88" xfId="25" applyFont="1" applyBorder="1" applyAlignment="1">
      <alignment vertical="top" wrapText="1"/>
    </xf>
    <xf numFmtId="0" fontId="11" fillId="0" borderId="1" xfId="25" applyFont="1" applyBorder="1" applyAlignment="1">
      <alignment vertical="top" wrapText="1"/>
    </xf>
    <xf numFmtId="0" fontId="11" fillId="0" borderId="89" xfId="25" applyFont="1" applyBorder="1" applyAlignment="1">
      <alignment vertical="top" wrapText="1"/>
    </xf>
    <xf numFmtId="182" fontId="11" fillId="0" borderId="83" xfId="25" applyNumberFormat="1" applyFont="1" applyBorder="1" applyAlignment="1">
      <alignment vertical="top" wrapText="1"/>
    </xf>
    <xf numFmtId="0" fontId="11" fillId="0" borderId="1" xfId="25" quotePrefix="1" applyFont="1" applyBorder="1" applyAlignment="1">
      <alignment vertical="top" wrapText="1"/>
    </xf>
    <xf numFmtId="9" fontId="11" fillId="0" borderId="1" xfId="25" applyNumberFormat="1" applyFont="1" applyBorder="1" applyAlignment="1">
      <alignment vertical="top" wrapText="1"/>
    </xf>
    <xf numFmtId="9" fontId="11" fillId="19" borderId="1" xfId="29" applyFont="1" applyFill="1" applyBorder="1" applyAlignment="1" applyProtection="1">
      <alignment horizontal="center" vertical="center" wrapText="1"/>
      <protection locked="0"/>
    </xf>
    <xf numFmtId="0" fontId="12" fillId="20" borderId="9" xfId="22" applyFont="1" applyFill="1" applyBorder="1" applyAlignment="1">
      <alignment horizontal="center" vertical="center" wrapText="1"/>
    </xf>
    <xf numFmtId="0" fontId="12" fillId="20" borderId="5" xfId="22" applyFont="1" applyFill="1" applyBorder="1" applyAlignment="1">
      <alignment horizontal="center" vertical="center" wrapText="1"/>
    </xf>
    <xf numFmtId="0" fontId="12" fillId="20" borderId="31" xfId="22" applyFont="1" applyFill="1" applyBorder="1" applyAlignment="1">
      <alignment horizontal="center" vertical="center" wrapText="1"/>
    </xf>
    <xf numFmtId="0" fontId="12" fillId="20" borderId="18" xfId="22" applyFont="1" applyFill="1" applyBorder="1" applyAlignment="1">
      <alignment horizontal="center" vertical="center" wrapText="1"/>
    </xf>
    <xf numFmtId="0" fontId="12" fillId="0" borderId="25" xfId="22" applyFont="1" applyBorder="1" applyAlignment="1">
      <alignment horizontal="left" vertical="center" wrapText="1"/>
    </xf>
    <xf numFmtId="0" fontId="12" fillId="9" borderId="5" xfId="22" applyFont="1" applyFill="1" applyBorder="1" applyAlignment="1">
      <alignment horizontal="left" vertical="center" wrapText="1"/>
    </xf>
    <xf numFmtId="0" fontId="12" fillId="0" borderId="5" xfId="22" applyFont="1" applyBorder="1" applyAlignment="1">
      <alignment horizontal="left" vertical="center" wrapText="1"/>
    </xf>
    <xf numFmtId="0" fontId="12" fillId="0" borderId="35" xfId="22" applyFont="1" applyBorder="1" applyAlignment="1">
      <alignment horizontal="center" vertical="center" wrapText="1"/>
    </xf>
    <xf numFmtId="0" fontId="24" fillId="0" borderId="0" xfId="0" applyFont="1" applyAlignment="1">
      <alignment horizontal="justify" vertical="center" wrapText="1"/>
    </xf>
    <xf numFmtId="0" fontId="0" fillId="0" borderId="0" xfId="0" applyAlignment="1">
      <alignment horizontal="justify" vertical="center" wrapText="1"/>
    </xf>
    <xf numFmtId="0" fontId="23" fillId="24" borderId="82" xfId="0" applyFont="1" applyFill="1" applyBorder="1" applyAlignment="1">
      <alignment horizontal="center" vertical="center" wrapText="1"/>
    </xf>
    <xf numFmtId="0" fontId="23" fillId="0" borderId="82" xfId="0" applyFont="1" applyBorder="1" applyAlignment="1">
      <alignment horizontal="center" vertical="center" wrapText="1"/>
    </xf>
    <xf numFmtId="9" fontId="24" fillId="0" borderId="0" xfId="0" applyNumberFormat="1" applyFont="1" applyAlignment="1">
      <alignment horizontal="center" vertical="center"/>
    </xf>
    <xf numFmtId="184" fontId="23" fillId="25" borderId="0" xfId="0" applyNumberFormat="1" applyFont="1" applyFill="1" applyAlignment="1">
      <alignment horizontal="center" vertical="center"/>
    </xf>
    <xf numFmtId="0" fontId="38" fillId="0" borderId="0" xfId="0" applyFont="1" applyAlignment="1">
      <alignment horizontal="justify" vertical="center" wrapText="1"/>
    </xf>
    <xf numFmtId="184" fontId="24" fillId="0" borderId="0" xfId="0" applyNumberFormat="1" applyFont="1" applyAlignment="1">
      <alignment horizontal="justify" vertical="center" wrapText="1"/>
    </xf>
    <xf numFmtId="0" fontId="23" fillId="26" borderId="82" xfId="0" applyFont="1" applyFill="1" applyBorder="1" applyAlignment="1">
      <alignment horizontal="center" vertical="center" wrapText="1"/>
    </xf>
    <xf numFmtId="184" fontId="24" fillId="26" borderId="0" xfId="0" applyNumberFormat="1" applyFont="1" applyFill="1" applyAlignment="1">
      <alignment horizontal="center" vertical="center"/>
    </xf>
    <xf numFmtId="184" fontId="23" fillId="26" borderId="0" xfId="0" applyNumberFormat="1" applyFont="1" applyFill="1" applyAlignment="1">
      <alignment horizontal="center" vertical="center"/>
    </xf>
    <xf numFmtId="184" fontId="38" fillId="0" borderId="0" xfId="0" applyNumberFormat="1" applyFont="1" applyAlignment="1">
      <alignment horizontal="justify" vertical="center" wrapText="1"/>
    </xf>
    <xf numFmtId="0" fontId="23" fillId="26" borderId="83" xfId="0" applyFont="1" applyFill="1" applyBorder="1" applyAlignment="1">
      <alignment horizontal="center" vertical="center" wrapText="1"/>
    </xf>
    <xf numFmtId="9" fontId="25" fillId="0" borderId="0" xfId="0" applyNumberFormat="1" applyFont="1" applyAlignment="1">
      <alignment horizontal="justify" vertical="center" wrapText="1"/>
    </xf>
    <xf numFmtId="174" fontId="24" fillId="0" borderId="0" xfId="0" applyNumberFormat="1" applyFont="1" applyAlignment="1">
      <alignment horizontal="center" vertical="center" wrapText="1"/>
    </xf>
    <xf numFmtId="0" fontId="23" fillId="0" borderId="0" xfId="0" applyFont="1" applyAlignment="1">
      <alignment horizontal="center" vertical="center" wrapText="1"/>
    </xf>
    <xf numFmtId="184" fontId="23" fillId="0" borderId="0" xfId="0" applyNumberFormat="1" applyFont="1" applyAlignment="1">
      <alignment horizontal="center" vertical="center"/>
    </xf>
    <xf numFmtId="0" fontId="25" fillId="0" borderId="0" xfId="0" applyFont="1" applyAlignment="1">
      <alignment horizontal="justify" vertical="center" wrapText="1"/>
    </xf>
    <xf numFmtId="174" fontId="11" fillId="0" borderId="0" xfId="0" applyNumberFormat="1" applyFont="1" applyAlignment="1">
      <alignment vertical="center"/>
    </xf>
    <xf numFmtId="184" fontId="24" fillId="0" borderId="0" xfId="0" applyNumberFormat="1" applyFont="1" applyAlignment="1">
      <alignment horizontal="center" vertical="center"/>
    </xf>
    <xf numFmtId="0" fontId="24" fillId="0" borderId="0" xfId="0" applyFont="1" applyAlignment="1">
      <alignment horizontal="center" vertical="center"/>
    </xf>
    <xf numFmtId="0" fontId="24" fillId="27" borderId="0" xfId="0" applyFont="1" applyFill="1" applyAlignment="1">
      <alignment horizontal="center" vertical="center"/>
    </xf>
    <xf numFmtId="185" fontId="23" fillId="27" borderId="0" xfId="0" applyNumberFormat="1" applyFont="1" applyFill="1" applyAlignment="1">
      <alignment horizontal="center" vertical="center"/>
    </xf>
    <xf numFmtId="0" fontId="24" fillId="0" borderId="0" xfId="0" applyFont="1" applyAlignment="1">
      <alignment vertical="center"/>
    </xf>
    <xf numFmtId="0" fontId="23" fillId="28" borderId="0" xfId="0" applyFont="1" applyFill="1" applyAlignment="1">
      <alignment vertical="center"/>
    </xf>
    <xf numFmtId="186" fontId="24" fillId="28" borderId="0" xfId="0" applyNumberFormat="1" applyFont="1" applyFill="1" applyAlignment="1">
      <alignment horizontal="center" vertical="center"/>
    </xf>
    <xf numFmtId="184" fontId="24" fillId="28" borderId="0" xfId="0" applyNumberFormat="1" applyFont="1" applyFill="1" applyAlignment="1">
      <alignment horizontal="center" vertical="center"/>
    </xf>
    <xf numFmtId="0" fontId="4" fillId="0" borderId="0" xfId="0" applyFont="1" applyAlignment="1">
      <alignment horizontal="justify" vertical="center" wrapText="1"/>
    </xf>
    <xf numFmtId="0" fontId="4" fillId="0" borderId="0" xfId="0" applyFont="1" applyAlignment="1">
      <alignment vertical="center"/>
    </xf>
    <xf numFmtId="4" fontId="12" fillId="0" borderId="35" xfId="28" applyNumberFormat="1" applyFont="1" applyFill="1" applyBorder="1" applyAlignment="1" applyProtection="1">
      <alignment horizontal="center" vertical="center" wrapText="1"/>
    </xf>
    <xf numFmtId="4" fontId="12" fillId="0" borderId="38" xfId="28" applyNumberFormat="1" applyFont="1" applyFill="1" applyBorder="1" applyAlignment="1" applyProtection="1">
      <alignment horizontal="center" vertical="center" wrapText="1"/>
    </xf>
    <xf numFmtId="4" fontId="12" fillId="9" borderId="31" xfId="28" applyNumberFormat="1" applyFont="1" applyFill="1" applyBorder="1" applyAlignment="1" applyProtection="1">
      <alignment horizontal="center" vertical="center" wrapText="1"/>
    </xf>
    <xf numFmtId="4" fontId="12" fillId="9" borderId="19" xfId="28" applyNumberFormat="1" applyFont="1" applyFill="1" applyBorder="1" applyAlignment="1" applyProtection="1">
      <alignment horizontal="center" vertical="center" wrapText="1"/>
    </xf>
    <xf numFmtId="4" fontId="12" fillId="9" borderId="33" xfId="28" applyNumberFormat="1" applyFont="1" applyFill="1" applyBorder="1" applyAlignment="1" applyProtection="1">
      <alignment horizontal="center" vertical="center" wrapText="1"/>
    </xf>
    <xf numFmtId="0" fontId="12" fillId="9" borderId="10" xfId="22" applyFont="1" applyFill="1" applyBorder="1" applyAlignment="1">
      <alignment horizontal="left" vertical="center" wrapText="1"/>
    </xf>
    <xf numFmtId="9" fontId="12" fillId="0" borderId="34" xfId="22" applyNumberFormat="1" applyFont="1" applyBorder="1" applyAlignment="1">
      <alignment horizontal="center" vertical="center" wrapText="1"/>
    </xf>
    <xf numFmtId="9" fontId="12" fillId="0" borderId="9" xfId="22" applyNumberFormat="1" applyFont="1" applyBorder="1" applyAlignment="1">
      <alignment horizontal="center" vertical="center" wrapText="1"/>
    </xf>
    <xf numFmtId="9" fontId="12" fillId="0" borderId="33" xfId="22" applyNumberFormat="1" applyFont="1" applyBorder="1" applyAlignment="1">
      <alignment horizontal="center" vertical="center" wrapText="1"/>
    </xf>
    <xf numFmtId="0" fontId="12" fillId="20" borderId="19" xfId="22" applyFont="1" applyFill="1" applyBorder="1" applyAlignment="1">
      <alignment horizontal="center" vertical="center" wrapText="1"/>
    </xf>
    <xf numFmtId="0" fontId="12" fillId="20" borderId="33" xfId="22" applyFont="1" applyFill="1" applyBorder="1" applyAlignment="1">
      <alignment horizontal="center" vertical="center" wrapText="1"/>
    </xf>
    <xf numFmtId="4" fontId="12" fillId="0" borderId="14" xfId="28" applyNumberFormat="1" applyFont="1" applyFill="1" applyBorder="1" applyAlignment="1" applyProtection="1">
      <alignment horizontal="center" vertical="center" wrapText="1"/>
    </xf>
    <xf numFmtId="4" fontId="12" fillId="9" borderId="39" xfId="28" applyNumberFormat="1" applyFont="1" applyFill="1" applyBorder="1" applyAlignment="1" applyProtection="1">
      <alignment horizontal="center" vertical="center" wrapText="1"/>
    </xf>
    <xf numFmtId="4" fontId="12" fillId="9" borderId="40" xfId="28" applyNumberFormat="1" applyFont="1" applyFill="1" applyBorder="1" applyAlignment="1" applyProtection="1">
      <alignment horizontal="center" vertical="center" wrapText="1"/>
    </xf>
    <xf numFmtId="0" fontId="12" fillId="9" borderId="33" xfId="22" applyFont="1" applyFill="1" applyBorder="1" applyAlignment="1">
      <alignment horizontal="left" vertical="center" wrapText="1"/>
    </xf>
    <xf numFmtId="4" fontId="12" fillId="0" borderId="25" xfId="28" applyNumberFormat="1" applyFont="1" applyFill="1" applyBorder="1" applyAlignment="1" applyProtection="1">
      <alignment horizontal="center" vertical="center" wrapText="1"/>
    </xf>
    <xf numFmtId="4" fontId="12" fillId="0" borderId="4" xfId="28" applyNumberFormat="1" applyFont="1" applyFill="1" applyBorder="1" applyAlignment="1" applyProtection="1">
      <alignment horizontal="center" vertical="center" wrapText="1"/>
    </xf>
    <xf numFmtId="4" fontId="12" fillId="0" borderId="34" xfId="28" applyNumberFormat="1" applyFont="1" applyFill="1" applyBorder="1" applyAlignment="1" applyProtection="1">
      <alignment horizontal="center" vertical="center" wrapText="1"/>
    </xf>
    <xf numFmtId="9" fontId="11" fillId="9" borderId="41" xfId="28" applyFont="1" applyFill="1" applyBorder="1" applyAlignment="1" applyProtection="1">
      <alignment horizontal="center" vertical="center" wrapText="1"/>
      <protection locked="0"/>
    </xf>
    <xf numFmtId="9" fontId="11" fillId="9" borderId="42" xfId="28" applyFont="1" applyFill="1" applyBorder="1" applyAlignment="1" applyProtection="1">
      <alignment horizontal="center" vertical="center" wrapText="1"/>
      <protection locked="0"/>
    </xf>
    <xf numFmtId="9" fontId="12" fillId="0" borderId="42" xfId="22" applyNumberFormat="1" applyFont="1" applyBorder="1" applyAlignment="1">
      <alignment horizontal="center" vertical="center" wrapText="1"/>
    </xf>
    <xf numFmtId="9" fontId="11" fillId="19" borderId="41" xfId="29" applyFont="1" applyFill="1" applyBorder="1" applyAlignment="1" applyProtection="1">
      <alignment horizontal="center" vertical="center" wrapText="1"/>
      <protection locked="0"/>
    </xf>
    <xf numFmtId="0" fontId="12" fillId="20" borderId="40" xfId="22" applyFont="1" applyFill="1" applyBorder="1" applyAlignment="1">
      <alignment horizontal="center" vertical="center" wrapText="1"/>
    </xf>
    <xf numFmtId="0" fontId="12" fillId="0" borderId="40" xfId="22" applyFont="1" applyBorder="1" applyAlignment="1">
      <alignment horizontal="left" vertical="center" wrapText="1"/>
    </xf>
    <xf numFmtId="0" fontId="12" fillId="9" borderId="43" xfId="22" applyFont="1" applyFill="1" applyBorder="1" applyAlignment="1">
      <alignment horizontal="left" vertical="center" wrapText="1"/>
    </xf>
    <xf numFmtId="9" fontId="11" fillId="19" borderId="19" xfId="28" applyFont="1" applyFill="1" applyBorder="1" applyAlignment="1" applyProtection="1">
      <alignment horizontal="center" vertical="center" wrapText="1"/>
      <protection locked="0"/>
    </xf>
    <xf numFmtId="0" fontId="12" fillId="0" borderId="9" xfId="22" applyFont="1" applyBorder="1" applyAlignment="1">
      <alignment horizontal="left" vertical="center" wrapText="1"/>
    </xf>
    <xf numFmtId="4" fontId="12" fillId="0" borderId="32" xfId="28" applyNumberFormat="1" applyFont="1" applyFill="1" applyBorder="1" applyAlignment="1" applyProtection="1">
      <alignment horizontal="center" vertical="center" wrapText="1"/>
    </xf>
    <xf numFmtId="4" fontId="12" fillId="0" borderId="24" xfId="28" applyNumberFormat="1" applyFont="1" applyFill="1" applyBorder="1" applyAlignment="1" applyProtection="1">
      <alignment horizontal="center" vertical="center" wrapText="1"/>
    </xf>
    <xf numFmtId="173" fontId="12" fillId="0" borderId="35" xfId="10" applyNumberFormat="1" applyFont="1" applyFill="1" applyBorder="1" applyAlignment="1" applyProtection="1">
      <alignment horizontal="center" vertical="center" wrapText="1"/>
    </xf>
    <xf numFmtId="0" fontId="40" fillId="0" borderId="1" xfId="0" applyFont="1" applyBorder="1" applyAlignment="1">
      <alignment horizontal="center" vertical="center"/>
    </xf>
    <xf numFmtId="0" fontId="12" fillId="9" borderId="40" xfId="22" applyFont="1" applyFill="1" applyBorder="1" applyAlignment="1">
      <alignment horizontal="left" vertical="center" wrapText="1"/>
    </xf>
    <xf numFmtId="9" fontId="42" fillId="29" borderId="4" xfId="0" applyNumberFormat="1" applyFont="1" applyFill="1" applyBorder="1" applyAlignment="1">
      <alignment horizontal="center" vertical="center" wrapText="1"/>
    </xf>
    <xf numFmtId="9" fontId="11" fillId="29" borderId="4" xfId="0" applyNumberFormat="1" applyFont="1" applyFill="1" applyBorder="1" applyAlignment="1">
      <alignment horizontal="center" vertical="center" wrapText="1"/>
    </xf>
    <xf numFmtId="9" fontId="11" fillId="30" borderId="1" xfId="0" applyNumberFormat="1" applyFont="1" applyFill="1" applyBorder="1" applyAlignment="1">
      <alignment horizontal="center" vertical="center" wrapText="1"/>
    </xf>
    <xf numFmtId="9" fontId="11" fillId="30" borderId="19" xfId="0" applyNumberFormat="1" applyFont="1" applyFill="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30" borderId="1" xfId="0" applyFont="1" applyFill="1" applyBorder="1" applyAlignment="1">
      <alignment horizontal="center" vertical="center" wrapText="1"/>
    </xf>
    <xf numFmtId="9" fontId="11" fillId="29" borderId="1" xfId="0" applyNumberFormat="1" applyFont="1" applyFill="1" applyBorder="1" applyAlignment="1">
      <alignment horizontal="center" vertical="center" wrapText="1"/>
    </xf>
    <xf numFmtId="9" fontId="11" fillId="29" borderId="41" xfId="0" applyNumberFormat="1" applyFont="1" applyFill="1" applyBorder="1" applyAlignment="1">
      <alignment horizontal="center" vertical="center" wrapText="1"/>
    </xf>
    <xf numFmtId="0" fontId="11" fillId="30" borderId="41" xfId="0" applyFont="1" applyFill="1" applyBorder="1" applyAlignment="1">
      <alignment horizontal="center" vertical="center" wrapText="1"/>
    </xf>
    <xf numFmtId="9" fontId="11" fillId="30" borderId="41" xfId="0" applyNumberFormat="1" applyFont="1" applyFill="1" applyBorder="1" applyAlignment="1">
      <alignment horizontal="center" vertical="center" wrapText="1"/>
    </xf>
    <xf numFmtId="9" fontId="11" fillId="29" borderId="25" xfId="0" applyNumberFormat="1" applyFont="1" applyFill="1" applyBorder="1" applyAlignment="1">
      <alignment horizontal="center" vertical="center" wrapText="1"/>
    </xf>
    <xf numFmtId="0" fontId="11" fillId="29" borderId="40" xfId="0" applyFont="1" applyFill="1" applyBorder="1" applyAlignment="1">
      <alignment horizontal="center" vertical="center" wrapText="1"/>
    </xf>
    <xf numFmtId="9" fontId="12" fillId="30" borderId="40" xfId="0" applyNumberFormat="1" applyFont="1" applyFill="1" applyBorder="1" applyAlignment="1">
      <alignment horizontal="center" vertical="center" wrapText="1"/>
    </xf>
    <xf numFmtId="0" fontId="11" fillId="30" borderId="19" xfId="0" applyFont="1" applyFill="1" applyBorder="1" applyAlignment="1">
      <alignment horizontal="center" vertical="center" wrapText="1"/>
    </xf>
    <xf numFmtId="0" fontId="42" fillId="29" borderId="1" xfId="0" applyFont="1" applyFill="1" applyBorder="1" applyAlignment="1">
      <alignment horizontal="center" vertical="center"/>
    </xf>
    <xf numFmtId="0" fontId="42" fillId="29" borderId="10" xfId="0" applyFont="1" applyFill="1" applyBorder="1" applyAlignment="1">
      <alignment horizontal="center" vertical="center"/>
    </xf>
    <xf numFmtId="0" fontId="17" fillId="0" borderId="1" xfId="0" applyFont="1" applyBorder="1" applyAlignment="1">
      <alignment horizontal="center" vertical="center" wrapText="1"/>
    </xf>
    <xf numFmtId="4" fontId="12" fillId="0" borderId="0" xfId="28" applyNumberFormat="1" applyFont="1" applyFill="1" applyBorder="1" applyAlignment="1" applyProtection="1">
      <alignment horizontal="center" vertical="center" wrapText="1"/>
    </xf>
    <xf numFmtId="4" fontId="12" fillId="9" borderId="50" xfId="28" applyNumberFormat="1" applyFont="1" applyFill="1" applyBorder="1" applyAlignment="1" applyProtection="1">
      <alignment horizontal="center" vertical="center" wrapText="1"/>
    </xf>
    <xf numFmtId="0" fontId="12" fillId="19" borderId="10" xfId="22" applyFont="1" applyFill="1" applyBorder="1" applyAlignment="1">
      <alignment horizontal="center" vertical="center" wrapText="1"/>
    </xf>
    <xf numFmtId="0" fontId="47" fillId="19" borderId="1" xfId="0" applyFont="1" applyFill="1" applyBorder="1" applyAlignment="1">
      <alignment horizontal="left" vertical="center" wrapText="1"/>
    </xf>
    <xf numFmtId="9" fontId="38" fillId="9" borderId="1" xfId="28" applyFont="1" applyFill="1" applyBorder="1" applyAlignment="1" applyProtection="1">
      <alignment horizontal="center" vertical="center" wrapText="1"/>
      <protection locked="0"/>
    </xf>
    <xf numFmtId="166" fontId="0" fillId="0" borderId="0" xfId="15" applyFont="1" applyAlignment="1">
      <alignment vertical="center"/>
    </xf>
    <xf numFmtId="9" fontId="40" fillId="0" borderId="0" xfId="22" applyNumberFormat="1" applyFont="1" applyAlignment="1">
      <alignment vertical="center" wrapText="1"/>
    </xf>
    <xf numFmtId="9" fontId="38" fillId="19" borderId="4" xfId="29" applyFont="1" applyFill="1" applyBorder="1" applyAlignment="1" applyProtection="1">
      <alignment horizontal="center" vertical="center" wrapText="1"/>
      <protection locked="0"/>
    </xf>
    <xf numFmtId="9" fontId="38" fillId="19" borderId="1" xfId="29" applyFont="1" applyFill="1" applyBorder="1" applyAlignment="1" applyProtection="1">
      <alignment horizontal="center" vertical="center" wrapText="1"/>
      <protection locked="0"/>
    </xf>
    <xf numFmtId="9" fontId="38" fillId="19" borderId="41" xfId="29" applyFont="1" applyFill="1" applyBorder="1" applyAlignment="1" applyProtection="1">
      <alignment horizontal="center" vertical="center" wrapText="1"/>
      <protection locked="0"/>
    </xf>
    <xf numFmtId="0" fontId="12" fillId="0" borderId="105" xfId="22" applyFont="1" applyBorder="1" applyAlignment="1">
      <alignment horizontal="center" vertical="center" wrapText="1"/>
    </xf>
    <xf numFmtId="1" fontId="38" fillId="9" borderId="10" xfId="30" applyNumberFormat="1" applyFont="1" applyFill="1" applyBorder="1" applyAlignment="1" applyProtection="1">
      <alignment horizontal="center" vertical="center" wrapText="1"/>
    </xf>
    <xf numFmtId="0" fontId="38" fillId="19" borderId="82" xfId="28" applyNumberFormat="1" applyFont="1" applyFill="1" applyBorder="1" applyAlignment="1">
      <alignment vertical="top" wrapText="1"/>
    </xf>
    <xf numFmtId="0" fontId="38" fillId="19" borderId="82" xfId="28" applyNumberFormat="1" applyFont="1" applyFill="1" applyBorder="1" applyAlignment="1">
      <alignment horizontal="center" vertical="center"/>
    </xf>
    <xf numFmtId="0" fontId="38" fillId="19" borderId="82" xfId="0" applyFont="1" applyFill="1" applyBorder="1" applyAlignment="1">
      <alignment horizontal="center" vertical="center" wrapText="1"/>
    </xf>
    <xf numFmtId="4" fontId="11" fillId="0" borderId="1" xfId="25" applyNumberFormat="1" applyFont="1" applyBorder="1" applyAlignment="1">
      <alignment horizontal="center" vertical="center" wrapText="1"/>
    </xf>
    <xf numFmtId="9" fontId="38" fillId="0" borderId="2" xfId="28" applyFont="1" applyBorder="1" applyAlignment="1">
      <alignment horizontal="center" vertical="center"/>
    </xf>
    <xf numFmtId="183" fontId="11" fillId="0" borderId="1" xfId="25" applyNumberFormat="1" applyFont="1" applyBorder="1" applyAlignment="1">
      <alignment horizontal="center" vertical="center" wrapText="1"/>
    </xf>
    <xf numFmtId="183" fontId="38" fillId="0" borderId="1" xfId="0" applyNumberFormat="1" applyFont="1" applyBorder="1" applyAlignment="1">
      <alignment horizontal="center" vertical="center"/>
    </xf>
    <xf numFmtId="4" fontId="11" fillId="0" borderId="4" xfId="25" applyNumberFormat="1" applyFont="1" applyBorder="1" applyAlignment="1">
      <alignment horizontal="center" vertical="center" wrapText="1"/>
    </xf>
    <xf numFmtId="4" fontId="38" fillId="0" borderId="1" xfId="0" applyNumberFormat="1" applyFont="1" applyBorder="1" applyAlignment="1">
      <alignment horizontal="center" vertical="center"/>
    </xf>
    <xf numFmtId="0" fontId="38" fillId="19" borderId="1" xfId="0" applyFont="1" applyFill="1" applyBorder="1" applyAlignment="1">
      <alignment horizontal="center" vertical="center"/>
    </xf>
    <xf numFmtId="0" fontId="42" fillId="0" borderId="1" xfId="0" applyFont="1" applyBorder="1" applyAlignment="1">
      <alignment horizontal="center" vertical="center"/>
    </xf>
    <xf numFmtId="0" fontId="38" fillId="19" borderId="10" xfId="0" applyFont="1" applyFill="1" applyBorder="1" applyAlignment="1">
      <alignment horizontal="center" vertical="center"/>
    </xf>
    <xf numFmtId="0" fontId="42" fillId="0" borderId="10" xfId="0" applyFont="1" applyBorder="1" applyAlignment="1">
      <alignment horizontal="center" vertical="center"/>
    </xf>
    <xf numFmtId="0" fontId="38" fillId="0" borderId="10" xfId="0" applyFont="1" applyBorder="1" applyAlignment="1">
      <alignment horizontal="center" vertical="center"/>
    </xf>
    <xf numFmtId="9" fontId="38" fillId="19" borderId="1" xfId="0" applyNumberFormat="1" applyFont="1" applyFill="1" applyBorder="1" applyAlignment="1">
      <alignment horizontal="center" vertical="center"/>
    </xf>
    <xf numFmtId="9" fontId="42" fillId="0" borderId="1" xfId="0" applyNumberFormat="1" applyFont="1" applyBorder="1" applyAlignment="1">
      <alignment horizontal="center" vertical="center"/>
    </xf>
    <xf numFmtId="9" fontId="42" fillId="29" borderId="1" xfId="0" applyNumberFormat="1" applyFont="1" applyFill="1" applyBorder="1" applyAlignment="1">
      <alignment horizontal="center" vertical="center"/>
    </xf>
    <xf numFmtId="0" fontId="11" fillId="0" borderId="1" xfId="0" applyFont="1" applyBorder="1" applyAlignment="1">
      <alignment horizontal="center" vertical="center"/>
    </xf>
    <xf numFmtId="9" fontId="11" fillId="0" borderId="2" xfId="28" applyFont="1" applyFill="1" applyBorder="1" applyAlignment="1">
      <alignment horizontal="center" vertical="center"/>
    </xf>
    <xf numFmtId="9" fontId="11" fillId="0" borderId="1" xfId="28" applyFont="1" applyFill="1" applyBorder="1" applyAlignment="1">
      <alignment horizontal="center" vertical="center"/>
    </xf>
    <xf numFmtId="0" fontId="11" fillId="0" borderId="10" xfId="0" applyFont="1" applyBorder="1" applyAlignment="1">
      <alignment horizontal="center" vertical="center"/>
    </xf>
    <xf numFmtId="9" fontId="11" fillId="0" borderId="51" xfId="28" applyFont="1" applyFill="1" applyBorder="1" applyAlignment="1">
      <alignment horizontal="center" vertical="center"/>
    </xf>
    <xf numFmtId="174" fontId="11" fillId="0" borderId="1" xfId="28" applyNumberFormat="1" applyFont="1" applyFill="1" applyBorder="1" applyAlignment="1">
      <alignment horizontal="center" vertical="center"/>
    </xf>
    <xf numFmtId="0" fontId="57" fillId="0" borderId="1" xfId="0" applyFont="1" applyBorder="1" applyAlignment="1">
      <alignment horizontal="center" vertical="center"/>
    </xf>
    <xf numFmtId="0" fontId="38" fillId="0" borderId="82" xfId="28" applyNumberFormat="1" applyFont="1" applyFill="1" applyBorder="1" applyAlignment="1">
      <alignment vertical="top" wrapText="1"/>
    </xf>
    <xf numFmtId="173" fontId="0" fillId="0" borderId="0" xfId="0" applyNumberFormat="1" applyAlignment="1">
      <alignment vertical="center"/>
    </xf>
    <xf numFmtId="9" fontId="25" fillId="0" borderId="0" xfId="0" applyNumberFormat="1" applyFont="1" applyAlignment="1">
      <alignment horizontal="justify" vertical="center" wrapText="1"/>
    </xf>
    <xf numFmtId="0" fontId="25" fillId="0" borderId="0" xfId="0" applyFont="1" applyAlignment="1">
      <alignment horizontal="justify" vertical="center" wrapText="1"/>
    </xf>
    <xf numFmtId="174" fontId="24" fillId="0" borderId="0" xfId="0" applyNumberFormat="1" applyFont="1" applyAlignment="1">
      <alignment horizontal="center" vertical="center" wrapText="1"/>
    </xf>
    <xf numFmtId="174" fontId="11" fillId="0" borderId="0" xfId="0" applyNumberFormat="1" applyFont="1" applyAlignment="1">
      <alignment vertical="center"/>
    </xf>
    <xf numFmtId="0" fontId="23" fillId="24" borderId="83" xfId="0" applyFont="1" applyFill="1" applyBorder="1" applyAlignment="1">
      <alignment horizontal="justify" vertical="center" wrapText="1"/>
    </xf>
    <xf numFmtId="0" fontId="11" fillId="0" borderId="85" xfId="0" applyFont="1" applyBorder="1" applyAlignment="1">
      <alignment horizontal="justify" vertical="center" wrapText="1"/>
    </xf>
    <xf numFmtId="0" fontId="23" fillId="24" borderId="83" xfId="0" applyFont="1" applyFill="1" applyBorder="1" applyAlignment="1">
      <alignment horizontal="center" vertical="center" wrapText="1"/>
    </xf>
    <xf numFmtId="0" fontId="11" fillId="0" borderId="85" xfId="0" applyFont="1" applyBorder="1" applyAlignment="1">
      <alignment vertical="center"/>
    </xf>
    <xf numFmtId="0" fontId="23" fillId="24" borderId="84" xfId="0" applyFont="1" applyFill="1" applyBorder="1" applyAlignment="1">
      <alignment horizontal="center" vertical="center" wrapText="1"/>
    </xf>
    <xf numFmtId="0" fontId="11" fillId="0" borderId="90" xfId="0" applyFont="1" applyBorder="1" applyAlignment="1">
      <alignment vertical="center"/>
    </xf>
    <xf numFmtId="0" fontId="11" fillId="0" borderId="86" xfId="0" applyFont="1" applyBorder="1" applyAlignment="1">
      <alignment vertical="center"/>
    </xf>
    <xf numFmtId="9" fontId="25" fillId="0" borderId="83" xfId="0" applyNumberFormat="1" applyFont="1" applyBorder="1" applyAlignment="1">
      <alignment horizontal="justify" vertical="center" wrapText="1"/>
    </xf>
    <xf numFmtId="9" fontId="25" fillId="0" borderId="85" xfId="0" applyNumberFormat="1" applyFont="1" applyBorder="1" applyAlignment="1">
      <alignment horizontal="justify" vertical="center" wrapText="1"/>
    </xf>
    <xf numFmtId="9" fontId="24" fillId="0" borderId="83" xfId="0" applyNumberFormat="1" applyFont="1" applyBorder="1" applyAlignment="1">
      <alignment horizontal="center" vertical="center" wrapText="1"/>
    </xf>
    <xf numFmtId="9" fontId="11" fillId="0" borderId="85" xfId="0" applyNumberFormat="1" applyFont="1" applyBorder="1" applyAlignment="1">
      <alignment vertical="center"/>
    </xf>
    <xf numFmtId="0" fontId="25" fillId="0" borderId="85" xfId="0" applyFont="1" applyBorder="1" applyAlignment="1">
      <alignment horizontal="justify" vertical="center" wrapText="1"/>
    </xf>
    <xf numFmtId="174" fontId="24" fillId="0" borderId="83" xfId="0" applyNumberFormat="1" applyFont="1" applyBorder="1" applyAlignment="1">
      <alignment horizontal="center" vertical="center" wrapText="1"/>
    </xf>
    <xf numFmtId="174" fontId="11" fillId="0" borderId="85" xfId="0" applyNumberFormat="1" applyFont="1" applyBorder="1" applyAlignment="1">
      <alignment vertical="center"/>
    </xf>
    <xf numFmtId="2" fontId="11" fillId="0" borderId="8" xfId="22" applyNumberFormat="1" applyFont="1" applyBorder="1" applyAlignment="1">
      <alignment horizontal="justify" vertical="center" wrapText="1"/>
    </xf>
    <xf numFmtId="2" fontId="11" fillId="0" borderId="31" xfId="22" applyNumberFormat="1" applyFont="1" applyBorder="1" applyAlignment="1">
      <alignment horizontal="justify" vertical="center" wrapText="1"/>
    </xf>
    <xf numFmtId="9" fontId="11" fillId="0" borderId="1" xfId="22" applyNumberFormat="1" applyFont="1" applyBorder="1" applyAlignment="1">
      <alignment horizontal="center" vertical="center" wrapText="1"/>
    </xf>
    <xf numFmtId="0" fontId="11" fillId="0" borderId="19" xfId="22" applyFont="1" applyBorder="1" applyAlignment="1">
      <alignment horizontal="center" vertical="center" wrapText="1"/>
    </xf>
    <xf numFmtId="9" fontId="11" fillId="0" borderId="8" xfId="22" applyNumberFormat="1" applyFont="1" applyBorder="1" applyAlignment="1">
      <alignment horizontal="left" vertical="center" wrapText="1"/>
    </xf>
    <xf numFmtId="9" fontId="11" fillId="0" borderId="1" xfId="22" applyNumberFormat="1" applyFont="1" applyBorder="1" applyAlignment="1">
      <alignment horizontal="left" vertical="center" wrapText="1"/>
    </xf>
    <xf numFmtId="9" fontId="11" fillId="0" borderId="9" xfId="22" applyNumberFormat="1" applyFont="1" applyBorder="1" applyAlignment="1">
      <alignment horizontal="left" vertical="center" wrapText="1"/>
    </xf>
    <xf numFmtId="9" fontId="11" fillId="0" borderId="31" xfId="22" applyNumberFormat="1" applyFont="1" applyBorder="1" applyAlignment="1">
      <alignment horizontal="left" vertical="center" wrapText="1"/>
    </xf>
    <xf numFmtId="9" fontId="11" fillId="0" borderId="19" xfId="22" applyNumberFormat="1" applyFont="1" applyBorder="1" applyAlignment="1">
      <alignment horizontal="left" vertical="center" wrapText="1"/>
    </xf>
    <xf numFmtId="9" fontId="11" fillId="0" borderId="33" xfId="22" applyNumberFormat="1" applyFont="1" applyBorder="1" applyAlignment="1">
      <alignment horizontal="left" vertical="center" wrapText="1"/>
    </xf>
    <xf numFmtId="0" fontId="12" fillId="20" borderId="32" xfId="22" applyFont="1" applyFill="1" applyBorder="1" applyAlignment="1">
      <alignment horizontal="center" vertical="center" wrapText="1"/>
    </xf>
    <xf numFmtId="0" fontId="12" fillId="20" borderId="31" xfId="22" applyFont="1" applyFill="1" applyBorder="1" applyAlignment="1">
      <alignment horizontal="center" vertical="center" wrapText="1"/>
    </xf>
    <xf numFmtId="0" fontId="12" fillId="20" borderId="44" xfId="22" applyFont="1" applyFill="1" applyBorder="1" applyAlignment="1">
      <alignment horizontal="center" vertical="center" wrapText="1"/>
    </xf>
    <xf numFmtId="0" fontId="12" fillId="20" borderId="19" xfId="22" applyFont="1" applyFill="1" applyBorder="1" applyAlignment="1">
      <alignment horizontal="center" vertical="center" wrapText="1"/>
    </xf>
    <xf numFmtId="0" fontId="12" fillId="20" borderId="25" xfId="22" applyFont="1" applyFill="1" applyBorder="1" applyAlignment="1">
      <alignment horizontal="center" vertical="center" wrapText="1"/>
    </xf>
    <xf numFmtId="0" fontId="12" fillId="20" borderId="45" xfId="22" applyFont="1" applyFill="1" applyBorder="1" applyAlignment="1">
      <alignment horizontal="center" vertical="center" wrapText="1"/>
    </xf>
    <xf numFmtId="0" fontId="12" fillId="20" borderId="46" xfId="22" applyFont="1" applyFill="1" applyBorder="1" applyAlignment="1">
      <alignment horizontal="center" vertical="center" wrapText="1"/>
    </xf>
    <xf numFmtId="0" fontId="12" fillId="20" borderId="47" xfId="22" applyFont="1" applyFill="1" applyBorder="1" applyAlignment="1">
      <alignment horizontal="center" vertical="center" wrapText="1"/>
    </xf>
    <xf numFmtId="0" fontId="12" fillId="20" borderId="48" xfId="22" applyFont="1" applyFill="1" applyBorder="1" applyAlignment="1">
      <alignment horizontal="center" vertical="center" wrapText="1"/>
    </xf>
    <xf numFmtId="0" fontId="12" fillId="20" borderId="49" xfId="22" applyFont="1" applyFill="1" applyBorder="1" applyAlignment="1">
      <alignment horizontal="center" vertical="center" wrapText="1"/>
    </xf>
    <xf numFmtId="0" fontId="12" fillId="20" borderId="50" xfId="22" applyFont="1" applyFill="1" applyBorder="1" applyAlignment="1">
      <alignment horizontal="center" vertical="center" wrapText="1"/>
    </xf>
    <xf numFmtId="0" fontId="12" fillId="20" borderId="39" xfId="22" applyFont="1" applyFill="1" applyBorder="1" applyAlignment="1">
      <alignment horizontal="center" vertical="center" wrapText="1"/>
    </xf>
    <xf numFmtId="2" fontId="11" fillId="0" borderId="32" xfId="22" applyNumberFormat="1" applyFont="1" applyBorder="1" applyAlignment="1">
      <alignment horizontal="justify" vertical="center" wrapText="1"/>
    </xf>
    <xf numFmtId="9" fontId="11" fillId="0" borderId="4" xfId="22" applyNumberFormat="1" applyFont="1" applyBorder="1" applyAlignment="1">
      <alignment horizontal="center" vertical="center" wrapText="1"/>
    </xf>
    <xf numFmtId="0" fontId="11" fillId="0" borderId="1" xfId="22" applyFont="1" applyBorder="1" applyAlignment="1">
      <alignment horizontal="center" vertical="center" wrapText="1"/>
    </xf>
    <xf numFmtId="9" fontId="11" fillId="0" borderId="32" xfId="22" applyNumberFormat="1" applyFont="1" applyBorder="1" applyAlignment="1">
      <alignment horizontal="left" vertical="center" wrapText="1"/>
    </xf>
    <xf numFmtId="9" fontId="11" fillId="0" borderId="4" xfId="22" applyNumberFormat="1" applyFont="1" applyBorder="1" applyAlignment="1">
      <alignment horizontal="left" vertical="center" wrapText="1"/>
    </xf>
    <xf numFmtId="9" fontId="11" fillId="0" borderId="34" xfId="22" applyNumberFormat="1" applyFont="1" applyBorder="1" applyAlignment="1">
      <alignment horizontal="left" vertical="center" wrapText="1"/>
    </xf>
    <xf numFmtId="0" fontId="12" fillId="0" borderId="8" xfId="22" applyFont="1" applyBorder="1" applyAlignment="1">
      <alignment horizontal="center" vertical="center" wrapText="1"/>
    </xf>
    <xf numFmtId="0" fontId="12" fillId="0" borderId="31" xfId="22" applyFont="1" applyBorder="1" applyAlignment="1">
      <alignment horizontal="center" vertical="center" wrapText="1"/>
    </xf>
    <xf numFmtId="9" fontId="12" fillId="0" borderId="1" xfId="22" applyNumberFormat="1" applyFont="1" applyBorder="1" applyAlignment="1">
      <alignment horizontal="center" vertical="center" wrapText="1"/>
    </xf>
    <xf numFmtId="0" fontId="12" fillId="0" borderId="19" xfId="22" applyFont="1" applyBorder="1" applyAlignment="1">
      <alignment horizontal="center" vertical="center" wrapText="1"/>
    </xf>
    <xf numFmtId="9" fontId="11" fillId="19" borderId="68" xfId="30" applyFont="1" applyFill="1" applyBorder="1" applyAlignment="1" applyProtection="1">
      <alignment horizontal="left" vertical="center" wrapText="1"/>
    </xf>
    <xf numFmtId="9" fontId="11" fillId="19" borderId="0" xfId="30" applyFont="1" applyFill="1" applyBorder="1" applyAlignment="1" applyProtection="1">
      <alignment horizontal="left" vertical="center" wrapText="1"/>
    </xf>
    <xf numFmtId="9" fontId="11" fillId="19" borderId="24" xfId="30" applyFont="1" applyFill="1" applyBorder="1" applyAlignment="1" applyProtection="1">
      <alignment horizontal="left" vertical="center" wrapText="1"/>
    </xf>
    <xf numFmtId="9" fontId="38" fillId="19" borderId="51" xfId="30" applyFont="1" applyFill="1" applyBorder="1" applyAlignment="1" applyProtection="1">
      <alignment horizontal="left" vertical="center" wrapText="1"/>
    </xf>
    <xf numFmtId="9" fontId="38" fillId="19" borderId="22" xfId="30" applyFont="1" applyFill="1" applyBorder="1" applyAlignment="1" applyProtection="1">
      <alignment horizontal="left" vertical="center" wrapText="1"/>
    </xf>
    <xf numFmtId="9" fontId="38" fillId="19" borderId="52" xfId="30" applyFont="1" applyFill="1" applyBorder="1" applyAlignment="1" applyProtection="1">
      <alignment horizontal="left" vertical="center" wrapText="1"/>
    </xf>
    <xf numFmtId="9" fontId="38" fillId="19" borderId="42" xfId="30" applyFont="1" applyFill="1" applyBorder="1" applyAlignment="1" applyProtection="1">
      <alignment horizontal="left" vertical="center" wrapText="1"/>
    </xf>
    <xf numFmtId="9" fontId="38" fillId="19" borderId="15" xfId="30" applyFont="1" applyFill="1" applyBorder="1" applyAlignment="1" applyProtection="1">
      <alignment horizontal="left" vertical="center" wrapText="1"/>
    </xf>
    <xf numFmtId="9" fontId="38" fillId="19" borderId="16" xfId="30" applyFont="1" applyFill="1" applyBorder="1" applyAlignment="1" applyProtection="1">
      <alignment horizontal="left" vertical="center" wrapText="1"/>
    </xf>
    <xf numFmtId="0" fontId="12" fillId="20" borderId="5" xfId="22" applyFont="1" applyFill="1" applyBorder="1" applyAlignment="1">
      <alignment horizontal="center" vertical="center" wrapText="1"/>
    </xf>
    <xf numFmtId="0" fontId="12" fillId="20" borderId="1" xfId="22" applyFont="1" applyFill="1" applyBorder="1" applyAlignment="1">
      <alignment horizontal="center" vertical="center" wrapText="1"/>
    </xf>
    <xf numFmtId="9" fontId="38" fillId="0" borderId="51" xfId="30" applyFont="1" applyFill="1" applyBorder="1" applyAlignment="1" applyProtection="1">
      <alignment horizontal="left" vertical="center" wrapText="1"/>
    </xf>
    <xf numFmtId="9" fontId="38" fillId="0" borderId="22" xfId="30" applyFont="1" applyFill="1" applyBorder="1" applyAlignment="1" applyProtection="1">
      <alignment horizontal="left" vertical="center" wrapText="1"/>
    </xf>
    <xf numFmtId="9" fontId="38" fillId="0" borderId="23" xfId="30" applyFont="1" applyFill="1" applyBorder="1" applyAlignment="1" applyProtection="1">
      <alignment horizontal="left" vertical="center" wrapText="1"/>
    </xf>
    <xf numFmtId="9" fontId="38" fillId="0" borderId="42" xfId="30" applyFont="1" applyFill="1" applyBorder="1" applyAlignment="1" applyProtection="1">
      <alignment horizontal="left" vertical="center" wrapText="1"/>
    </xf>
    <xf numFmtId="9" fontId="38" fillId="0" borderId="15" xfId="30" applyFont="1" applyFill="1" applyBorder="1" applyAlignment="1" applyProtection="1">
      <alignment horizontal="left" vertical="center" wrapText="1"/>
    </xf>
    <xf numFmtId="9" fontId="38" fillId="0" borderId="43" xfId="30" applyFont="1" applyFill="1" applyBorder="1" applyAlignment="1" applyProtection="1">
      <alignment horizontal="left" vertical="center" wrapText="1"/>
    </xf>
    <xf numFmtId="3" fontId="12" fillId="0" borderId="51" xfId="22" applyNumberFormat="1" applyFont="1" applyBorder="1" applyAlignment="1">
      <alignment horizontal="center" vertical="center" wrapText="1"/>
    </xf>
    <xf numFmtId="3" fontId="12" fillId="0" borderId="23" xfId="22" applyNumberFormat="1" applyFont="1" applyBorder="1" applyAlignment="1">
      <alignment horizontal="center" vertical="center" wrapText="1"/>
    </xf>
    <xf numFmtId="0" fontId="39" fillId="0" borderId="1" xfId="22" applyFont="1" applyBorder="1" applyAlignment="1">
      <alignment horizontal="left" vertical="center" wrapText="1"/>
    </xf>
    <xf numFmtId="0" fontId="39" fillId="0" borderId="9" xfId="22" applyFont="1" applyBorder="1" applyAlignment="1">
      <alignment horizontal="left" vertical="center" wrapText="1"/>
    </xf>
    <xf numFmtId="0" fontId="12" fillId="0" borderId="53" xfId="22" applyFont="1" applyBorder="1" applyAlignment="1">
      <alignment horizontal="center" vertical="center" wrapText="1"/>
    </xf>
    <xf numFmtId="0" fontId="12" fillId="0" borderId="54" xfId="22" applyFont="1" applyBorder="1" applyAlignment="1">
      <alignment horizontal="center" vertical="center" wrapText="1"/>
    </xf>
    <xf numFmtId="0" fontId="12" fillId="0" borderId="55" xfId="22" applyFont="1" applyBorder="1" applyAlignment="1">
      <alignment horizontal="center" vertical="center" wrapText="1"/>
    </xf>
    <xf numFmtId="0" fontId="12" fillId="20" borderId="56" xfId="22" applyFont="1" applyFill="1" applyBorder="1" applyAlignment="1">
      <alignment horizontal="center" vertical="center" wrapText="1"/>
    </xf>
    <xf numFmtId="0" fontId="12" fillId="20" borderId="8" xfId="22" applyFont="1" applyFill="1" applyBorder="1" applyAlignment="1">
      <alignment horizontal="center" vertical="center" wrapText="1"/>
    </xf>
    <xf numFmtId="0" fontId="11" fillId="20" borderId="9" xfId="22" applyFont="1" applyFill="1" applyBorder="1" applyAlignment="1">
      <alignment horizontal="center" vertical="center" wrapText="1"/>
    </xf>
    <xf numFmtId="0" fontId="12" fillId="20" borderId="57" xfId="22" applyFont="1" applyFill="1" applyBorder="1" applyAlignment="1">
      <alignment horizontal="center" vertical="center" wrapText="1"/>
    </xf>
    <xf numFmtId="0" fontId="12" fillId="20" borderId="20" xfId="22" applyFont="1" applyFill="1" applyBorder="1" applyAlignment="1">
      <alignment horizontal="center" vertical="center" wrapText="1"/>
    </xf>
    <xf numFmtId="0" fontId="12" fillId="20" borderId="3" xfId="22" applyFont="1" applyFill="1" applyBorder="1" applyAlignment="1">
      <alignment horizontal="center" vertical="center" wrapText="1"/>
    </xf>
    <xf numFmtId="0" fontId="12" fillId="20" borderId="7" xfId="22" applyFont="1" applyFill="1" applyBorder="1" applyAlignment="1">
      <alignment horizontal="center" vertical="center" wrapText="1"/>
    </xf>
    <xf numFmtId="0" fontId="12" fillId="20" borderId="30" xfId="22" applyFont="1" applyFill="1" applyBorder="1" applyAlignment="1">
      <alignment horizontal="center" vertical="center" wrapText="1"/>
    </xf>
    <xf numFmtId="0" fontId="12" fillId="20" borderId="6" xfId="22" applyFont="1" applyFill="1" applyBorder="1" applyAlignment="1">
      <alignment horizontal="center" vertical="center" wrapText="1"/>
    </xf>
    <xf numFmtId="0" fontId="12" fillId="20" borderId="51" xfId="22" applyFont="1" applyFill="1" applyBorder="1" applyAlignment="1">
      <alignment horizontal="center" vertical="center" wrapText="1"/>
    </xf>
    <xf numFmtId="0" fontId="12" fillId="20" borderId="23" xfId="22" applyFont="1" applyFill="1" applyBorder="1" applyAlignment="1">
      <alignment horizontal="center" vertical="center" wrapText="1"/>
    </xf>
    <xf numFmtId="0" fontId="12" fillId="20" borderId="2" xfId="22" applyFont="1" applyFill="1" applyBorder="1" applyAlignment="1">
      <alignment horizontal="center" vertical="center" wrapText="1"/>
    </xf>
    <xf numFmtId="0" fontId="12" fillId="20" borderId="58" xfId="22" applyFont="1" applyFill="1" applyBorder="1" applyAlignment="1">
      <alignment horizontal="center" vertical="center" wrapText="1"/>
    </xf>
    <xf numFmtId="0" fontId="12" fillId="20" borderId="9" xfId="22" applyFont="1" applyFill="1" applyBorder="1" applyAlignment="1">
      <alignment horizontal="center" vertical="center" wrapText="1"/>
    </xf>
    <xf numFmtId="0" fontId="12" fillId="19" borderId="56" xfId="22" applyFont="1" applyFill="1" applyBorder="1" applyAlignment="1">
      <alignment horizontal="center" vertical="center" wrapText="1"/>
    </xf>
    <xf numFmtId="0" fontId="12" fillId="19" borderId="57" xfId="22" applyFont="1" applyFill="1" applyBorder="1" applyAlignment="1">
      <alignment horizontal="center" vertical="center" wrapText="1"/>
    </xf>
    <xf numFmtId="0" fontId="12" fillId="19" borderId="44" xfId="22" applyFont="1" applyFill="1" applyBorder="1" applyAlignment="1">
      <alignment horizontal="center" vertical="center" wrapText="1"/>
    </xf>
    <xf numFmtId="0" fontId="12" fillId="19" borderId="45" xfId="22" applyFont="1" applyFill="1" applyBorder="1" applyAlignment="1">
      <alignment horizontal="center" vertical="center" wrapText="1"/>
    </xf>
    <xf numFmtId="0" fontId="12" fillId="20" borderId="21" xfId="22" applyFont="1" applyFill="1" applyBorder="1" applyAlignment="1">
      <alignment horizontal="center" vertical="center" wrapText="1"/>
    </xf>
    <xf numFmtId="0" fontId="12" fillId="0" borderId="59" xfId="22" applyFont="1" applyBorder="1" applyAlignment="1">
      <alignment horizontal="center" vertical="center" wrapText="1"/>
    </xf>
    <xf numFmtId="0" fontId="12" fillId="0" borderId="61" xfId="22" applyFont="1" applyBorder="1" applyAlignment="1">
      <alignment horizontal="center" vertical="center" wrapText="1"/>
    </xf>
    <xf numFmtId="0" fontId="12" fillId="0" borderId="60" xfId="22" applyFont="1" applyBorder="1" applyAlignment="1">
      <alignment horizontal="center" vertical="center" wrapText="1"/>
    </xf>
    <xf numFmtId="0" fontId="12" fillId="19" borderId="15" xfId="22" applyFont="1" applyFill="1" applyBorder="1" applyAlignment="1">
      <alignment horizontal="left" vertical="center" wrapText="1"/>
    </xf>
    <xf numFmtId="0" fontId="12" fillId="20" borderId="59" xfId="22" applyFont="1" applyFill="1" applyBorder="1" applyAlignment="1">
      <alignment horizontal="left" vertical="center" wrapText="1"/>
    </xf>
    <xf numFmtId="0" fontId="12" fillId="20" borderId="60" xfId="22" applyFont="1" applyFill="1" applyBorder="1" applyAlignment="1">
      <alignment horizontal="left" vertical="center" wrapText="1"/>
    </xf>
    <xf numFmtId="0" fontId="11" fillId="0" borderId="59" xfId="22" applyFont="1" applyBorder="1" applyAlignment="1">
      <alignment horizontal="center" vertical="center" wrapText="1"/>
    </xf>
    <xf numFmtId="0" fontId="11" fillId="0" borderId="61" xfId="22" applyFont="1" applyBorder="1" applyAlignment="1">
      <alignment horizontal="center" vertical="center" wrapText="1"/>
    </xf>
    <xf numFmtId="0" fontId="11" fillId="0" borderId="60" xfId="22" applyFont="1" applyBorder="1" applyAlignment="1">
      <alignment horizontal="center" vertical="center" wrapText="1"/>
    </xf>
    <xf numFmtId="0" fontId="12" fillId="20" borderId="59" xfId="22" applyFont="1" applyFill="1" applyBorder="1" applyAlignment="1">
      <alignment horizontal="center" vertical="center" wrapText="1"/>
    </xf>
    <xf numFmtId="0" fontId="12" fillId="20" borderId="61" xfId="22" applyFont="1" applyFill="1" applyBorder="1" applyAlignment="1">
      <alignment horizontal="center" vertical="center" wrapText="1"/>
    </xf>
    <xf numFmtId="0" fontId="12" fillId="20" borderId="60" xfId="22" applyFont="1" applyFill="1" applyBorder="1" applyAlignment="1">
      <alignment horizontal="center" vertical="center" wrapText="1"/>
    </xf>
    <xf numFmtId="0" fontId="12" fillId="0" borderId="27" xfId="22" applyFont="1" applyBorder="1" applyAlignment="1">
      <alignment horizontal="center" vertical="center" wrapText="1"/>
    </xf>
    <xf numFmtId="0" fontId="12" fillId="0" borderId="28" xfId="22" applyFont="1" applyBorder="1" applyAlignment="1">
      <alignment horizontal="center" vertical="center" wrapText="1"/>
    </xf>
    <xf numFmtId="0" fontId="12" fillId="0" borderId="29" xfId="22" applyFont="1" applyBorder="1" applyAlignment="1">
      <alignment horizontal="center" vertical="center" wrapText="1"/>
    </xf>
    <xf numFmtId="1" fontId="12" fillId="0" borderId="59" xfId="28" applyNumberFormat="1" applyFont="1" applyFill="1" applyBorder="1" applyAlignment="1" applyProtection="1">
      <alignment horizontal="center" vertical="center" wrapText="1"/>
    </xf>
    <xf numFmtId="1" fontId="12" fillId="0" borderId="60" xfId="28" applyNumberFormat="1" applyFont="1" applyFill="1" applyBorder="1" applyAlignment="1" applyProtection="1">
      <alignment horizontal="center" vertical="center" wrapText="1"/>
    </xf>
    <xf numFmtId="0" fontId="15" fillId="0" borderId="59" xfId="22" applyFont="1" applyBorder="1" applyAlignment="1">
      <alignment horizontal="center" vertical="center" wrapText="1"/>
    </xf>
    <xf numFmtId="0" fontId="15" fillId="0" borderId="61" xfId="22" applyFont="1" applyBorder="1" applyAlignment="1">
      <alignment horizontal="center" vertical="center" wrapText="1"/>
    </xf>
    <xf numFmtId="0" fontId="15" fillId="0" borderId="60" xfId="22" applyFont="1" applyBorder="1" applyAlignment="1">
      <alignment horizontal="center" vertical="center" wrapText="1"/>
    </xf>
    <xf numFmtId="0" fontId="12" fillId="20" borderId="13" xfId="22" applyFont="1" applyFill="1" applyBorder="1" applyAlignment="1">
      <alignment horizontal="center" vertical="center" wrapText="1"/>
    </xf>
    <xf numFmtId="0" fontId="12" fillId="20" borderId="0" xfId="22" applyFont="1" applyFill="1" applyAlignment="1">
      <alignment horizontal="center" vertical="center" wrapText="1"/>
    </xf>
    <xf numFmtId="0" fontId="12" fillId="20" borderId="14" xfId="22" applyFont="1" applyFill="1" applyBorder="1" applyAlignment="1">
      <alignment horizontal="center" vertical="center" wrapText="1"/>
    </xf>
    <xf numFmtId="0" fontId="12" fillId="20" borderId="37" xfId="22" applyFont="1" applyFill="1" applyBorder="1" applyAlignment="1">
      <alignment horizontal="center" vertical="center" wrapText="1"/>
    </xf>
    <xf numFmtId="0" fontId="12" fillId="20" borderId="15" xfId="22" applyFont="1" applyFill="1" applyBorder="1" applyAlignment="1">
      <alignment horizontal="center" vertical="center" wrapText="1"/>
    </xf>
    <xf numFmtId="0" fontId="12" fillId="20" borderId="16" xfId="22" applyFont="1" applyFill="1" applyBorder="1" applyAlignment="1">
      <alignment horizontal="center" vertical="center" wrapText="1"/>
    </xf>
    <xf numFmtId="0" fontId="12" fillId="20" borderId="66" xfId="22" applyFont="1" applyFill="1" applyBorder="1" applyAlignment="1">
      <alignment horizontal="center" vertical="center" wrapText="1"/>
    </xf>
    <xf numFmtId="9" fontId="12" fillId="0" borderId="59" xfId="22" applyNumberFormat="1" applyFont="1" applyBorder="1" applyAlignment="1">
      <alignment horizontal="center" vertical="center" wrapText="1"/>
    </xf>
    <xf numFmtId="9" fontId="12" fillId="0" borderId="60" xfId="22" applyNumberFormat="1" applyFont="1" applyBorder="1" applyAlignment="1">
      <alignment horizontal="center" vertical="center" wrapText="1"/>
    </xf>
    <xf numFmtId="0" fontId="12" fillId="20" borderId="36" xfId="22" applyFont="1" applyFill="1" applyBorder="1" applyAlignment="1">
      <alignment horizontal="left" vertical="center" wrapText="1"/>
    </xf>
    <xf numFmtId="0" fontId="12" fillId="20" borderId="12" xfId="22" applyFont="1" applyFill="1" applyBorder="1" applyAlignment="1">
      <alignment horizontal="left" vertical="center" wrapText="1"/>
    </xf>
    <xf numFmtId="0" fontId="12" fillId="20" borderId="13" xfId="22" applyFont="1" applyFill="1" applyBorder="1" applyAlignment="1">
      <alignment horizontal="left" vertical="center" wrapText="1"/>
    </xf>
    <xf numFmtId="0" fontId="12" fillId="20" borderId="14" xfId="22" applyFont="1" applyFill="1" applyBorder="1" applyAlignment="1">
      <alignment horizontal="left" vertical="center" wrapText="1"/>
    </xf>
    <xf numFmtId="0" fontId="12" fillId="20" borderId="37" xfId="22" applyFont="1" applyFill="1" applyBorder="1" applyAlignment="1">
      <alignment horizontal="left" vertical="center" wrapText="1"/>
    </xf>
    <xf numFmtId="0" fontId="12" fillId="20" borderId="16" xfId="22" applyFont="1" applyFill="1" applyBorder="1" applyAlignment="1">
      <alignment horizontal="left" vertical="center" wrapText="1"/>
    </xf>
    <xf numFmtId="0" fontId="12" fillId="20" borderId="11" xfId="22" applyFont="1" applyFill="1" applyBorder="1" applyAlignment="1">
      <alignment horizontal="left" vertical="center" wrapText="1"/>
    </xf>
    <xf numFmtId="0" fontId="12" fillId="20" borderId="0" xfId="22" applyFont="1" applyFill="1" applyAlignment="1">
      <alignment horizontal="left" vertical="center" wrapText="1"/>
    </xf>
    <xf numFmtId="0" fontId="12" fillId="20" borderId="15" xfId="22" applyFont="1" applyFill="1" applyBorder="1" applyAlignment="1">
      <alignment horizontal="left" vertical="center" wrapText="1"/>
    </xf>
    <xf numFmtId="14" fontId="43" fillId="0" borderId="36" xfId="0" applyNumberFormat="1"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37" xfId="0" applyFont="1" applyBorder="1" applyAlignment="1">
      <alignment horizontal="center" vertical="center"/>
    </xf>
    <xf numFmtId="0" fontId="43" fillId="0" borderId="16" xfId="0" applyFont="1" applyBorder="1" applyAlignment="1">
      <alignment horizontal="center" vertical="center"/>
    </xf>
    <xf numFmtId="0" fontId="12" fillId="0" borderId="36" xfId="22" applyFont="1" applyBorder="1" applyAlignment="1">
      <alignment horizontal="center" vertical="center" wrapText="1"/>
    </xf>
    <xf numFmtId="0" fontId="12" fillId="0" borderId="11" xfId="22" applyFont="1" applyBorder="1" applyAlignment="1">
      <alignment horizontal="center" vertical="center" wrapText="1"/>
    </xf>
    <xf numFmtId="0" fontId="12" fillId="0" borderId="12" xfId="22" applyFont="1" applyBorder="1" applyAlignment="1">
      <alignment horizontal="center" vertical="center" wrapText="1"/>
    </xf>
    <xf numFmtId="0" fontId="12" fillId="0" borderId="13" xfId="22" applyFont="1" applyBorder="1" applyAlignment="1">
      <alignment horizontal="center" vertical="center" wrapText="1"/>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0" borderId="37" xfId="22" applyFont="1" applyBorder="1" applyAlignment="1">
      <alignment horizontal="center" vertical="center" wrapText="1"/>
    </xf>
    <xf numFmtId="0" fontId="12" fillId="0" borderId="15" xfId="22" applyFont="1" applyBorder="1" applyAlignment="1">
      <alignment horizontal="center" vertical="center" wrapText="1"/>
    </xf>
    <xf numFmtId="0" fontId="12" fillId="0" borderId="16" xfId="22" applyFont="1" applyBorder="1" applyAlignment="1">
      <alignment horizontal="center" vertical="center" wrapText="1"/>
    </xf>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45" fillId="0" borderId="65" xfId="0" applyFont="1" applyBorder="1" applyAlignment="1">
      <alignment horizontal="center" vertical="center"/>
    </xf>
    <xf numFmtId="0" fontId="11" fillId="0" borderId="36" xfId="22" applyFont="1" applyBorder="1" applyAlignment="1">
      <alignment horizontal="center" vertical="center" wrapText="1"/>
    </xf>
    <xf numFmtId="0" fontId="11" fillId="0" borderId="13" xfId="22" applyFont="1" applyBorder="1" applyAlignment="1">
      <alignment horizontal="center" vertical="center" wrapText="1"/>
    </xf>
    <xf numFmtId="0" fontId="11" fillId="0" borderId="37" xfId="22" applyFont="1" applyBorder="1" applyAlignment="1">
      <alignment horizontal="center" vertical="center" wrapText="1"/>
    </xf>
    <xf numFmtId="0" fontId="12" fillId="0" borderId="27" xfId="22" applyFont="1" applyBorder="1" applyAlignment="1">
      <alignment horizontal="center" vertical="center"/>
    </xf>
    <xf numFmtId="0" fontId="12" fillId="0" borderId="28" xfId="22" applyFont="1" applyBorder="1" applyAlignment="1">
      <alignment horizontal="center" vertical="center"/>
    </xf>
    <xf numFmtId="0" fontId="12" fillId="0" borderId="29" xfId="22" applyFont="1" applyBorder="1" applyAlignment="1">
      <alignment horizontal="center" vertical="center"/>
    </xf>
    <xf numFmtId="0" fontId="19" fillId="0" borderId="57" xfId="0" applyFont="1" applyBorder="1" applyAlignment="1">
      <alignment horizontal="left" vertical="center" wrapText="1"/>
    </xf>
    <xf numFmtId="0" fontId="19" fillId="0" borderId="44" xfId="0" applyFont="1" applyBorder="1" applyAlignment="1">
      <alignment horizontal="left" vertical="center" wrapText="1"/>
    </xf>
    <xf numFmtId="0" fontId="19" fillId="0" borderId="45" xfId="0" applyFont="1" applyBorder="1" applyAlignment="1">
      <alignment horizontal="left" vertical="center" wrapText="1"/>
    </xf>
    <xf numFmtId="0" fontId="37" fillId="0" borderId="49" xfId="0" applyFont="1" applyBorder="1" applyAlignment="1">
      <alignment horizontal="center" vertical="center" wrapText="1"/>
    </xf>
    <xf numFmtId="0" fontId="37" fillId="0" borderId="39" xfId="0" applyFont="1" applyBorder="1" applyAlignment="1">
      <alignment horizontal="center" vertical="center" wrapText="1"/>
    </xf>
    <xf numFmtId="0" fontId="0" fillId="0" borderId="49" xfId="0" applyBorder="1" applyAlignment="1">
      <alignment horizontal="center" vertical="center"/>
    </xf>
    <xf numFmtId="0" fontId="0" fillId="0" borderId="39" xfId="0" applyBorder="1" applyAlignment="1">
      <alignment horizontal="center" vertical="center"/>
    </xf>
    <xf numFmtId="0" fontId="37" fillId="0" borderId="46" xfId="0" applyFont="1" applyBorder="1" applyAlignment="1">
      <alignment horizontal="center" vertical="center" wrapText="1"/>
    </xf>
    <xf numFmtId="0" fontId="37" fillId="0" borderId="48" xfId="0" applyFont="1" applyBorder="1" applyAlignment="1">
      <alignment horizontal="center" vertical="center" wrapText="1"/>
    </xf>
    <xf numFmtId="0" fontId="0" fillId="0" borderId="46" xfId="0" applyBorder="1" applyAlignment="1">
      <alignment horizontal="center" vertical="center"/>
    </xf>
    <xf numFmtId="0" fontId="0" fillId="0" borderId="48" xfId="0" applyBorder="1" applyAlignment="1">
      <alignment horizontal="center" vertical="center"/>
    </xf>
    <xf numFmtId="0" fontId="37" fillId="0" borderId="62" xfId="0" applyFont="1" applyBorder="1" applyAlignment="1">
      <alignment horizontal="center" vertical="center" wrapText="1"/>
    </xf>
    <xf numFmtId="0" fontId="37" fillId="0" borderId="26" xfId="0" applyFont="1" applyBorder="1" applyAlignment="1">
      <alignment horizontal="center" vertical="center" wrapText="1"/>
    </xf>
    <xf numFmtId="0" fontId="0" fillId="0" borderId="62" xfId="0" applyBorder="1" applyAlignment="1">
      <alignment horizontal="center" vertical="center"/>
    </xf>
    <xf numFmtId="0" fontId="0" fillId="0" borderId="26" xfId="0" applyBorder="1" applyAlignment="1">
      <alignment horizontal="center" vertical="center"/>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2" fillId="0" borderId="56" xfId="22" applyFont="1" applyBorder="1" applyAlignment="1">
      <alignment horizontal="center" vertical="center" wrapText="1"/>
    </xf>
    <xf numFmtId="0" fontId="12" fillId="0" borderId="44" xfId="22" applyFont="1" applyBorder="1" applyAlignment="1">
      <alignment horizontal="center" vertical="center" wrapText="1"/>
    </xf>
    <xf numFmtId="0" fontId="12" fillId="0" borderId="45" xfId="22" applyFont="1" applyBorder="1" applyAlignment="1">
      <alignment horizontal="center" vertical="center" wrapText="1"/>
    </xf>
    <xf numFmtId="0" fontId="12" fillId="0" borderId="33" xfId="22" applyFont="1" applyBorder="1" applyAlignment="1">
      <alignment horizontal="center" vertical="center" wrapText="1"/>
    </xf>
    <xf numFmtId="0" fontId="44" fillId="0" borderId="40" xfId="0" applyFont="1" applyBorder="1" applyAlignment="1">
      <alignment horizontal="left" vertical="center" wrapText="1"/>
    </xf>
    <xf numFmtId="0" fontId="44" fillId="0" borderId="19" xfId="0" applyFont="1" applyBorder="1" applyAlignment="1">
      <alignment horizontal="left" vertical="center" wrapText="1"/>
    </xf>
    <xf numFmtId="0" fontId="44" fillId="0" borderId="33" xfId="0" applyFont="1" applyBorder="1" applyAlignment="1">
      <alignment horizontal="left" vertical="center" wrapText="1"/>
    </xf>
    <xf numFmtId="0" fontId="11" fillId="20" borderId="19" xfId="22" applyFont="1" applyFill="1" applyBorder="1" applyAlignment="1">
      <alignment horizontal="center" vertical="center" wrapText="1"/>
    </xf>
    <xf numFmtId="0" fontId="12" fillId="20" borderId="42" xfId="22" applyFont="1" applyFill="1" applyBorder="1" applyAlignment="1">
      <alignment horizontal="center" vertical="center" wrapText="1"/>
    </xf>
    <xf numFmtId="0" fontId="12" fillId="20" borderId="43" xfId="22" applyFont="1" applyFill="1" applyBorder="1" applyAlignment="1">
      <alignment horizontal="center" vertical="center" wrapText="1"/>
    </xf>
    <xf numFmtId="9" fontId="38" fillId="19" borderId="68" xfId="30" applyFont="1" applyFill="1" applyBorder="1" applyAlignment="1" applyProtection="1">
      <alignment horizontal="left" vertical="center" wrapText="1"/>
    </xf>
    <xf numFmtId="9" fontId="38" fillId="19" borderId="0" xfId="30" applyFont="1" applyFill="1" applyBorder="1" applyAlignment="1" applyProtection="1">
      <alignment horizontal="left" vertical="center" wrapText="1"/>
    </xf>
    <xf numFmtId="9" fontId="38" fillId="19" borderId="14" xfId="30" applyFont="1" applyFill="1" applyBorder="1" applyAlignment="1" applyProtection="1">
      <alignment horizontal="left" vertical="center" wrapText="1"/>
    </xf>
    <xf numFmtId="0" fontId="40" fillId="20" borderId="66" xfId="22" applyFont="1" applyFill="1" applyBorder="1" applyAlignment="1">
      <alignment horizontal="left" vertical="center" wrapText="1"/>
    </xf>
    <xf numFmtId="0" fontId="40" fillId="20" borderId="47" xfId="22" applyFont="1" applyFill="1" applyBorder="1" applyAlignment="1">
      <alignment horizontal="left" vertical="center" wrapText="1"/>
    </xf>
    <xf numFmtId="0" fontId="40" fillId="20" borderId="48" xfId="22" applyFont="1" applyFill="1" applyBorder="1" applyAlignment="1">
      <alignment horizontal="left" vertical="center" wrapText="1"/>
    </xf>
    <xf numFmtId="0" fontId="40" fillId="20" borderId="2" xfId="22" applyFont="1" applyFill="1" applyBorder="1" applyAlignment="1">
      <alignment horizontal="center" vertical="center" wrapText="1"/>
    </xf>
    <xf numFmtId="0" fontId="40" fillId="20" borderId="58" xfId="22" applyFont="1" applyFill="1" applyBorder="1" applyAlignment="1">
      <alignment horizontal="center" vertical="center" wrapText="1"/>
    </xf>
    <xf numFmtId="0" fontId="40" fillId="20" borderId="26" xfId="22" applyFont="1" applyFill="1" applyBorder="1" applyAlignment="1">
      <alignment horizontal="center" vertical="center" wrapText="1"/>
    </xf>
    <xf numFmtId="0" fontId="12" fillId="0" borderId="67" xfId="22" applyFont="1" applyBorder="1" applyAlignment="1">
      <alignment horizontal="center" vertical="center" wrapText="1"/>
    </xf>
    <xf numFmtId="9" fontId="12" fillId="0" borderId="35" xfId="22" applyNumberFormat="1" applyFont="1" applyBorder="1" applyAlignment="1">
      <alignment horizontal="center" vertical="center" wrapText="1"/>
    </xf>
    <xf numFmtId="0" fontId="12" fillId="0" borderId="35" xfId="22" applyFont="1" applyBorder="1" applyAlignment="1">
      <alignment horizontal="center" vertical="center" wrapText="1"/>
    </xf>
    <xf numFmtId="9" fontId="38" fillId="19" borderId="24" xfId="30" applyFont="1" applyFill="1" applyBorder="1" applyAlignment="1" applyProtection="1">
      <alignment horizontal="left" vertical="center" wrapText="1"/>
    </xf>
    <xf numFmtId="9" fontId="11" fillId="19" borderId="68" xfId="30" applyFont="1" applyFill="1" applyBorder="1" applyAlignment="1" applyProtection="1">
      <alignment horizontal="center" vertical="center" wrapText="1"/>
    </xf>
    <xf numFmtId="9" fontId="11" fillId="19" borderId="0" xfId="30" applyFont="1" applyFill="1" applyBorder="1" applyAlignment="1" applyProtection="1">
      <alignment horizontal="center" vertical="center" wrapText="1"/>
    </xf>
    <xf numFmtId="9" fontId="11" fillId="19" borderId="24" xfId="30" applyFont="1" applyFill="1" applyBorder="1" applyAlignment="1" applyProtection="1">
      <alignment horizontal="center" vertical="center" wrapText="1"/>
    </xf>
    <xf numFmtId="2" fontId="11" fillId="0" borderId="32" xfId="0" applyNumberFormat="1" applyFont="1" applyBorder="1" applyAlignment="1">
      <alignment horizontal="left" vertical="center" wrapText="1"/>
    </xf>
    <xf numFmtId="0" fontId="20" fillId="0" borderId="31" xfId="0" applyFont="1" applyBorder="1"/>
    <xf numFmtId="9" fontId="11" fillId="0" borderId="51" xfId="22" applyNumberFormat="1" applyFont="1" applyBorder="1" applyAlignment="1">
      <alignment horizontal="left" vertical="center" wrapText="1"/>
    </xf>
    <xf numFmtId="9" fontId="11" fillId="0" borderId="22" xfId="22" applyNumberFormat="1" applyFont="1" applyBorder="1" applyAlignment="1">
      <alignment horizontal="left" vertical="center" wrapText="1"/>
    </xf>
    <xf numFmtId="9" fontId="11" fillId="0" borderId="52" xfId="22" applyNumberFormat="1" applyFont="1" applyBorder="1" applyAlignment="1">
      <alignment horizontal="left" vertical="center" wrapText="1"/>
    </xf>
    <xf numFmtId="9" fontId="11" fillId="0" borderId="42" xfId="22" applyNumberFormat="1" applyFont="1" applyBorder="1" applyAlignment="1">
      <alignment horizontal="left" vertical="center" wrapText="1"/>
    </xf>
    <xf numFmtId="9" fontId="11" fillId="0" borderId="15" xfId="22" applyNumberFormat="1" applyFont="1" applyBorder="1" applyAlignment="1">
      <alignment horizontal="left" vertical="center" wrapText="1"/>
    </xf>
    <xf numFmtId="9" fontId="11" fillId="0" borderId="16" xfId="22" applyNumberFormat="1" applyFont="1" applyBorder="1" applyAlignment="1">
      <alignment horizontal="left" vertical="center" wrapText="1"/>
    </xf>
    <xf numFmtId="2" fontId="11" fillId="0" borderId="8" xfId="0" applyNumberFormat="1" applyFont="1" applyBorder="1" applyAlignment="1">
      <alignment horizontal="left" vertical="center" wrapText="1"/>
    </xf>
    <xf numFmtId="0" fontId="20" fillId="0" borderId="8" xfId="0" applyFont="1" applyBorder="1"/>
    <xf numFmtId="9" fontId="11" fillId="0" borderId="68" xfId="22" applyNumberFormat="1" applyFont="1" applyBorder="1" applyAlignment="1">
      <alignment horizontal="left" vertical="center" wrapText="1"/>
    </xf>
    <xf numFmtId="9" fontId="11" fillId="0" borderId="0" xfId="22" applyNumberFormat="1" applyFont="1" applyAlignment="1">
      <alignment horizontal="left" vertical="center" wrapText="1"/>
    </xf>
    <xf numFmtId="9" fontId="11" fillId="0" borderId="14" xfId="22" applyNumberFormat="1" applyFont="1" applyBorder="1" applyAlignment="1">
      <alignment horizontal="left" vertical="center" wrapText="1"/>
    </xf>
    <xf numFmtId="2" fontId="12" fillId="0" borderId="59" xfId="28" applyNumberFormat="1" applyFont="1" applyFill="1" applyBorder="1" applyAlignment="1" applyProtection="1">
      <alignment horizontal="center" vertical="center" wrapText="1"/>
    </xf>
    <xf numFmtId="2" fontId="12" fillId="0" borderId="60" xfId="28" applyNumberFormat="1" applyFont="1" applyFill="1" applyBorder="1" applyAlignment="1" applyProtection="1">
      <alignment horizontal="center" vertical="center" wrapText="1"/>
    </xf>
    <xf numFmtId="0" fontId="12" fillId="20" borderId="18" xfId="22" applyFont="1" applyFill="1" applyBorder="1" applyAlignment="1">
      <alignment horizontal="center" vertical="center" wrapText="1"/>
    </xf>
    <xf numFmtId="0" fontId="12" fillId="20" borderId="10" xfId="22" applyFont="1" applyFill="1" applyBorder="1" applyAlignment="1">
      <alignment horizontal="center" vertical="center" wrapText="1"/>
    </xf>
    <xf numFmtId="0" fontId="12" fillId="20" borderId="68" xfId="22" applyFont="1" applyFill="1" applyBorder="1" applyAlignment="1">
      <alignment horizontal="center" vertical="center" wrapText="1"/>
    </xf>
    <xf numFmtId="0" fontId="12" fillId="20" borderId="24" xfId="22" applyFont="1" applyFill="1" applyBorder="1" applyAlignment="1">
      <alignment horizontal="center" vertical="center" wrapText="1"/>
    </xf>
    <xf numFmtId="0" fontId="49" fillId="19" borderId="98" xfId="0" applyFont="1" applyFill="1" applyBorder="1" applyAlignment="1">
      <alignment horizontal="left" vertical="center" wrapText="1"/>
    </xf>
    <xf numFmtId="0" fontId="49" fillId="19" borderId="99" xfId="0" applyFont="1" applyFill="1" applyBorder="1" applyAlignment="1">
      <alignment horizontal="left" vertical="center" wrapText="1"/>
    </xf>
    <xf numFmtId="0" fontId="49" fillId="19" borderId="101" xfId="0" applyFont="1" applyFill="1" applyBorder="1" applyAlignment="1">
      <alignment horizontal="left" vertical="center" wrapText="1"/>
    </xf>
    <xf numFmtId="0" fontId="49" fillId="19" borderId="102" xfId="0" applyFont="1" applyFill="1" applyBorder="1" applyAlignment="1">
      <alignment horizontal="left" vertical="center" wrapText="1"/>
    </xf>
    <xf numFmtId="0" fontId="12" fillId="20" borderId="34" xfId="22" applyFont="1" applyFill="1" applyBorder="1" applyAlignment="1">
      <alignment horizontal="center" vertical="center" wrapText="1"/>
    </xf>
    <xf numFmtId="0" fontId="12" fillId="20" borderId="33" xfId="22" applyFont="1" applyFill="1" applyBorder="1" applyAlignment="1">
      <alignment horizontal="center" vertical="center" wrapText="1"/>
    </xf>
    <xf numFmtId="0" fontId="12" fillId="0" borderId="8" xfId="22" applyFont="1" applyBorder="1" applyAlignment="1">
      <alignment horizontal="justify" vertical="center" wrapText="1"/>
    </xf>
    <xf numFmtId="0" fontId="12" fillId="0" borderId="31" xfId="22" applyFont="1" applyBorder="1" applyAlignment="1">
      <alignment horizontal="justify" vertical="center" wrapText="1"/>
    </xf>
    <xf numFmtId="0" fontId="42" fillId="19" borderId="97" xfId="0" applyFont="1" applyFill="1" applyBorder="1" applyAlignment="1">
      <alignment horizontal="left" vertical="center" wrapText="1"/>
    </xf>
    <xf numFmtId="0" fontId="47" fillId="19" borderId="98" xfId="0" applyFont="1" applyFill="1" applyBorder="1" applyAlignment="1">
      <alignment horizontal="left" vertical="center" wrapText="1"/>
    </xf>
    <xf numFmtId="0" fontId="47" fillId="19" borderId="100" xfId="0" applyFont="1" applyFill="1" applyBorder="1" applyAlignment="1">
      <alignment horizontal="left" vertical="center" wrapText="1"/>
    </xf>
    <xf numFmtId="0" fontId="47" fillId="19" borderId="101" xfId="0" applyFont="1" applyFill="1" applyBorder="1" applyAlignment="1">
      <alignment horizontal="left" vertical="center" wrapText="1"/>
    </xf>
    <xf numFmtId="0" fontId="38" fillId="19" borderId="98" xfId="0" applyFont="1" applyFill="1" applyBorder="1" applyAlignment="1">
      <alignment horizontal="left" vertical="center" wrapText="1"/>
    </xf>
    <xf numFmtId="0" fontId="11" fillId="19" borderId="98" xfId="0" applyFont="1" applyFill="1" applyBorder="1" applyAlignment="1">
      <alignment horizontal="left" vertical="center" wrapText="1"/>
    </xf>
    <xf numFmtId="0" fontId="11" fillId="19" borderId="101" xfId="0" applyFont="1" applyFill="1" applyBorder="1" applyAlignment="1">
      <alignment horizontal="left" vertical="center" wrapText="1"/>
    </xf>
    <xf numFmtId="2" fontId="11" fillId="0" borderId="13" xfId="0" applyNumberFormat="1" applyFont="1" applyBorder="1" applyAlignment="1">
      <alignment horizontal="justify" vertical="center" wrapText="1"/>
    </xf>
    <xf numFmtId="0" fontId="20" fillId="0" borderId="37" xfId="0" applyFont="1" applyBorder="1" applyAlignment="1">
      <alignment horizontal="justify" vertical="center" wrapText="1"/>
    </xf>
    <xf numFmtId="0" fontId="11" fillId="0" borderId="96" xfId="0" applyFont="1" applyBorder="1" applyAlignment="1">
      <alignment horizontal="left" vertical="center" wrapText="1"/>
    </xf>
    <xf numFmtId="0" fontId="11" fillId="0" borderId="89" xfId="0" applyFont="1" applyBorder="1" applyAlignment="1">
      <alignment horizontal="left" vertical="center" wrapText="1"/>
    </xf>
    <xf numFmtId="0" fontId="11" fillId="0" borderId="93" xfId="0" applyFont="1" applyBorder="1" applyAlignment="1">
      <alignment horizontal="left" vertical="center" wrapText="1"/>
    </xf>
    <xf numFmtId="0" fontId="11" fillId="0" borderId="94" xfId="0" applyFont="1" applyBorder="1" applyAlignment="1">
      <alignment horizontal="left" vertical="center" wrapText="1"/>
    </xf>
    <xf numFmtId="2" fontId="11" fillId="0" borderId="32" xfId="0" applyNumberFormat="1" applyFont="1" applyBorder="1" applyAlignment="1">
      <alignment horizontal="justify" vertical="center" wrapText="1"/>
    </xf>
    <xf numFmtId="0" fontId="20" fillId="0" borderId="8" xfId="0" applyFont="1" applyBorder="1" applyAlignment="1">
      <alignment horizontal="justify" vertical="center" wrapText="1"/>
    </xf>
    <xf numFmtId="9" fontId="11" fillId="0" borderId="44" xfId="22" applyNumberFormat="1" applyFont="1" applyBorder="1" applyAlignment="1">
      <alignment horizontal="center" vertical="center" wrapText="1"/>
    </xf>
    <xf numFmtId="0" fontId="11" fillId="0" borderId="36" xfId="0" applyFont="1" applyBorder="1" applyAlignment="1">
      <alignment horizontal="left" vertical="center" wrapText="1"/>
    </xf>
    <xf numFmtId="0" fontId="11" fillId="0" borderId="11" xfId="0" applyFont="1" applyBorder="1" applyAlignment="1">
      <alignment horizontal="left" vertical="center" wrapText="1"/>
    </xf>
    <xf numFmtId="0" fontId="11" fillId="0" borderId="91" xfId="0" applyFont="1" applyBorder="1" applyAlignment="1">
      <alignment horizontal="left" vertical="center" wrapText="1"/>
    </xf>
    <xf numFmtId="0" fontId="11" fillId="0" borderId="92" xfId="0" applyFont="1" applyBorder="1" applyAlignment="1">
      <alignment horizontal="left" vertical="center" wrapText="1"/>
    </xf>
    <xf numFmtId="2" fontId="11" fillId="0" borderId="8" xfId="0" applyNumberFormat="1" applyFont="1" applyBorder="1" applyAlignment="1">
      <alignment horizontal="justify" vertical="center" wrapText="1"/>
    </xf>
    <xf numFmtId="0" fontId="11" fillId="0" borderId="95" xfId="0" applyFont="1" applyBorder="1" applyAlignment="1">
      <alignment horizontal="left" vertical="center" wrapText="1"/>
    </xf>
    <xf numFmtId="0" fontId="11" fillId="20" borderId="1" xfId="22" applyFont="1" applyFill="1" applyBorder="1" applyAlignment="1">
      <alignment horizontal="center" vertical="center" wrapText="1"/>
    </xf>
    <xf numFmtId="9" fontId="38" fillId="19" borderId="104" xfId="30" applyFont="1" applyFill="1" applyBorder="1" applyAlignment="1" applyProtection="1">
      <alignment horizontal="left" vertical="center" wrapText="1"/>
    </xf>
    <xf numFmtId="9" fontId="38" fillId="19" borderId="11" xfId="30" applyFont="1" applyFill="1" applyBorder="1" applyAlignment="1" applyProtection="1">
      <alignment horizontal="left" vertical="center" wrapText="1"/>
    </xf>
    <xf numFmtId="9" fontId="38" fillId="19" borderId="12" xfId="30" applyFont="1" applyFill="1" applyBorder="1" applyAlignment="1" applyProtection="1">
      <alignment horizontal="left" vertical="center" wrapText="1"/>
    </xf>
    <xf numFmtId="0" fontId="12" fillId="20" borderId="4" xfId="22" applyFont="1" applyFill="1" applyBorder="1" applyAlignment="1">
      <alignment horizontal="center" vertical="center" wrapText="1"/>
    </xf>
    <xf numFmtId="9" fontId="38" fillId="19" borderId="36" xfId="30" applyFont="1" applyFill="1" applyBorder="1" applyAlignment="1" applyProtection="1">
      <alignment horizontal="left" vertical="center" wrapText="1"/>
    </xf>
    <xf numFmtId="9" fontId="49" fillId="19" borderId="11" xfId="30" applyFont="1" applyFill="1" applyBorder="1" applyAlignment="1" applyProtection="1">
      <alignment horizontal="left" vertical="center" wrapText="1"/>
    </xf>
    <xf numFmtId="9" fontId="49" fillId="19" borderId="103" xfId="30" applyFont="1" applyFill="1" applyBorder="1" applyAlignment="1" applyProtection="1">
      <alignment horizontal="left" vertical="center" wrapText="1"/>
    </xf>
    <xf numFmtId="9" fontId="49" fillId="19" borderId="37" xfId="30" applyFont="1" applyFill="1" applyBorder="1" applyAlignment="1" applyProtection="1">
      <alignment horizontal="left" vertical="center" wrapText="1"/>
    </xf>
    <xf numFmtId="9" fontId="49" fillId="19" borderId="15" xfId="30" applyFont="1" applyFill="1" applyBorder="1" applyAlignment="1" applyProtection="1">
      <alignment horizontal="left" vertical="center" wrapText="1"/>
    </xf>
    <xf numFmtId="9" fontId="49" fillId="19" borderId="43" xfId="30" applyFont="1" applyFill="1" applyBorder="1" applyAlignment="1" applyProtection="1">
      <alignment horizontal="left" vertical="center" wrapText="1"/>
    </xf>
    <xf numFmtId="9" fontId="11" fillId="0" borderId="104" xfId="30" applyFont="1" applyFill="1" applyBorder="1" applyAlignment="1" applyProtection="1">
      <alignment horizontal="left" vertical="center" wrapText="1"/>
    </xf>
    <xf numFmtId="9" fontId="11" fillId="0" borderId="11" xfId="30" applyFont="1" applyFill="1" applyBorder="1" applyAlignment="1" applyProtection="1">
      <alignment horizontal="left" vertical="center" wrapText="1"/>
    </xf>
    <xf numFmtId="9" fontId="11" fillId="0" borderId="103" xfId="30" applyFont="1" applyFill="1" applyBorder="1" applyAlignment="1" applyProtection="1">
      <alignment horizontal="left" vertical="center" wrapText="1"/>
    </xf>
    <xf numFmtId="9" fontId="11" fillId="0" borderId="42" xfId="30" applyFont="1" applyFill="1" applyBorder="1" applyAlignment="1" applyProtection="1">
      <alignment horizontal="left" vertical="center" wrapText="1"/>
    </xf>
    <xf numFmtId="9" fontId="11" fillId="0" borderId="15" xfId="30" applyFont="1" applyFill="1" applyBorder="1" applyAlignment="1" applyProtection="1">
      <alignment horizontal="left" vertical="center" wrapText="1"/>
    </xf>
    <xf numFmtId="9" fontId="11" fillId="0" borderId="43" xfId="30" applyFont="1" applyFill="1" applyBorder="1" applyAlignment="1" applyProtection="1">
      <alignment horizontal="left" vertical="center" wrapText="1"/>
    </xf>
    <xf numFmtId="0" fontId="39" fillId="19" borderId="98" xfId="0" applyFont="1" applyFill="1" applyBorder="1" applyAlignment="1">
      <alignment horizontal="left" vertical="center" wrapText="1"/>
    </xf>
    <xf numFmtId="0" fontId="39" fillId="19" borderId="101" xfId="0" applyFont="1" applyFill="1" applyBorder="1" applyAlignment="1">
      <alignment horizontal="left" vertical="center" wrapText="1"/>
    </xf>
    <xf numFmtId="9" fontId="11" fillId="0" borderId="30" xfId="22" applyNumberFormat="1" applyFont="1" applyBorder="1" applyAlignment="1">
      <alignment horizontal="left" vertical="center" wrapText="1"/>
    </xf>
    <xf numFmtId="9" fontId="11" fillId="0" borderId="37" xfId="22" applyNumberFormat="1" applyFont="1" applyBorder="1" applyAlignment="1">
      <alignment horizontal="left" vertical="center" wrapText="1"/>
    </xf>
    <xf numFmtId="9" fontId="11" fillId="0" borderId="36" xfId="22" applyNumberFormat="1" applyFont="1" applyBorder="1" applyAlignment="1">
      <alignment horizontal="left" vertical="center" wrapText="1"/>
    </xf>
    <xf numFmtId="9" fontId="11" fillId="0" borderId="11" xfId="22" applyNumberFormat="1" applyFont="1" applyBorder="1" applyAlignment="1">
      <alignment horizontal="left" vertical="center" wrapText="1"/>
    </xf>
    <xf numFmtId="9" fontId="11" fillId="0" borderId="12" xfId="22" applyNumberFormat="1" applyFont="1" applyBorder="1" applyAlignment="1">
      <alignment horizontal="left" vertical="center" wrapText="1"/>
    </xf>
    <xf numFmtId="9" fontId="11" fillId="0" borderId="6" xfId="22" applyNumberFormat="1" applyFont="1" applyBorder="1" applyAlignment="1">
      <alignment horizontal="left" vertical="center" wrapText="1"/>
    </xf>
    <xf numFmtId="9" fontId="11" fillId="0" borderId="3" xfId="22" applyNumberFormat="1" applyFont="1" applyBorder="1" applyAlignment="1">
      <alignment horizontal="left" vertical="center" wrapText="1"/>
    </xf>
    <xf numFmtId="9" fontId="11" fillId="0" borderId="7" xfId="22" applyNumberFormat="1" applyFont="1" applyBorder="1" applyAlignment="1">
      <alignment horizontal="left" vertical="center" wrapText="1"/>
    </xf>
    <xf numFmtId="9" fontId="11" fillId="0" borderId="22" xfId="22" applyNumberFormat="1" applyFont="1" applyBorder="1" applyAlignment="1">
      <alignment horizontal="justify" vertical="center" wrapText="1"/>
    </xf>
    <xf numFmtId="9" fontId="11" fillId="0" borderId="52" xfId="22" applyNumberFormat="1" applyFont="1" applyBorder="1" applyAlignment="1">
      <alignment horizontal="justify" vertical="center" wrapText="1"/>
    </xf>
    <xf numFmtId="9" fontId="11" fillId="0" borderId="0" xfId="22" applyNumberFormat="1" applyFont="1" applyAlignment="1">
      <alignment horizontal="justify" vertical="center" wrapText="1"/>
    </xf>
    <xf numFmtId="9" fontId="11" fillId="0" borderId="14" xfId="22" applyNumberFormat="1" applyFont="1" applyBorder="1" applyAlignment="1">
      <alignment horizontal="justify" vertical="center" wrapText="1"/>
    </xf>
    <xf numFmtId="0" fontId="20" fillId="0" borderId="31" xfId="0" applyFont="1" applyBorder="1" applyAlignment="1">
      <alignment horizontal="justify" vertical="center" wrapText="1"/>
    </xf>
    <xf numFmtId="9" fontId="11" fillId="0" borderId="2" xfId="22" applyNumberFormat="1" applyFont="1" applyBorder="1" applyAlignment="1">
      <alignment horizontal="center" vertical="center" wrapText="1"/>
    </xf>
    <xf numFmtId="0" fontId="11" fillId="0" borderId="21" xfId="22" applyFont="1" applyBorder="1" applyAlignment="1">
      <alignment horizontal="center" vertical="center" wrapText="1"/>
    </xf>
    <xf numFmtId="9" fontId="11" fillId="0" borderId="15" xfId="22" applyNumberFormat="1" applyFont="1" applyBorder="1" applyAlignment="1">
      <alignment horizontal="justify" vertical="center" wrapText="1"/>
    </xf>
    <xf numFmtId="9" fontId="11" fillId="0" borderId="16" xfId="22" applyNumberFormat="1" applyFont="1" applyBorder="1" applyAlignment="1">
      <alignment horizontal="justify" vertical="center" wrapText="1"/>
    </xf>
    <xf numFmtId="9" fontId="38" fillId="19" borderId="68" xfId="30" applyFont="1" applyFill="1" applyBorder="1" applyAlignment="1" applyProtection="1">
      <alignment horizontal="justify" vertical="center" wrapText="1"/>
    </xf>
    <xf numFmtId="9" fontId="38" fillId="19" borderId="0" xfId="30" applyFont="1" applyFill="1" applyBorder="1" applyAlignment="1" applyProtection="1">
      <alignment horizontal="justify" vertical="center" wrapText="1"/>
    </xf>
    <xf numFmtId="9" fontId="38" fillId="19" borderId="14" xfId="30" applyFont="1" applyFill="1" applyBorder="1" applyAlignment="1" applyProtection="1">
      <alignment horizontal="justify" vertical="center" wrapText="1"/>
    </xf>
    <xf numFmtId="9" fontId="38" fillId="19" borderId="42" xfId="30" applyFont="1" applyFill="1" applyBorder="1" applyAlignment="1" applyProtection="1">
      <alignment horizontal="justify" vertical="center" wrapText="1"/>
    </xf>
    <xf numFmtId="9" fontId="38" fillId="19" borderId="15" xfId="30" applyFont="1" applyFill="1" applyBorder="1" applyAlignment="1" applyProtection="1">
      <alignment horizontal="justify" vertical="center" wrapText="1"/>
    </xf>
    <xf numFmtId="9" fontId="38" fillId="19" borderId="16" xfId="30" applyFont="1" applyFill="1" applyBorder="1" applyAlignment="1" applyProtection="1">
      <alignment horizontal="justify" vertical="center" wrapText="1"/>
    </xf>
    <xf numFmtId="9" fontId="38" fillId="19" borderId="24" xfId="30" applyFont="1" applyFill="1" applyBorder="1" applyAlignment="1" applyProtection="1">
      <alignment horizontal="justify" vertical="center" wrapText="1"/>
    </xf>
    <xf numFmtId="9" fontId="38" fillId="19" borderId="43" xfId="30" applyFont="1" applyFill="1" applyBorder="1" applyAlignment="1" applyProtection="1">
      <alignment horizontal="justify" vertical="center" wrapText="1"/>
    </xf>
    <xf numFmtId="9" fontId="38" fillId="0" borderId="0" xfId="30" applyFont="1" applyFill="1" applyBorder="1" applyAlignment="1" applyProtection="1">
      <alignment horizontal="justify" vertical="center" wrapText="1"/>
    </xf>
    <xf numFmtId="9" fontId="38" fillId="0" borderId="24" xfId="30" applyFont="1" applyFill="1" applyBorder="1" applyAlignment="1" applyProtection="1">
      <alignment horizontal="justify" vertical="center" wrapText="1"/>
    </xf>
    <xf numFmtId="9" fontId="38" fillId="0" borderId="15" xfId="30" applyFont="1" applyFill="1" applyBorder="1" applyAlignment="1" applyProtection="1">
      <alignment horizontal="justify" vertical="center" wrapText="1"/>
    </xf>
    <xf numFmtId="9" fontId="38" fillId="0" borderId="43" xfId="30" applyFont="1" applyFill="1" applyBorder="1" applyAlignment="1" applyProtection="1">
      <alignment horizontal="justify" vertical="center" wrapText="1"/>
    </xf>
    <xf numFmtId="9" fontId="38" fillId="19" borderId="43" xfId="30" applyFont="1" applyFill="1" applyBorder="1" applyAlignment="1" applyProtection="1">
      <alignment horizontal="left" vertical="center" wrapText="1"/>
    </xf>
    <xf numFmtId="9" fontId="38" fillId="19" borderId="5" xfId="30" applyFont="1" applyFill="1" applyBorder="1" applyAlignment="1" applyProtection="1">
      <alignment horizontal="justify" vertical="center" wrapText="1"/>
    </xf>
    <xf numFmtId="9" fontId="38" fillId="19" borderId="1" xfId="30" applyFont="1" applyFill="1" applyBorder="1" applyAlignment="1" applyProtection="1">
      <alignment horizontal="justify" vertical="center" wrapText="1"/>
    </xf>
    <xf numFmtId="9" fontId="38" fillId="19" borderId="40" xfId="30" applyFont="1" applyFill="1" applyBorder="1" applyAlignment="1" applyProtection="1">
      <alignment horizontal="justify" vertical="center" wrapText="1"/>
    </xf>
    <xf numFmtId="9" fontId="38" fillId="19" borderId="19" xfId="30" applyFont="1" applyFill="1" applyBorder="1" applyAlignment="1" applyProtection="1">
      <alignment horizontal="justify" vertical="center" wrapText="1"/>
    </xf>
    <xf numFmtId="0" fontId="12" fillId="20" borderId="62" xfId="22" applyFont="1" applyFill="1" applyBorder="1" applyAlignment="1">
      <alignment horizontal="center" vertical="center" wrapText="1"/>
    </xf>
    <xf numFmtId="0" fontId="12" fillId="20" borderId="26" xfId="22" applyFont="1" applyFill="1" applyBorder="1" applyAlignment="1">
      <alignment horizontal="center" vertical="center" wrapText="1"/>
    </xf>
    <xf numFmtId="0" fontId="20" fillId="0" borderId="8" xfId="0" applyFont="1" applyBorder="1" applyAlignment="1">
      <alignment vertical="center"/>
    </xf>
    <xf numFmtId="9" fontId="11" fillId="0" borderId="13" xfId="22" applyNumberFormat="1" applyFont="1" applyBorder="1" applyAlignment="1">
      <alignment horizontal="left" vertical="center" wrapText="1"/>
    </xf>
    <xf numFmtId="9" fontId="38" fillId="19" borderId="9" xfId="30" applyFont="1" applyFill="1" applyBorder="1" applyAlignment="1" applyProtection="1">
      <alignment horizontal="justify" vertical="center" wrapText="1"/>
    </xf>
    <xf numFmtId="9" fontId="38" fillId="19" borderId="33" xfId="30" applyFont="1" applyFill="1" applyBorder="1" applyAlignment="1" applyProtection="1">
      <alignment horizontal="justify" vertical="center" wrapText="1"/>
    </xf>
    <xf numFmtId="0" fontId="12" fillId="19" borderId="0" xfId="22" applyFont="1" applyFill="1" applyAlignment="1">
      <alignment horizontal="center" vertical="center" wrapText="1"/>
    </xf>
    <xf numFmtId="9" fontId="39" fillId="0" borderId="51" xfId="30" applyFont="1" applyFill="1" applyBorder="1" applyAlignment="1" applyProtection="1">
      <alignment horizontal="center" vertical="center" wrapText="1"/>
    </xf>
    <xf numFmtId="9" fontId="39" fillId="0" borderId="22" xfId="30" applyFont="1" applyFill="1" applyBorder="1" applyAlignment="1" applyProtection="1">
      <alignment horizontal="center" vertical="center" wrapText="1"/>
    </xf>
    <xf numFmtId="9" fontId="39" fillId="0" borderId="23" xfId="30" applyFont="1" applyFill="1" applyBorder="1" applyAlignment="1" applyProtection="1">
      <alignment horizontal="center" vertical="center" wrapText="1"/>
    </xf>
    <xf numFmtId="9" fontId="39" fillId="0" borderId="42" xfId="30" applyFont="1" applyFill="1" applyBorder="1" applyAlignment="1" applyProtection="1">
      <alignment horizontal="center" vertical="center" wrapText="1"/>
    </xf>
    <xf numFmtId="9" fontId="39" fillId="0" borderId="15" xfId="30" applyFont="1" applyFill="1" applyBorder="1" applyAlignment="1" applyProtection="1">
      <alignment horizontal="center" vertical="center" wrapText="1"/>
    </xf>
    <xf numFmtId="9" fontId="39" fillId="0" borderId="43" xfId="30" applyFont="1" applyFill="1" applyBorder="1" applyAlignment="1" applyProtection="1">
      <alignment horizontal="center" vertical="center" wrapText="1"/>
    </xf>
    <xf numFmtId="9" fontId="39" fillId="0" borderId="52" xfId="30" applyFont="1" applyFill="1" applyBorder="1" applyAlignment="1" applyProtection="1">
      <alignment horizontal="center" vertical="center" wrapText="1"/>
    </xf>
    <xf numFmtId="9" fontId="39" fillId="0" borderId="16" xfId="30" applyFont="1" applyFill="1" applyBorder="1" applyAlignment="1" applyProtection="1">
      <alignment horizontal="center" vertical="center" wrapText="1"/>
    </xf>
    <xf numFmtId="0" fontId="12" fillId="0" borderId="2" xfId="22" applyFont="1" applyBorder="1" applyAlignment="1">
      <alignment horizontal="center" vertical="center" wrapText="1"/>
    </xf>
    <xf numFmtId="0" fontId="12" fillId="0" borderId="58" xfId="22" applyFont="1" applyBorder="1" applyAlignment="1">
      <alignment horizontal="center" vertical="center" wrapText="1"/>
    </xf>
    <xf numFmtId="0" fontId="12" fillId="0" borderId="5" xfId="22" applyFont="1" applyBorder="1" applyAlignment="1">
      <alignment horizontal="center" vertical="center" wrapText="1"/>
    </xf>
    <xf numFmtId="0" fontId="12" fillId="19" borderId="6" xfId="22" applyFont="1" applyFill="1" applyBorder="1" applyAlignment="1">
      <alignment horizontal="center" vertical="center" wrapText="1"/>
    </xf>
    <xf numFmtId="0" fontId="12" fillId="19" borderId="3" xfId="22" applyFont="1" applyFill="1" applyBorder="1" applyAlignment="1">
      <alignment horizontal="center" vertical="center" wrapText="1"/>
    </xf>
    <xf numFmtId="0" fontId="12" fillId="19" borderId="25" xfId="22" applyFont="1" applyFill="1" applyBorder="1" applyAlignment="1">
      <alignment horizontal="center" vertical="center" wrapText="1"/>
    </xf>
    <xf numFmtId="0" fontId="12" fillId="19" borderId="20" xfId="22" applyFont="1" applyFill="1" applyBorder="1" applyAlignment="1">
      <alignment horizontal="center" vertical="center" wrapText="1"/>
    </xf>
    <xf numFmtId="0" fontId="12" fillId="19" borderId="7" xfId="22" applyFont="1" applyFill="1" applyBorder="1" applyAlignment="1">
      <alignment horizontal="center" vertical="center" wrapText="1"/>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172" fontId="12" fillId="19" borderId="49" xfId="17" applyNumberFormat="1" applyFont="1" applyFill="1" applyBorder="1" applyAlignment="1" applyProtection="1">
      <alignment horizontal="center" vertical="center" wrapText="1"/>
    </xf>
    <xf numFmtId="172" fontId="12" fillId="19" borderId="50" xfId="17" applyNumberFormat="1" applyFont="1" applyFill="1" applyBorder="1" applyAlignment="1" applyProtection="1">
      <alignment horizontal="center" vertical="center" wrapText="1"/>
    </xf>
    <xf numFmtId="172" fontId="12" fillId="19" borderId="40" xfId="17" applyNumberFormat="1" applyFont="1" applyFill="1" applyBorder="1" applyAlignment="1" applyProtection="1">
      <alignment horizontal="center" vertical="center" wrapText="1"/>
    </xf>
    <xf numFmtId="0" fontId="12" fillId="19" borderId="62" xfId="22" applyFont="1" applyFill="1" applyBorder="1" applyAlignment="1">
      <alignment horizontal="center" vertical="center" wrapText="1"/>
    </xf>
    <xf numFmtId="0" fontId="12" fillId="19" borderId="58" xfId="22" applyFont="1" applyFill="1" applyBorder="1" applyAlignment="1">
      <alignment horizontal="center" vertical="center" wrapText="1"/>
    </xf>
    <xf numFmtId="172" fontId="12" fillId="0" borderId="2" xfId="17" applyNumberFormat="1" applyFont="1" applyFill="1" applyBorder="1" applyAlignment="1" applyProtection="1">
      <alignment horizontal="center" vertical="center" wrapText="1"/>
    </xf>
    <xf numFmtId="172" fontId="12" fillId="0" borderId="26" xfId="17" applyNumberFormat="1" applyFont="1" applyFill="1" applyBorder="1" applyAlignment="1" applyProtection="1">
      <alignment horizontal="center" vertical="center" wrapText="1"/>
    </xf>
    <xf numFmtId="0" fontId="12" fillId="0" borderId="57"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36" xfId="22" applyFont="1" applyBorder="1" applyAlignment="1">
      <alignment horizontal="center" vertical="center"/>
    </xf>
    <xf numFmtId="0" fontId="12" fillId="0" borderId="11" xfId="22" applyFont="1" applyBorder="1" applyAlignment="1">
      <alignment horizontal="center" vertical="center"/>
    </xf>
    <xf numFmtId="0" fontId="12" fillId="0" borderId="12" xfId="22" applyFont="1" applyBorder="1" applyAlignment="1">
      <alignment horizontal="center" vertical="center"/>
    </xf>
    <xf numFmtId="0" fontId="12" fillId="31" borderId="5" xfId="0" applyFont="1" applyFill="1" applyBorder="1" applyAlignment="1">
      <alignment horizontal="left" vertical="center" wrapText="1"/>
    </xf>
    <xf numFmtId="0" fontId="12" fillId="31" borderId="1" xfId="0" applyFont="1" applyFill="1" applyBorder="1" applyAlignment="1">
      <alignment horizontal="left" vertical="center" wrapText="1"/>
    </xf>
    <xf numFmtId="0" fontId="12" fillId="31" borderId="9" xfId="0" applyFont="1" applyFill="1" applyBorder="1" applyAlignment="1">
      <alignment horizontal="left" vertical="center" wrapText="1"/>
    </xf>
    <xf numFmtId="0" fontId="43" fillId="0" borderId="36" xfId="0" applyFont="1" applyBorder="1" applyAlignment="1">
      <alignment horizontal="center" vertical="center"/>
    </xf>
    <xf numFmtId="0" fontId="12" fillId="20" borderId="36" xfId="22" applyFont="1" applyFill="1" applyBorder="1" applyAlignment="1">
      <alignment horizontal="center" vertical="center" wrapText="1"/>
    </xf>
    <xf numFmtId="0" fontId="12" fillId="20" borderId="12" xfId="22" applyFont="1" applyFill="1" applyBorder="1" applyAlignment="1">
      <alignment horizontal="center" vertical="center" wrapText="1"/>
    </xf>
    <xf numFmtId="9" fontId="39" fillId="0" borderId="51" xfId="22" applyNumberFormat="1" applyFont="1" applyBorder="1" applyAlignment="1">
      <alignment horizontal="center" vertical="center" wrapText="1"/>
    </xf>
    <xf numFmtId="9" fontId="39" fillId="0" borderId="22" xfId="22" applyNumberFormat="1" applyFont="1" applyBorder="1" applyAlignment="1">
      <alignment horizontal="center" vertical="center" wrapText="1"/>
    </xf>
    <xf numFmtId="9" fontId="39" fillId="0" borderId="52" xfId="22" applyNumberFormat="1" applyFont="1" applyBorder="1" applyAlignment="1">
      <alignment horizontal="center" vertical="center" wrapText="1"/>
    </xf>
    <xf numFmtId="9" fontId="39" fillId="0" borderId="68" xfId="22" applyNumberFormat="1" applyFont="1" applyBorder="1" applyAlignment="1">
      <alignment horizontal="center" vertical="center" wrapText="1"/>
    </xf>
    <xf numFmtId="9" fontId="39" fillId="0" borderId="0" xfId="22" applyNumberFormat="1" applyFont="1" applyAlignment="1">
      <alignment horizontal="center" vertical="center" wrapText="1"/>
    </xf>
    <xf numFmtId="9" fontId="39" fillId="0" borderId="14" xfId="22" applyNumberFormat="1" applyFont="1" applyBorder="1" applyAlignment="1">
      <alignment horizontal="center" vertical="center" wrapText="1"/>
    </xf>
    <xf numFmtId="0" fontId="12" fillId="0" borderId="13" xfId="22" applyFont="1" applyBorder="1" applyAlignment="1">
      <alignment horizontal="center" vertical="center"/>
    </xf>
    <xf numFmtId="0" fontId="12" fillId="0" borderId="0" xfId="22" applyFont="1" applyAlignment="1">
      <alignment horizontal="center" vertical="center"/>
    </xf>
    <xf numFmtId="0" fontId="12" fillId="0" borderId="14" xfId="22" applyFont="1" applyBorder="1" applyAlignment="1">
      <alignment horizontal="center" vertical="center"/>
    </xf>
    <xf numFmtId="9" fontId="39" fillId="0" borderId="51" xfId="22" applyNumberFormat="1" applyFont="1" applyBorder="1" applyAlignment="1">
      <alignment horizontal="left" vertical="center" wrapText="1"/>
    </xf>
    <xf numFmtId="9" fontId="39" fillId="0" borderId="22" xfId="22" applyNumberFormat="1" applyFont="1" applyBorder="1" applyAlignment="1">
      <alignment horizontal="left" vertical="center" wrapText="1"/>
    </xf>
    <xf numFmtId="9" fontId="39" fillId="0" borderId="52" xfId="22" applyNumberFormat="1" applyFont="1" applyBorder="1" applyAlignment="1">
      <alignment horizontal="left" vertical="center" wrapText="1"/>
    </xf>
    <xf numFmtId="9" fontId="39" fillId="0" borderId="68" xfId="22" applyNumberFormat="1" applyFont="1" applyBorder="1" applyAlignment="1">
      <alignment horizontal="left" vertical="center" wrapText="1"/>
    </xf>
    <xf numFmtId="9" fontId="39" fillId="0" borderId="0" xfId="22" applyNumberFormat="1" applyFont="1" applyAlignment="1">
      <alignment horizontal="left" vertical="center" wrapText="1"/>
    </xf>
    <xf numFmtId="9" fontId="39" fillId="0" borderId="14" xfId="22" applyNumberFormat="1" applyFont="1" applyBorder="1" applyAlignment="1">
      <alignment horizontal="left" vertical="center" wrapText="1"/>
    </xf>
    <xf numFmtId="0" fontId="43" fillId="0" borderId="63" xfId="0" applyFont="1" applyBorder="1" applyAlignment="1">
      <alignment horizontal="center" vertical="center"/>
    </xf>
    <xf numFmtId="0" fontId="43" fillId="0" borderId="65" xfId="0" applyFont="1" applyBorder="1" applyAlignment="1">
      <alignment horizontal="center" vertical="center"/>
    </xf>
    <xf numFmtId="0" fontId="11" fillId="0" borderId="63" xfId="22" applyFont="1" applyBorder="1" applyAlignment="1">
      <alignment horizontal="center" vertical="center" wrapText="1"/>
    </xf>
    <xf numFmtId="0" fontId="11" fillId="0" borderId="64" xfId="22" applyFont="1" applyBorder="1" applyAlignment="1">
      <alignment horizontal="center" vertical="center" wrapText="1"/>
    </xf>
    <xf numFmtId="0" fontId="11" fillId="0" borderId="65" xfId="22" applyFont="1" applyBorder="1" applyAlignment="1">
      <alignment horizontal="center" vertical="center" wrapText="1"/>
    </xf>
    <xf numFmtId="0" fontId="40" fillId="0" borderId="40" xfId="0" applyFont="1" applyBorder="1" applyAlignment="1">
      <alignment horizontal="left" vertical="center" wrapText="1"/>
    </xf>
    <xf numFmtId="0" fontId="40" fillId="0" borderId="19" xfId="0" applyFont="1" applyBorder="1" applyAlignment="1">
      <alignment horizontal="left" vertical="center" wrapText="1"/>
    </xf>
    <xf numFmtId="0" fontId="40" fillId="0" borderId="33" xfId="0" applyFont="1" applyBorder="1" applyAlignment="1">
      <alignment horizontal="left" vertical="center" wrapText="1"/>
    </xf>
    <xf numFmtId="0" fontId="12" fillId="20" borderId="11" xfId="22" applyFont="1" applyFill="1" applyBorder="1" applyAlignment="1">
      <alignment horizontal="center" vertical="center" wrapText="1"/>
    </xf>
    <xf numFmtId="2" fontId="11" fillId="0" borderId="10" xfId="22" applyNumberFormat="1" applyFont="1" applyBorder="1" applyAlignment="1">
      <alignment horizontal="center" vertical="center" wrapText="1"/>
    </xf>
    <xf numFmtId="2" fontId="11" fillId="0" borderId="41" xfId="22" applyNumberFormat="1" applyFont="1" applyBorder="1" applyAlignment="1">
      <alignment horizontal="center" vertical="center" wrapText="1"/>
    </xf>
    <xf numFmtId="9" fontId="39" fillId="0" borderId="42" xfId="22" applyNumberFormat="1" applyFont="1" applyBorder="1" applyAlignment="1">
      <alignment horizontal="center" vertical="center" wrapText="1"/>
    </xf>
    <xf numFmtId="9" fontId="39" fillId="0" borderId="15" xfId="22" applyNumberFormat="1" applyFont="1" applyBorder="1" applyAlignment="1">
      <alignment horizontal="center" vertical="center" wrapText="1"/>
    </xf>
    <xf numFmtId="9" fontId="39" fillId="0" borderId="16" xfId="22" applyNumberFormat="1" applyFont="1" applyBorder="1" applyAlignment="1">
      <alignment horizontal="center" vertical="center" wrapText="1"/>
    </xf>
    <xf numFmtId="172" fontId="12" fillId="19" borderId="21" xfId="17" applyNumberFormat="1" applyFont="1" applyFill="1" applyBorder="1" applyAlignment="1" applyProtection="1">
      <alignment horizontal="center" vertical="center" wrapText="1"/>
    </xf>
    <xf numFmtId="2" fontId="11" fillId="0" borderId="18" xfId="22" applyNumberFormat="1" applyFont="1" applyBorder="1" applyAlignment="1">
      <alignment vertical="center" wrapText="1"/>
    </xf>
    <xf numFmtId="0" fontId="0" fillId="0" borderId="69" xfId="0" applyBorder="1" applyAlignment="1">
      <alignment vertical="center" wrapText="1"/>
    </xf>
    <xf numFmtId="0" fontId="12" fillId="2" borderId="13" xfId="22" applyFont="1" applyFill="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172" fontId="12" fillId="19" borderId="2" xfId="17" applyNumberFormat="1" applyFont="1" applyFill="1" applyBorder="1" applyAlignment="1" applyProtection="1">
      <alignment horizontal="center" vertical="center"/>
    </xf>
    <xf numFmtId="172" fontId="12" fillId="19" borderId="5" xfId="17" applyNumberFormat="1" applyFont="1" applyFill="1" applyBorder="1" applyAlignment="1" applyProtection="1">
      <alignment horizontal="center" vertical="center"/>
    </xf>
    <xf numFmtId="172" fontId="12" fillId="19" borderId="2" xfId="17" applyNumberFormat="1" applyFont="1" applyFill="1" applyBorder="1" applyAlignment="1" applyProtection="1">
      <alignment horizontal="center" vertical="center" wrapText="1"/>
    </xf>
    <xf numFmtId="172" fontId="12" fillId="19" borderId="5" xfId="17" applyNumberFormat="1" applyFont="1" applyFill="1" applyBorder="1" applyAlignment="1" applyProtection="1">
      <alignment horizontal="center" vertical="center" wrapText="1"/>
    </xf>
    <xf numFmtId="0" fontId="12" fillId="0" borderId="26" xfId="22" applyFont="1" applyBorder="1" applyAlignment="1">
      <alignment horizontal="center" vertical="center" wrapText="1"/>
    </xf>
    <xf numFmtId="0" fontId="12" fillId="0" borderId="18" xfId="22" applyFont="1" applyBorder="1" applyAlignment="1">
      <alignment horizontal="center" vertical="center" wrapText="1"/>
    </xf>
    <xf numFmtId="0" fontId="12" fillId="0" borderId="69" xfId="22" applyFont="1" applyBorder="1" applyAlignment="1">
      <alignment horizontal="center" vertical="center" wrapText="1"/>
    </xf>
    <xf numFmtId="0" fontId="12" fillId="0" borderId="10" xfId="22" applyFont="1" applyBorder="1" applyAlignment="1">
      <alignment horizontal="center" vertical="center" wrapText="1"/>
    </xf>
    <xf numFmtId="0" fontId="12" fillId="0" borderId="41" xfId="22" applyFont="1" applyBorder="1" applyAlignment="1">
      <alignment horizontal="center" vertical="center" wrapText="1"/>
    </xf>
    <xf numFmtId="2" fontId="11" fillId="0" borderId="18" xfId="22" applyNumberFormat="1" applyFont="1" applyBorder="1" applyAlignment="1">
      <alignment horizontal="center" vertical="center" wrapText="1"/>
    </xf>
    <xf numFmtId="2" fontId="11" fillId="0" borderId="32" xfId="22" applyNumberFormat="1" applyFont="1" applyBorder="1" applyAlignment="1">
      <alignment horizontal="center" vertical="center" wrapText="1"/>
    </xf>
    <xf numFmtId="2" fontId="11" fillId="0" borderId="35" xfId="22" applyNumberFormat="1" applyFont="1" applyBorder="1" applyAlignment="1">
      <alignment horizontal="center" vertical="center" wrapText="1"/>
    </xf>
    <xf numFmtId="2" fontId="11" fillId="0" borderId="4" xfId="22" applyNumberFormat="1" applyFont="1" applyBorder="1" applyAlignment="1">
      <alignment horizontal="center" vertical="center" wrapText="1"/>
    </xf>
    <xf numFmtId="0" fontId="12" fillId="20" borderId="54" xfId="22" applyFont="1" applyFill="1" applyBorder="1" applyAlignment="1">
      <alignment horizontal="center" vertical="center" wrapText="1"/>
    </xf>
    <xf numFmtId="2" fontId="11" fillId="0" borderId="32" xfId="22" applyNumberFormat="1" applyFont="1" applyBorder="1" applyAlignment="1">
      <alignment vertical="center" wrapText="1"/>
    </xf>
    <xf numFmtId="2" fontId="11" fillId="0" borderId="8" xfId="22" applyNumberFormat="1" applyFont="1" applyBorder="1" applyAlignment="1">
      <alignment vertical="center" wrapText="1"/>
    </xf>
    <xf numFmtId="0" fontId="40" fillId="9" borderId="2" xfId="0" applyFont="1" applyFill="1" applyBorder="1" applyAlignment="1">
      <alignment horizontal="left" vertical="center"/>
    </xf>
    <xf numFmtId="0" fontId="40" fillId="9" borderId="58" xfId="0" applyFont="1" applyFill="1" applyBorder="1" applyAlignment="1">
      <alignment horizontal="left" vertical="center"/>
    </xf>
    <xf numFmtId="0" fontId="40" fillId="9" borderId="5" xfId="0" applyFont="1" applyFill="1" applyBorder="1" applyAlignment="1">
      <alignment horizontal="left" vertical="center"/>
    </xf>
    <xf numFmtId="0" fontId="38" fillId="0" borderId="20" xfId="0" applyFont="1" applyBorder="1" applyAlignment="1">
      <alignment horizontal="center" vertical="center"/>
    </xf>
    <xf numFmtId="0" fontId="38" fillId="0" borderId="3" xfId="0" applyFont="1" applyBorder="1" applyAlignment="1">
      <alignment horizontal="center" vertical="center"/>
    </xf>
    <xf numFmtId="0" fontId="38" fillId="0" borderId="58" xfId="0" applyFont="1" applyBorder="1" applyAlignment="1">
      <alignment horizontal="center" vertical="center"/>
    </xf>
    <xf numFmtId="0" fontId="38" fillId="0" borderId="5" xfId="0" applyFont="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20" xfId="0" applyFont="1" applyBorder="1" applyAlignment="1">
      <alignment horizontal="center" vertical="center"/>
    </xf>
    <xf numFmtId="0" fontId="40" fillId="0" borderId="3" xfId="0" applyFont="1" applyBorder="1" applyAlignment="1">
      <alignment horizontal="center" vertical="center"/>
    </xf>
    <xf numFmtId="0" fontId="40" fillId="0" borderId="25" xfId="0" applyFont="1" applyBorder="1" applyAlignment="1">
      <alignment horizontal="center" vertical="center"/>
    </xf>
    <xf numFmtId="0" fontId="40" fillId="0" borderId="2" xfId="0" applyFont="1" applyBorder="1" applyAlignment="1">
      <alignment horizontal="center" vertical="center"/>
    </xf>
    <xf numFmtId="0" fontId="40" fillId="0" borderId="58" xfId="0" applyFont="1" applyBorder="1" applyAlignment="1">
      <alignment horizontal="center" vertical="center"/>
    </xf>
    <xf numFmtId="0" fontId="40" fillId="0" borderId="5" xfId="0" applyFont="1" applyBorder="1" applyAlignment="1">
      <alignment horizontal="center" vertical="center"/>
    </xf>
    <xf numFmtId="0" fontId="40" fillId="0" borderId="51"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11" fillId="29" borderId="2" xfId="0" applyFont="1" applyFill="1" applyBorder="1" applyAlignment="1">
      <alignment horizontal="left" vertical="center" wrapText="1"/>
    </xf>
    <xf numFmtId="0" fontId="11" fillId="29" borderId="58" xfId="0" applyFont="1" applyFill="1" applyBorder="1" applyAlignment="1">
      <alignment horizontal="left" vertical="center" wrapText="1"/>
    </xf>
    <xf numFmtId="0" fontId="11" fillId="29" borderId="5" xfId="0" applyFont="1" applyFill="1" applyBorder="1" applyAlignment="1">
      <alignment horizontal="left" vertical="center" wrapText="1"/>
    </xf>
    <xf numFmtId="0" fontId="40" fillId="9" borderId="51" xfId="0" applyFont="1" applyFill="1" applyBorder="1" applyAlignment="1">
      <alignment horizontal="center" vertical="center"/>
    </xf>
    <xf numFmtId="0" fontId="40" fillId="9" borderId="22" xfId="0" applyFont="1" applyFill="1" applyBorder="1" applyAlignment="1">
      <alignment horizontal="center" vertical="center"/>
    </xf>
    <xf numFmtId="0" fontId="40" fillId="9" borderId="23" xfId="0" applyFont="1" applyFill="1" applyBorder="1" applyAlignment="1">
      <alignment horizontal="center" vertical="center"/>
    </xf>
    <xf numFmtId="0" fontId="40" fillId="9" borderId="68" xfId="0" applyFont="1" applyFill="1" applyBorder="1" applyAlignment="1">
      <alignment horizontal="center" vertical="center"/>
    </xf>
    <xf numFmtId="0" fontId="40" fillId="9" borderId="0" xfId="0" applyFont="1" applyFill="1" applyAlignment="1">
      <alignment horizontal="center" vertical="center"/>
    </xf>
    <xf numFmtId="0" fontId="40" fillId="9" borderId="24" xfId="0" applyFont="1" applyFill="1" applyBorder="1" applyAlignment="1">
      <alignment horizontal="center" vertical="center"/>
    </xf>
    <xf numFmtId="0" fontId="40" fillId="9" borderId="20" xfId="0" applyFont="1" applyFill="1" applyBorder="1" applyAlignment="1">
      <alignment horizontal="center" vertical="center"/>
    </xf>
    <xf numFmtId="0" fontId="40" fillId="9" borderId="3" xfId="0" applyFont="1" applyFill="1" applyBorder="1" applyAlignment="1">
      <alignment horizontal="center" vertical="center"/>
    </xf>
    <xf numFmtId="0" fontId="40" fillId="9" borderId="25" xfId="0" applyFont="1" applyFill="1" applyBorder="1" applyAlignment="1">
      <alignment horizontal="center" vertical="center"/>
    </xf>
    <xf numFmtId="0" fontId="40" fillId="9" borderId="10" xfId="0" applyFont="1" applyFill="1" applyBorder="1" applyAlignment="1">
      <alignment horizontal="center" vertical="center" wrapText="1"/>
    </xf>
    <xf numFmtId="0" fontId="40" fillId="9" borderId="35" xfId="0" applyFont="1" applyFill="1" applyBorder="1" applyAlignment="1">
      <alignment horizontal="center" vertical="center" wrapText="1"/>
    </xf>
    <xf numFmtId="0" fontId="40" fillId="9" borderId="2" xfId="0" applyFont="1" applyFill="1" applyBorder="1" applyAlignment="1">
      <alignment horizontal="center" vertical="center"/>
    </xf>
    <xf numFmtId="0" fontId="40" fillId="9" borderId="58" xfId="0" applyFont="1" applyFill="1" applyBorder="1" applyAlignment="1">
      <alignment horizontal="center" vertical="center"/>
    </xf>
    <xf numFmtId="0" fontId="40" fillId="9" borderId="5" xfId="0" applyFont="1" applyFill="1" applyBorder="1" applyAlignment="1">
      <alignment horizontal="center" vertical="center"/>
    </xf>
    <xf numFmtId="0" fontId="40" fillId="9" borderId="1" xfId="0" applyFont="1" applyFill="1" applyBorder="1" applyAlignment="1">
      <alignment horizontal="center" vertical="center"/>
    </xf>
    <xf numFmtId="15" fontId="46" fillId="0" borderId="1" xfId="0" applyNumberFormat="1" applyFont="1" applyBorder="1" applyAlignment="1">
      <alignment horizontal="center" vertical="center"/>
    </xf>
    <xf numFmtId="0" fontId="46" fillId="0" borderId="1" xfId="0" applyFont="1" applyBorder="1" applyAlignment="1">
      <alignment horizontal="center" vertical="center"/>
    </xf>
    <xf numFmtId="0" fontId="40" fillId="9" borderId="2"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40" fillId="9" borderId="4" xfId="0" applyFont="1" applyFill="1" applyBorder="1" applyAlignment="1">
      <alignment horizontal="center" vertical="center" wrapText="1"/>
    </xf>
    <xf numFmtId="0" fontId="40" fillId="9" borderId="58" xfId="0" applyFont="1" applyFill="1" applyBorder="1" applyAlignment="1">
      <alignment horizontal="center" vertical="center" wrapText="1"/>
    </xf>
    <xf numFmtId="0" fontId="40" fillId="9" borderId="20" xfId="0" applyFont="1" applyFill="1" applyBorder="1" applyAlignment="1">
      <alignment horizontal="left" vertical="center"/>
    </xf>
    <xf numFmtId="0" fontId="40" fillId="9" borderId="3" xfId="0" applyFont="1" applyFill="1" applyBorder="1" applyAlignment="1">
      <alignment horizontal="left" vertical="center"/>
    </xf>
    <xf numFmtId="0" fontId="40" fillId="9" borderId="25" xfId="0" applyFont="1" applyFill="1" applyBorder="1" applyAlignment="1">
      <alignment horizontal="left" vertical="center"/>
    </xf>
    <xf numFmtId="0" fontId="38" fillId="0" borderId="2" xfId="0" applyFont="1" applyBorder="1" applyAlignment="1">
      <alignment horizontal="left" vertical="center"/>
    </xf>
    <xf numFmtId="0" fontId="38" fillId="0" borderId="58" xfId="0" applyFont="1" applyBorder="1" applyAlignment="1">
      <alignment horizontal="left" vertical="center"/>
    </xf>
    <xf numFmtId="0" fontId="38" fillId="0" borderId="3" xfId="0" applyFont="1" applyBorder="1" applyAlignment="1">
      <alignment horizontal="left" vertical="center"/>
    </xf>
    <xf numFmtId="0" fontId="38" fillId="0" borderId="25" xfId="0" applyFont="1" applyBorder="1" applyAlignment="1">
      <alignment horizontal="left" vertical="center"/>
    </xf>
    <xf numFmtId="0" fontId="38" fillId="0" borderId="2" xfId="0" applyFont="1" applyBorder="1" applyAlignment="1">
      <alignment horizontal="center" vertical="center"/>
    </xf>
    <xf numFmtId="0" fontId="40" fillId="0" borderId="1" xfId="0" applyFont="1" applyBorder="1" applyAlignment="1">
      <alignment horizontal="center" vertical="center" wrapText="1"/>
    </xf>
    <xf numFmtId="0" fontId="12" fillId="29" borderId="2" xfId="0" applyFont="1" applyFill="1" applyBorder="1" applyAlignment="1">
      <alignment horizontal="left" vertical="center" wrapText="1"/>
    </xf>
    <xf numFmtId="0" fontId="12" fillId="29" borderId="58" xfId="0" applyFont="1" applyFill="1" applyBorder="1" applyAlignment="1">
      <alignment horizontal="left" vertical="center" wrapText="1"/>
    </xf>
    <xf numFmtId="0" fontId="12" fillId="29" borderId="5" xfId="0" applyFont="1" applyFill="1" applyBorder="1" applyAlignment="1">
      <alignment horizontal="left" vertical="center" wrapText="1"/>
    </xf>
    <xf numFmtId="0" fontId="12" fillId="32" borderId="51" xfId="0" applyFont="1" applyFill="1" applyBorder="1" applyAlignment="1">
      <alignment horizontal="center" vertical="center" wrapText="1"/>
    </xf>
    <xf numFmtId="0" fontId="12" fillId="32" borderId="22" xfId="0" applyFont="1" applyFill="1" applyBorder="1" applyAlignment="1">
      <alignment horizontal="center" vertical="center" wrapText="1"/>
    </xf>
    <xf numFmtId="0" fontId="12" fillId="32" borderId="23" xfId="0" applyFont="1" applyFill="1" applyBorder="1" applyAlignment="1">
      <alignment horizontal="center" vertical="center" wrapText="1"/>
    </xf>
    <xf numFmtId="0" fontId="12" fillId="32" borderId="68" xfId="0" applyFont="1" applyFill="1" applyBorder="1" applyAlignment="1">
      <alignment horizontal="center" vertical="center" wrapText="1"/>
    </xf>
    <xf numFmtId="0" fontId="12" fillId="32" borderId="0" xfId="0" applyFont="1" applyFill="1" applyAlignment="1">
      <alignment horizontal="center" vertical="center" wrapText="1"/>
    </xf>
    <xf numFmtId="0" fontId="12" fillId="32" borderId="24" xfId="0" applyFont="1" applyFill="1" applyBorder="1" applyAlignment="1">
      <alignment horizontal="center" vertical="center" wrapText="1"/>
    </xf>
    <xf numFmtId="0" fontId="12" fillId="32" borderId="20" xfId="0" applyFont="1" applyFill="1" applyBorder="1" applyAlignment="1">
      <alignment horizontal="center" vertical="center" wrapText="1"/>
    </xf>
    <xf numFmtId="0" fontId="12" fillId="32" borderId="3" xfId="0" applyFont="1" applyFill="1" applyBorder="1" applyAlignment="1">
      <alignment horizontal="center" vertical="center" wrapText="1"/>
    </xf>
    <xf numFmtId="0" fontId="12" fillId="32" borderId="25" xfId="0" applyFont="1" applyFill="1" applyBorder="1" applyAlignment="1">
      <alignment horizontal="center" vertical="center" wrapText="1"/>
    </xf>
    <xf numFmtId="0" fontId="41" fillId="32" borderId="51"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2" borderId="23" xfId="0" applyFont="1" applyFill="1" applyBorder="1" applyAlignment="1">
      <alignment horizontal="center" vertical="center" wrapText="1"/>
    </xf>
    <xf numFmtId="0" fontId="41" fillId="32" borderId="68" xfId="0" applyFont="1" applyFill="1" applyBorder="1" applyAlignment="1">
      <alignment horizontal="center" vertical="center" wrapText="1"/>
    </xf>
    <xf numFmtId="0" fontId="41" fillId="32" borderId="0" xfId="0" applyFont="1" applyFill="1" applyAlignment="1">
      <alignment horizontal="center" vertical="center" wrapText="1"/>
    </xf>
    <xf numFmtId="0" fontId="41" fillId="32" borderId="24" xfId="0" applyFont="1" applyFill="1" applyBorder="1" applyAlignment="1">
      <alignment horizontal="center" vertical="center" wrapText="1"/>
    </xf>
    <xf numFmtId="0" fontId="41" fillId="32" borderId="20" xfId="0" applyFont="1" applyFill="1" applyBorder="1" applyAlignment="1">
      <alignment horizontal="center" vertical="center" wrapText="1"/>
    </xf>
    <xf numFmtId="0" fontId="41" fillId="32" borderId="3" xfId="0" applyFont="1" applyFill="1" applyBorder="1" applyAlignment="1">
      <alignment horizontal="center" vertical="center" wrapText="1"/>
    </xf>
    <xf numFmtId="0" fontId="41" fillId="32" borderId="25" xfId="0" applyFont="1" applyFill="1" applyBorder="1" applyAlignment="1">
      <alignment horizontal="center" vertical="center" wrapText="1"/>
    </xf>
    <xf numFmtId="0" fontId="40" fillId="0" borderId="51" xfId="0" applyFont="1" applyBorder="1" applyAlignment="1">
      <alignment vertical="center" wrapText="1"/>
    </xf>
    <xf numFmtId="0" fontId="40" fillId="0" borderId="22" xfId="0" applyFont="1" applyBorder="1" applyAlignment="1">
      <alignment vertical="center" wrapText="1"/>
    </xf>
    <xf numFmtId="0" fontId="40" fillId="0" borderId="23" xfId="0" applyFont="1" applyBorder="1" applyAlignment="1">
      <alignment vertical="center" wrapText="1"/>
    </xf>
    <xf numFmtId="0" fontId="40" fillId="0" borderId="1" xfId="0" applyFont="1" applyBorder="1" applyAlignment="1">
      <alignment horizontal="center" vertical="center"/>
    </xf>
    <xf numFmtId="0" fontId="12" fillId="0" borderId="1" xfId="0" applyFont="1" applyBorder="1" applyAlignment="1">
      <alignment vertical="center" wrapText="1"/>
    </xf>
    <xf numFmtId="0" fontId="13" fillId="19" borderId="4" xfId="0" applyFont="1" applyFill="1" applyBorder="1" applyAlignment="1">
      <alignment horizontal="center" vertical="center"/>
    </xf>
    <xf numFmtId="0" fontId="12" fillId="9" borderId="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58"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3" fillId="19" borderId="1" xfId="0" applyFont="1" applyFill="1" applyBorder="1" applyAlignment="1">
      <alignment horizontal="center" vertical="center"/>
    </xf>
    <xf numFmtId="0" fontId="12" fillId="9" borderId="1" xfId="0" applyFont="1" applyFill="1" applyBorder="1" applyAlignment="1">
      <alignment horizontal="center" vertical="center"/>
    </xf>
    <xf numFmtId="0" fontId="11" fillId="19" borderId="2"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40" fillId="21" borderId="2" xfId="0" applyFont="1" applyFill="1" applyBorder="1" applyAlignment="1">
      <alignment horizontal="center" vertical="center"/>
    </xf>
    <xf numFmtId="0" fontId="40" fillId="21" borderId="5"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5" xfId="0" applyFont="1" applyBorder="1" applyAlignment="1">
      <alignment horizontal="left" vertical="center" wrapText="1"/>
    </xf>
    <xf numFmtId="0" fontId="38" fillId="0" borderId="10" xfId="0" applyFont="1" applyBorder="1" applyAlignment="1">
      <alignment horizontal="left" vertical="center" wrapText="1"/>
    </xf>
    <xf numFmtId="0" fontId="38" fillId="0" borderId="35" xfId="0" applyFont="1" applyBorder="1" applyAlignment="1">
      <alignment horizontal="left" vertical="center" wrapText="1"/>
    </xf>
    <xf numFmtId="0" fontId="38" fillId="0" borderId="4" xfId="0" applyFont="1" applyBorder="1" applyAlignment="1">
      <alignment horizontal="left" vertical="center" wrapText="1"/>
    </xf>
    <xf numFmtId="41" fontId="38" fillId="0" borderId="51" xfId="12" applyFont="1" applyFill="1" applyBorder="1" applyAlignment="1">
      <alignment horizontal="left" vertical="center"/>
    </xf>
    <xf numFmtId="41" fontId="38" fillId="0" borderId="68" xfId="12" applyFont="1" applyFill="1" applyBorder="1" applyAlignment="1">
      <alignment horizontal="left" vertical="center"/>
    </xf>
    <xf numFmtId="41" fontId="38" fillId="0" borderId="20" xfId="12" applyFont="1" applyFill="1" applyBorder="1" applyAlignment="1">
      <alignment horizontal="left" vertical="center"/>
    </xf>
    <xf numFmtId="0" fontId="0" fillId="0" borderId="24"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3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3" borderId="1" xfId="0" applyFill="1" applyBorder="1" applyAlignment="1">
      <alignment horizontal="center"/>
    </xf>
    <xf numFmtId="0" fontId="0" fillId="18" borderId="24" xfId="0" applyFill="1" applyBorder="1" applyAlignment="1">
      <alignment horizontal="center"/>
    </xf>
    <xf numFmtId="14" fontId="43" fillId="0" borderId="12" xfId="0" applyNumberFormat="1" applyFont="1" applyBorder="1" applyAlignment="1">
      <alignment horizontal="center" vertical="center"/>
    </xf>
    <xf numFmtId="14" fontId="43" fillId="0" borderId="13" xfId="0" applyNumberFormat="1" applyFont="1" applyBorder="1" applyAlignment="1">
      <alignment horizontal="center" vertical="center"/>
    </xf>
    <xf numFmtId="14" fontId="43" fillId="0" borderId="14" xfId="0" applyNumberFormat="1" applyFont="1" applyBorder="1" applyAlignment="1">
      <alignment horizontal="center" vertical="center"/>
    </xf>
    <xf numFmtId="14" fontId="43" fillId="0" borderId="37" xfId="0" applyNumberFormat="1" applyFont="1" applyBorder="1" applyAlignment="1">
      <alignment horizontal="center" vertical="center"/>
    </xf>
    <xf numFmtId="14" fontId="43" fillId="0" borderId="16" xfId="0" applyNumberFormat="1" applyFont="1" applyBorder="1" applyAlignment="1">
      <alignment horizontal="center" vertical="center"/>
    </xf>
    <xf numFmtId="0" fontId="12" fillId="20" borderId="0" xfId="22" applyFont="1" applyFill="1" applyBorder="1" applyAlignment="1">
      <alignment horizontal="left" vertical="center" wrapText="1"/>
    </xf>
    <xf numFmtId="3" fontId="11" fillId="0" borderId="1" xfId="26" applyNumberFormat="1" applyFont="1" applyBorder="1" applyAlignment="1">
      <alignment vertical="center" wrapText="1"/>
    </xf>
    <xf numFmtId="3" fontId="11" fillId="0" borderId="83" xfId="26" applyNumberFormat="1" applyFont="1" applyBorder="1" applyAlignment="1">
      <alignment vertical="center" wrapText="1"/>
    </xf>
    <xf numFmtId="3" fontId="11" fillId="0" borderId="87" xfId="26" applyNumberFormat="1" applyFont="1" applyBorder="1" applyAlignment="1">
      <alignment vertical="center" wrapText="1"/>
    </xf>
    <xf numFmtId="3" fontId="11" fillId="0" borderId="1" xfId="25" applyNumberFormat="1" applyFont="1" applyBorder="1" applyAlignment="1">
      <alignment horizontal="center" vertical="center" wrapText="1"/>
    </xf>
  </cellXfs>
  <cellStyles count="34">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410" name="Picture 47">
          <a:extLst>
            <a:ext uri="{FF2B5EF4-FFF2-40B4-BE49-F238E27FC236}">
              <a16:creationId xmlns:a16="http://schemas.microsoft.com/office/drawing/2014/main" id="{FCCDA58B-C1B8-4D80-A8D0-04EDE8EBE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3228" name="Picture 47">
          <a:extLst>
            <a:ext uri="{FF2B5EF4-FFF2-40B4-BE49-F238E27FC236}">
              <a16:creationId xmlns:a16="http://schemas.microsoft.com/office/drawing/2014/main" id="{75987330-120B-4F08-BE20-E419B1B6C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8356" name="Picture 47">
          <a:extLst>
            <a:ext uri="{FF2B5EF4-FFF2-40B4-BE49-F238E27FC236}">
              <a16:creationId xmlns:a16="http://schemas.microsoft.com/office/drawing/2014/main" id="{234CD396-FA22-4AC6-B657-8A112C7B0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4258" name="Picture 47">
          <a:extLst>
            <a:ext uri="{FF2B5EF4-FFF2-40B4-BE49-F238E27FC236}">
              <a16:creationId xmlns:a16="http://schemas.microsoft.com/office/drawing/2014/main" id="{8D62B700-8FB1-43CF-8EE1-0B1CABEB7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5276" name="Picture 47">
          <a:extLst>
            <a:ext uri="{FF2B5EF4-FFF2-40B4-BE49-F238E27FC236}">
              <a16:creationId xmlns:a16="http://schemas.microsoft.com/office/drawing/2014/main" id="{FA018FDF-2964-4DF7-8F09-F9346EC65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7327" name="Picture 47">
          <a:extLst>
            <a:ext uri="{FF2B5EF4-FFF2-40B4-BE49-F238E27FC236}">
              <a16:creationId xmlns:a16="http://schemas.microsoft.com/office/drawing/2014/main" id="{F1599452-F641-469C-91C2-90F8E0E3D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6303" name="Picture 47">
          <a:extLst>
            <a:ext uri="{FF2B5EF4-FFF2-40B4-BE49-F238E27FC236}">
              <a16:creationId xmlns:a16="http://schemas.microsoft.com/office/drawing/2014/main" id="{EC90699E-9ECF-49D8-808B-9E5EA9E67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90134" name="Picture 47">
          <a:extLst>
            <a:ext uri="{FF2B5EF4-FFF2-40B4-BE49-F238E27FC236}">
              <a16:creationId xmlns:a16="http://schemas.microsoft.com/office/drawing/2014/main" id="{1DFD8575-CE19-4951-A412-87B4878D8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ustomProperty" Target="../customProperty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1.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customProperty" Target="../customProperty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customProperty" Target="../customProperty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customProperty" Target="../customProperty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85"/>
  <sheetViews>
    <sheetView topLeftCell="K8" zoomScale="64" zoomScaleNormal="64" workbookViewId="0">
      <selection activeCell="D23" sqref="D23:X24"/>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1" width="18.140625" style="50" customWidth="1"/>
    <col min="22" max="22" width="22" style="50" customWidth="1"/>
    <col min="23"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523</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488"/>
      <c r="K7" s="478" t="s">
        <v>10</v>
      </c>
      <c r="L7" s="479"/>
      <c r="M7" s="518" t="s">
        <v>524</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485"/>
      <c r="F8" s="485"/>
      <c r="G8" s="485"/>
      <c r="H8" s="481"/>
      <c r="I8" s="489"/>
      <c r="J8" s="490"/>
      <c r="K8" s="480"/>
      <c r="L8" s="481"/>
      <c r="M8" s="522" t="s">
        <v>525</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491"/>
      <c r="J9" s="492"/>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24</v>
      </c>
      <c r="D17" s="456"/>
      <c r="E17" s="456"/>
      <c r="F17" s="456"/>
      <c r="G17" s="456"/>
      <c r="H17" s="456"/>
      <c r="I17" s="456"/>
      <c r="J17" s="456"/>
      <c r="K17" s="456"/>
      <c r="L17" s="456"/>
      <c r="M17" s="456"/>
      <c r="N17" s="456"/>
      <c r="O17" s="456"/>
      <c r="P17" s="456"/>
      <c r="Q17" s="457"/>
      <c r="R17" s="458" t="s">
        <v>25</v>
      </c>
      <c r="S17" s="459"/>
      <c r="T17" s="459"/>
      <c r="U17" s="459"/>
      <c r="V17" s="460"/>
      <c r="W17" s="464">
        <v>1</v>
      </c>
      <c r="X17" s="465"/>
      <c r="Y17" s="459" t="s">
        <v>26</v>
      </c>
      <c r="Z17" s="459"/>
      <c r="AA17" s="459"/>
      <c r="AB17" s="460"/>
      <c r="AC17" s="476">
        <v>0.1</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526</v>
      </c>
      <c r="B22" s="475"/>
      <c r="C22" s="179"/>
      <c r="D22" s="177"/>
      <c r="E22" s="177"/>
      <c r="F22" s="177"/>
      <c r="G22" s="177"/>
      <c r="H22" s="177"/>
      <c r="I22" s="177"/>
      <c r="J22" s="177"/>
      <c r="K22" s="177"/>
      <c r="L22" s="177"/>
      <c r="M22" s="177"/>
      <c r="N22" s="177"/>
      <c r="O22" s="177">
        <f>SUM(C22:N22)</f>
        <v>0</v>
      </c>
      <c r="P22" s="180"/>
      <c r="Q22" s="179">
        <v>270886100</v>
      </c>
      <c r="R22" s="177"/>
      <c r="S22" s="177"/>
      <c r="T22" s="177">
        <v>21559511</v>
      </c>
      <c r="U22" s="177"/>
      <c r="V22" s="177">
        <f>2139478+34249272</f>
        <v>36388750</v>
      </c>
      <c r="W22" s="177"/>
      <c r="X22" s="177"/>
      <c r="Y22" s="177"/>
      <c r="Z22" s="177"/>
      <c r="AA22" s="177"/>
      <c r="AB22" s="177"/>
      <c r="AC22" s="177">
        <f>SUM(Q22:AB22)</f>
        <v>328834361</v>
      </c>
      <c r="AD22" s="184"/>
      <c r="AE22" s="3"/>
      <c r="AF22" s="3"/>
      <c r="AG22" s="355">
        <f>+AC22+'Meta 2'!AC22+'Meta 3'!AC22+'Meta 4'!AC22+'Meta 5'!AC22+'Meta 6'!AC22+'Meta 7'!AC22</f>
        <v>9602924000</v>
      </c>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42119000</v>
      </c>
      <c r="R23" s="179">
        <v>143641483</v>
      </c>
      <c r="S23" s="179">
        <v>72012067</v>
      </c>
      <c r="T23" s="174"/>
      <c r="U23" s="174"/>
      <c r="V23" s="174"/>
      <c r="W23" s="174"/>
      <c r="X23" s="174"/>
      <c r="Y23" s="174"/>
      <c r="Z23" s="174"/>
      <c r="AA23" s="174"/>
      <c r="AB23" s="174"/>
      <c r="AC23" s="174">
        <f>SUM(Q23:AB23)</f>
        <v>257772550</v>
      </c>
      <c r="AD23" s="182">
        <f>+AC23/AC22</f>
        <v>0.78389785427563641</v>
      </c>
      <c r="AE23" s="3"/>
      <c r="AF23" s="3"/>
      <c r="AG23" s="355">
        <f>+AC23+'Meta 2'!AC23+'Meta 3'!AC23+'Meta 4'!AC23+'Meta 5'!AC23+'Meta 6'!AC23+'Meta 7'!AC23</f>
        <v>8338854608</v>
      </c>
    </row>
    <row r="24" spans="1:41" ht="32.1" customHeight="1" x14ac:dyDescent="0.25">
      <c r="A24" s="431" t="s">
        <v>527</v>
      </c>
      <c r="B24" s="441"/>
      <c r="C24" s="175">
        <v>19304536</v>
      </c>
      <c r="D24" s="174">
        <f>1+1+3347500+1081500+432600+475860+4505045</f>
        <v>9842507</v>
      </c>
      <c r="E24" s="174"/>
      <c r="F24" s="174"/>
      <c r="G24" s="174"/>
      <c r="H24" s="174"/>
      <c r="I24" s="174"/>
      <c r="J24" s="174"/>
      <c r="K24" s="174"/>
      <c r="L24" s="174"/>
      <c r="M24" s="174"/>
      <c r="N24" s="174"/>
      <c r="O24" s="218">
        <f>SUM(C24:N24)</f>
        <v>29147043</v>
      </c>
      <c r="P24" s="178"/>
      <c r="Q24" s="175"/>
      <c r="R24" s="174">
        <v>11387300</v>
      </c>
      <c r="S24" s="174">
        <v>23590800</v>
      </c>
      <c r="T24" s="174">
        <v>23590800</v>
      </c>
      <c r="U24" s="174">
        <f>23590800+21559511</f>
        <v>45150311</v>
      </c>
      <c r="V24" s="174">
        <v>23590800</v>
      </c>
      <c r="W24" s="174">
        <f>23590800+2139478+11416424</f>
        <v>37146702</v>
      </c>
      <c r="X24" s="174">
        <v>23590800</v>
      </c>
      <c r="Y24" s="174">
        <f>23590800+11416424</f>
        <v>35007224</v>
      </c>
      <c r="Z24" s="174">
        <v>23590800</v>
      </c>
      <c r="AA24" s="174">
        <f>23590800+11416424</f>
        <v>35007224</v>
      </c>
      <c r="AB24" s="174">
        <v>47181600</v>
      </c>
      <c r="AC24" s="174">
        <f>SUM(Q24:AB24)</f>
        <v>328834361</v>
      </c>
      <c r="AD24" s="182"/>
      <c r="AE24" s="3"/>
      <c r="AF24" s="3"/>
      <c r="AG24" s="355">
        <f>+AC24+'Meta 2'!AC24+'Meta 3'!AC24+'Meta 4'!AC24+'Meta 5'!AC24+'Meta 6'!AC24+'Meta 7'!AC24</f>
        <v>9602924000</v>
      </c>
    </row>
    <row r="25" spans="1:41" ht="32.1" customHeight="1" x14ac:dyDescent="0.25">
      <c r="A25" s="385" t="s">
        <v>46</v>
      </c>
      <c r="B25" s="448"/>
      <c r="C25" s="175">
        <v>1437194</v>
      </c>
      <c r="D25" s="175">
        <v>18698717</v>
      </c>
      <c r="E25" s="175" t="s">
        <v>47</v>
      </c>
      <c r="F25" s="176"/>
      <c r="G25" s="176"/>
      <c r="H25" s="176"/>
      <c r="I25" s="176"/>
      <c r="J25" s="176"/>
      <c r="K25" s="176"/>
      <c r="L25" s="176"/>
      <c r="M25" s="176"/>
      <c r="N25" s="176"/>
      <c r="O25" s="176">
        <f>SUM(C25:N25)</f>
        <v>20135911</v>
      </c>
      <c r="P25" s="181">
        <f>+O25/O24</f>
        <v>0.69083889573292223</v>
      </c>
      <c r="Q25" s="179" t="s">
        <v>48</v>
      </c>
      <c r="R25" s="179">
        <v>944066</v>
      </c>
      <c r="S25" s="179">
        <v>6845767</v>
      </c>
      <c r="T25" s="176"/>
      <c r="U25" s="176"/>
      <c r="V25" s="176"/>
      <c r="W25" s="176"/>
      <c r="X25" s="176"/>
      <c r="Y25" s="176"/>
      <c r="Z25" s="176"/>
      <c r="AA25" s="176"/>
      <c r="AB25" s="176"/>
      <c r="AC25" s="176">
        <f>SUM(Q25:AB25)</f>
        <v>7789833</v>
      </c>
      <c r="AD25" s="183">
        <f>+AC25/AC23</f>
        <v>3.0219792603983629E-2</v>
      </c>
      <c r="AE25" s="3"/>
      <c r="AF25" s="3"/>
      <c r="AG25" s="355">
        <f>+AC25+'Meta 2'!AC25+'Meta 3'!AC25+'Meta 4'!AC25+'Meta 5'!AC25+'Meta 6'!AC25+'Meta 7'!AC25</f>
        <v>637132304</v>
      </c>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thickBot="1" x14ac:dyDescent="0.3">
      <c r="A30" s="85" t="s">
        <v>54</v>
      </c>
      <c r="B30" s="423"/>
      <c r="C30" s="424"/>
      <c r="D30" s="89"/>
      <c r="E30" s="89"/>
      <c r="F30" s="89"/>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3.1" customHeight="1" x14ac:dyDescent="0.25">
      <c r="A32" s="430" t="s">
        <v>56</v>
      </c>
      <c r="B32" s="386" t="s">
        <v>57</v>
      </c>
      <c r="C32" s="389" t="s">
        <v>51</v>
      </c>
      <c r="D32" s="433" t="s">
        <v>58</v>
      </c>
      <c r="E32" s="386"/>
      <c r="F32" s="386"/>
      <c r="G32" s="386"/>
      <c r="H32" s="386"/>
      <c r="I32" s="386"/>
      <c r="J32" s="386"/>
      <c r="K32" s="386"/>
      <c r="L32" s="386"/>
      <c r="M32" s="386"/>
      <c r="N32" s="386"/>
      <c r="O32" s="386"/>
      <c r="P32" s="389"/>
      <c r="Q32" s="433"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431"/>
      <c r="B33" s="416"/>
      <c r="C33" s="432"/>
      <c r="D33" s="290"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415" t="s">
        <v>60</v>
      </c>
      <c r="R33" s="416"/>
      <c r="S33" s="416"/>
      <c r="T33" s="416" t="s">
        <v>61</v>
      </c>
      <c r="U33" s="416"/>
      <c r="V33" s="416"/>
      <c r="W33" s="434" t="s">
        <v>62</v>
      </c>
      <c r="X33" s="435"/>
      <c r="Y33" s="435"/>
      <c r="Z33" s="388"/>
      <c r="AA33" s="434" t="s">
        <v>63</v>
      </c>
      <c r="AB33" s="435"/>
      <c r="AC33" s="435"/>
      <c r="AD33" s="436"/>
      <c r="AG33" s="87"/>
      <c r="AH33" s="87"/>
      <c r="AI33" s="87"/>
      <c r="AJ33" s="87"/>
      <c r="AK33" s="87"/>
      <c r="AL33" s="87"/>
      <c r="AM33" s="87"/>
      <c r="AN33" s="87"/>
      <c r="AO33" s="87"/>
    </row>
    <row r="34" spans="1:41" ht="45" customHeight="1" x14ac:dyDescent="0.25">
      <c r="A34" s="402" t="s">
        <v>54</v>
      </c>
      <c r="B34" s="404">
        <v>0.1</v>
      </c>
      <c r="C34" s="294" t="s">
        <v>64</v>
      </c>
      <c r="D34" s="296">
        <f>D69</f>
        <v>6.5404040404040423E-2</v>
      </c>
      <c r="E34" s="268">
        <f t="shared" ref="E34:O34" si="0">E69</f>
        <v>8.5404040404040427E-2</v>
      </c>
      <c r="F34" s="268">
        <f t="shared" si="0"/>
        <v>8.6919191919191924E-2</v>
      </c>
      <c r="G34" s="268">
        <f t="shared" si="0"/>
        <v>8.6919191919191924E-2</v>
      </c>
      <c r="H34" s="268">
        <f t="shared" si="0"/>
        <v>8.6919191919191924E-2</v>
      </c>
      <c r="I34" s="268">
        <f t="shared" si="0"/>
        <v>8.6919191919191924E-2</v>
      </c>
      <c r="J34" s="268">
        <f t="shared" si="0"/>
        <v>8.6919191919191924E-2</v>
      </c>
      <c r="K34" s="268">
        <f t="shared" si="0"/>
        <v>8.6919191919191924E-2</v>
      </c>
      <c r="L34" s="268">
        <f t="shared" si="0"/>
        <v>8.6919191919191924E-2</v>
      </c>
      <c r="M34" s="268">
        <f t="shared" si="0"/>
        <v>8.6919191919191924E-2</v>
      </c>
      <c r="N34" s="268">
        <f t="shared" si="0"/>
        <v>8.6919191919191924E-2</v>
      </c>
      <c r="O34" s="268">
        <f t="shared" si="0"/>
        <v>6.6919191919191934E-2</v>
      </c>
      <c r="P34" s="269">
        <f>SUM(D34:O34)</f>
        <v>1.0000000000000002</v>
      </c>
      <c r="Q34" s="417" t="s">
        <v>538</v>
      </c>
      <c r="R34" s="418"/>
      <c r="S34" s="419"/>
      <c r="T34" s="418" t="s">
        <v>546</v>
      </c>
      <c r="U34" s="418"/>
      <c r="V34" s="419"/>
      <c r="W34" s="406" t="s">
        <v>547</v>
      </c>
      <c r="X34" s="407"/>
      <c r="Y34" s="407"/>
      <c r="Z34" s="408"/>
      <c r="AA34" s="409" t="s">
        <v>539</v>
      </c>
      <c r="AB34" s="410"/>
      <c r="AC34" s="410"/>
      <c r="AD34" s="411"/>
      <c r="AG34" s="87"/>
      <c r="AH34" s="87"/>
      <c r="AI34" s="87"/>
      <c r="AJ34" s="87"/>
      <c r="AK34" s="87"/>
      <c r="AL34" s="87"/>
      <c r="AM34" s="87"/>
      <c r="AN34" s="87"/>
      <c r="AO34" s="87"/>
    </row>
    <row r="35" spans="1:41" ht="252.95" customHeight="1" thickBot="1" x14ac:dyDescent="0.3">
      <c r="A35" s="403"/>
      <c r="B35" s="405"/>
      <c r="C35" s="282" t="s">
        <v>65</v>
      </c>
      <c r="D35" s="281">
        <f>D66</f>
        <v>6.5404040404040423E-2</v>
      </c>
      <c r="E35" s="271">
        <f t="shared" ref="E35:O35" si="1">E66</f>
        <v>8.5404040404040427E-2</v>
      </c>
      <c r="F35" s="271">
        <f t="shared" si="1"/>
        <v>8.6919191919191924E-2</v>
      </c>
      <c r="G35" s="271">
        <f t="shared" si="1"/>
        <v>0</v>
      </c>
      <c r="H35" s="271">
        <f>H66</f>
        <v>0</v>
      </c>
      <c r="I35" s="271">
        <f t="shared" si="1"/>
        <v>0</v>
      </c>
      <c r="J35" s="271">
        <f t="shared" si="1"/>
        <v>0</v>
      </c>
      <c r="K35" s="271">
        <f t="shared" si="1"/>
        <v>0</v>
      </c>
      <c r="L35" s="271">
        <f t="shared" si="1"/>
        <v>0</v>
      </c>
      <c r="M35" s="271">
        <f t="shared" si="1"/>
        <v>0</v>
      </c>
      <c r="N35" s="271">
        <f t="shared" si="1"/>
        <v>0</v>
      </c>
      <c r="O35" s="271">
        <f t="shared" si="1"/>
        <v>0</v>
      </c>
      <c r="P35" s="272">
        <f>SUM(D35:O35)</f>
        <v>0.23772727272727276</v>
      </c>
      <c r="Q35" s="420"/>
      <c r="R35" s="421"/>
      <c r="S35" s="422"/>
      <c r="T35" s="421"/>
      <c r="U35" s="421"/>
      <c r="V35" s="422"/>
      <c r="W35" s="406"/>
      <c r="X35" s="407"/>
      <c r="Y35" s="407"/>
      <c r="Z35" s="408"/>
      <c r="AA35" s="412"/>
      <c r="AB35" s="413"/>
      <c r="AC35" s="413"/>
      <c r="AD35" s="414"/>
      <c r="AE35" s="49"/>
      <c r="AG35" s="87"/>
      <c r="AH35" s="87"/>
      <c r="AI35" s="87"/>
      <c r="AJ35" s="87"/>
      <c r="AK35" s="87"/>
      <c r="AL35" s="87"/>
      <c r="AM35" s="87"/>
      <c r="AN35" s="87"/>
      <c r="AO35" s="87"/>
    </row>
    <row r="36" spans="1:41" ht="26.1" customHeight="1" x14ac:dyDescent="0.25">
      <c r="A36" s="384" t="s">
        <v>66</v>
      </c>
      <c r="B36" s="386" t="s">
        <v>67</v>
      </c>
      <c r="C36" s="388" t="s">
        <v>68</v>
      </c>
      <c r="D36" s="386"/>
      <c r="E36" s="386"/>
      <c r="F36" s="386"/>
      <c r="G36" s="386"/>
      <c r="H36" s="386"/>
      <c r="I36" s="386"/>
      <c r="J36" s="386"/>
      <c r="K36" s="386"/>
      <c r="L36" s="386"/>
      <c r="M36" s="386"/>
      <c r="N36" s="386"/>
      <c r="O36" s="386"/>
      <c r="P36" s="389"/>
      <c r="Q36" s="390" t="s">
        <v>69</v>
      </c>
      <c r="R36" s="391"/>
      <c r="S36" s="391"/>
      <c r="T36" s="391"/>
      <c r="U36" s="391"/>
      <c r="V36" s="391"/>
      <c r="W36" s="391"/>
      <c r="X36" s="391"/>
      <c r="Y36" s="391"/>
      <c r="Z36" s="391"/>
      <c r="AA36" s="391"/>
      <c r="AB36" s="391"/>
      <c r="AC36" s="391"/>
      <c r="AD36" s="392"/>
      <c r="AG36" s="87"/>
      <c r="AH36" s="87"/>
      <c r="AI36" s="87"/>
      <c r="AJ36" s="87"/>
      <c r="AK36" s="87"/>
      <c r="AL36" s="87"/>
      <c r="AM36" s="87"/>
      <c r="AN36" s="87"/>
      <c r="AO36" s="87"/>
    </row>
    <row r="37" spans="1:41" ht="42" customHeight="1" thickBot="1" x14ac:dyDescent="0.3">
      <c r="A37" s="385"/>
      <c r="B37" s="387"/>
      <c r="C37" s="290" t="s">
        <v>70</v>
      </c>
      <c r="D37" s="277" t="s">
        <v>71</v>
      </c>
      <c r="E37" s="277" t="s">
        <v>72</v>
      </c>
      <c r="F37" s="277" t="s">
        <v>73</v>
      </c>
      <c r="G37" s="277" t="s">
        <v>74</v>
      </c>
      <c r="H37" s="277" t="s">
        <v>75</v>
      </c>
      <c r="I37" s="277" t="s">
        <v>76</v>
      </c>
      <c r="J37" s="277" t="s">
        <v>77</v>
      </c>
      <c r="K37" s="277" t="s">
        <v>78</v>
      </c>
      <c r="L37" s="277" t="s">
        <v>79</v>
      </c>
      <c r="M37" s="277" t="s">
        <v>80</v>
      </c>
      <c r="N37" s="277" t="s">
        <v>81</v>
      </c>
      <c r="O37" s="277" t="s">
        <v>82</v>
      </c>
      <c r="P37" s="278" t="s">
        <v>83</v>
      </c>
      <c r="Q37" s="393" t="s">
        <v>84</v>
      </c>
      <c r="R37" s="394"/>
      <c r="S37" s="394"/>
      <c r="T37" s="394"/>
      <c r="U37" s="394"/>
      <c r="V37" s="394"/>
      <c r="W37" s="394"/>
      <c r="X37" s="394"/>
      <c r="Y37" s="394"/>
      <c r="Z37" s="394"/>
      <c r="AA37" s="394"/>
      <c r="AB37" s="394"/>
      <c r="AC37" s="394"/>
      <c r="AD37" s="395"/>
      <c r="AG37" s="94"/>
      <c r="AH37" s="94"/>
      <c r="AI37" s="94"/>
      <c r="AJ37" s="94"/>
      <c r="AK37" s="94"/>
      <c r="AL37" s="94"/>
      <c r="AM37" s="94"/>
      <c r="AN37" s="94"/>
      <c r="AO37" s="94"/>
    </row>
    <row r="38" spans="1:41" ht="45" customHeight="1" x14ac:dyDescent="0.25">
      <c r="A38" s="396" t="s">
        <v>85</v>
      </c>
      <c r="B38" s="397">
        <v>0.05</v>
      </c>
      <c r="C38" s="235" t="s">
        <v>64</v>
      </c>
      <c r="D38" s="300">
        <v>0.05</v>
      </c>
      <c r="E38" s="301">
        <v>0.09</v>
      </c>
      <c r="F38" s="206">
        <v>0.09</v>
      </c>
      <c r="G38" s="206">
        <v>0.09</v>
      </c>
      <c r="H38" s="206">
        <v>0.09</v>
      </c>
      <c r="I38" s="206">
        <v>0.09</v>
      </c>
      <c r="J38" s="206">
        <v>0.09</v>
      </c>
      <c r="K38" s="206">
        <v>0.09</v>
      </c>
      <c r="L38" s="206">
        <v>0.09</v>
      </c>
      <c r="M38" s="206">
        <v>0.09</v>
      </c>
      <c r="N38" s="206">
        <v>0.09</v>
      </c>
      <c r="O38" s="206">
        <v>0.05</v>
      </c>
      <c r="P38" s="96">
        <f>SUM(D38:O38)</f>
        <v>0.99999999999999989</v>
      </c>
      <c r="Q38" s="399" t="s">
        <v>549</v>
      </c>
      <c r="R38" s="400"/>
      <c r="S38" s="400"/>
      <c r="T38" s="400"/>
      <c r="U38" s="400"/>
      <c r="V38" s="400"/>
      <c r="W38" s="400"/>
      <c r="X38" s="400"/>
      <c r="Y38" s="400"/>
      <c r="Z38" s="400"/>
      <c r="AA38" s="400"/>
      <c r="AB38" s="400"/>
      <c r="AC38" s="400"/>
      <c r="AD38" s="401"/>
      <c r="AE38" s="97"/>
      <c r="AG38" s="98"/>
      <c r="AH38" s="98"/>
      <c r="AI38" s="98"/>
      <c r="AJ38" s="98"/>
      <c r="AK38" s="98"/>
      <c r="AL38" s="98"/>
      <c r="AM38" s="98"/>
      <c r="AN38" s="98"/>
      <c r="AO38" s="98"/>
    </row>
    <row r="39" spans="1:41" ht="66" customHeight="1" x14ac:dyDescent="0.25">
      <c r="A39" s="374"/>
      <c r="B39" s="398"/>
      <c r="C39" s="236" t="s">
        <v>65</v>
      </c>
      <c r="D39" s="302">
        <v>0.05</v>
      </c>
      <c r="E39" s="302">
        <v>0.09</v>
      </c>
      <c r="F39" s="302">
        <v>0.09</v>
      </c>
      <c r="G39" s="100"/>
      <c r="H39" s="100"/>
      <c r="I39" s="100"/>
      <c r="J39" s="100"/>
      <c r="K39" s="100"/>
      <c r="L39" s="100"/>
      <c r="M39" s="100"/>
      <c r="N39" s="100"/>
      <c r="O39" s="100"/>
      <c r="P39" s="101">
        <f>SUM(D39:O39)</f>
        <v>0.23</v>
      </c>
      <c r="Q39" s="378"/>
      <c r="R39" s="379"/>
      <c r="S39" s="379"/>
      <c r="T39" s="379"/>
      <c r="U39" s="379"/>
      <c r="V39" s="379"/>
      <c r="W39" s="379"/>
      <c r="X39" s="379"/>
      <c r="Y39" s="379"/>
      <c r="Z39" s="379"/>
      <c r="AA39" s="379"/>
      <c r="AB39" s="379"/>
      <c r="AC39" s="379"/>
      <c r="AD39" s="380"/>
      <c r="AE39" s="97"/>
    </row>
    <row r="40" spans="1:41" ht="84" customHeight="1" x14ac:dyDescent="0.25">
      <c r="A40" s="374" t="s">
        <v>86</v>
      </c>
      <c r="B40" s="376">
        <v>0.05</v>
      </c>
      <c r="C40" s="237" t="s">
        <v>64</v>
      </c>
      <c r="D40" s="301">
        <v>0.08</v>
      </c>
      <c r="E40" s="301">
        <v>0.08</v>
      </c>
      <c r="F40" s="206">
        <v>8.3000000000000004E-2</v>
      </c>
      <c r="G40" s="206">
        <v>8.3000000000000004E-2</v>
      </c>
      <c r="H40" s="206">
        <v>8.3000000000000004E-2</v>
      </c>
      <c r="I40" s="206">
        <v>8.3000000000000004E-2</v>
      </c>
      <c r="J40" s="206">
        <v>8.3000000000000004E-2</v>
      </c>
      <c r="K40" s="206">
        <v>8.3000000000000004E-2</v>
      </c>
      <c r="L40" s="206">
        <v>8.3000000000000004E-2</v>
      </c>
      <c r="M40" s="206">
        <v>8.3000000000000004E-2</v>
      </c>
      <c r="N40" s="206">
        <v>8.3000000000000004E-2</v>
      </c>
      <c r="O40" s="206">
        <v>8.3000000000000004E-2</v>
      </c>
      <c r="P40" s="101">
        <f>SUM(D40:O40)</f>
        <v>0.98999999999999988</v>
      </c>
      <c r="Q40" s="378" t="s">
        <v>550</v>
      </c>
      <c r="R40" s="379"/>
      <c r="S40" s="379"/>
      <c r="T40" s="379"/>
      <c r="U40" s="379"/>
      <c r="V40" s="379"/>
      <c r="W40" s="379"/>
      <c r="X40" s="379"/>
      <c r="Y40" s="379"/>
      <c r="Z40" s="379"/>
      <c r="AA40" s="379"/>
      <c r="AB40" s="379"/>
      <c r="AC40" s="379"/>
      <c r="AD40" s="380"/>
      <c r="AE40" s="97"/>
    </row>
    <row r="41" spans="1:41" ht="84" customHeight="1" x14ac:dyDescent="0.25">
      <c r="A41" s="375"/>
      <c r="B41" s="377"/>
      <c r="C41" s="299" t="s">
        <v>65</v>
      </c>
      <c r="D41" s="303">
        <v>0.08</v>
      </c>
      <c r="E41" s="303">
        <v>0.08</v>
      </c>
      <c r="F41" s="302">
        <v>8.3000000000000004E-2</v>
      </c>
      <c r="G41" s="105"/>
      <c r="H41" s="105"/>
      <c r="I41" s="105"/>
      <c r="J41" s="105"/>
      <c r="K41" s="105"/>
      <c r="L41" s="106"/>
      <c r="M41" s="106"/>
      <c r="N41" s="106"/>
      <c r="O41" s="106"/>
      <c r="P41" s="107">
        <f>SUM(D41:O41)</f>
        <v>0.24299999999999999</v>
      </c>
      <c r="Q41" s="381"/>
      <c r="R41" s="382"/>
      <c r="S41" s="382"/>
      <c r="T41" s="382"/>
      <c r="U41" s="382"/>
      <c r="V41" s="382"/>
      <c r="W41" s="382"/>
      <c r="X41" s="382"/>
      <c r="Y41" s="382"/>
      <c r="Z41" s="382"/>
      <c r="AA41" s="382"/>
      <c r="AB41" s="382"/>
      <c r="AC41" s="382"/>
      <c r="AD41" s="383"/>
      <c r="AE41" s="97"/>
    </row>
    <row r="42" spans="1:41" x14ac:dyDescent="0.25">
      <c r="A42"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 xml:space="preserve">1. Socializar los lineamientos técnicos del Sistema Distrital de Cuidado con espacios e instancias de participación y ciudadanía en general. </v>
      </c>
      <c r="B57" s="369">
        <f>B38</f>
        <v>0.05</v>
      </c>
      <c r="C57" s="242" t="s">
        <v>64</v>
      </c>
      <c r="D57" s="243">
        <f>D38*$B$38/$P$38</f>
        <v>2.5000000000000009E-3</v>
      </c>
      <c r="E57" s="243">
        <f t="shared" ref="D57:O58" si="2">E38*$B$38/$P$38</f>
        <v>4.5000000000000005E-3</v>
      </c>
      <c r="F57" s="243">
        <f t="shared" si="2"/>
        <v>4.5000000000000005E-3</v>
      </c>
      <c r="G57" s="243">
        <f t="shared" si="2"/>
        <v>4.5000000000000005E-3</v>
      </c>
      <c r="H57" s="243">
        <f t="shared" si="2"/>
        <v>4.5000000000000005E-3</v>
      </c>
      <c r="I57" s="243">
        <f t="shared" si="2"/>
        <v>4.5000000000000005E-3</v>
      </c>
      <c r="J57" s="243">
        <f t="shared" si="2"/>
        <v>4.5000000000000005E-3</v>
      </c>
      <c r="K57" s="243">
        <f t="shared" si="2"/>
        <v>4.5000000000000005E-3</v>
      </c>
      <c r="L57" s="243">
        <f t="shared" si="2"/>
        <v>4.5000000000000005E-3</v>
      </c>
      <c r="M57" s="243">
        <f t="shared" si="2"/>
        <v>4.5000000000000005E-3</v>
      </c>
      <c r="N57" s="243">
        <f t="shared" si="2"/>
        <v>4.5000000000000005E-3</v>
      </c>
      <c r="O57" s="243">
        <f t="shared" si="2"/>
        <v>2.5000000000000009E-3</v>
      </c>
      <c r="P57" s="244">
        <f>SUM(D57:O57)</f>
        <v>5.0000000000000017E-2</v>
      </c>
      <c r="Q57" s="245">
        <v>0.05</v>
      </c>
      <c r="R57" s="246">
        <f t="shared" ref="R57:R65" si="3">+P57-Q57</f>
        <v>0</v>
      </c>
      <c r="S57" s="240"/>
      <c r="T57" s="240"/>
      <c r="U57" s="240"/>
      <c r="V57" s="240"/>
      <c r="W57" s="240"/>
      <c r="X57" s="240"/>
      <c r="Y57" s="240"/>
      <c r="Z57" s="240"/>
      <c r="AA57" s="240"/>
      <c r="AB57" s="240"/>
      <c r="AC57" s="240"/>
      <c r="AD57" s="240"/>
    </row>
    <row r="58" spans="1:30" x14ac:dyDescent="0.25">
      <c r="A58" s="368"/>
      <c r="B58" s="370"/>
      <c r="C58" s="247" t="s">
        <v>65</v>
      </c>
      <c r="D58" s="248">
        <f t="shared" si="2"/>
        <v>2.5000000000000009E-3</v>
      </c>
      <c r="E58" s="248">
        <f t="shared" si="2"/>
        <v>4.5000000000000005E-3</v>
      </c>
      <c r="F58" s="248">
        <f t="shared" si="2"/>
        <v>4.5000000000000005E-3</v>
      </c>
      <c r="G58" s="248">
        <f t="shared" si="2"/>
        <v>0</v>
      </c>
      <c r="H58" s="248">
        <f t="shared" si="2"/>
        <v>0</v>
      </c>
      <c r="I58" s="248">
        <f t="shared" si="2"/>
        <v>0</v>
      </c>
      <c r="J58" s="248">
        <f t="shared" si="2"/>
        <v>0</v>
      </c>
      <c r="K58" s="248">
        <f t="shared" si="2"/>
        <v>0</v>
      </c>
      <c r="L58" s="248">
        <f t="shared" si="2"/>
        <v>0</v>
      </c>
      <c r="M58" s="248">
        <f t="shared" si="2"/>
        <v>0</v>
      </c>
      <c r="N58" s="248">
        <f t="shared" si="2"/>
        <v>0</v>
      </c>
      <c r="O58" s="248">
        <f t="shared" si="2"/>
        <v>0</v>
      </c>
      <c r="P58" s="249">
        <f>SUM(D58:O58)</f>
        <v>1.1500000000000002E-2</v>
      </c>
      <c r="Q58" s="250">
        <f>+P58</f>
        <v>1.1500000000000002E-2</v>
      </c>
      <c r="R58" s="246">
        <f t="shared" si="3"/>
        <v>0</v>
      </c>
      <c r="S58" s="240"/>
      <c r="T58" s="240"/>
      <c r="U58" s="240"/>
      <c r="V58" s="240"/>
      <c r="W58" s="240"/>
      <c r="X58" s="240"/>
      <c r="Y58" s="240"/>
      <c r="Z58" s="240"/>
      <c r="AA58" s="240"/>
      <c r="AB58" s="240"/>
      <c r="AC58" s="240"/>
      <c r="AD58" s="240"/>
    </row>
    <row r="59" spans="1:30" x14ac:dyDescent="0.25">
      <c r="A59" s="367" t="str">
        <f>A40</f>
        <v>2. Hacer seguimiento a la implementación del Convenio 913 de 2021 cuyo objeto es "Aunar esfuerzos administrativos para la articulación de servicios intersectoriales en el marco del Sistema Distrital de Cuidado que garantice la prestación efectiva, oportuna, eficiente y eficaz de los servicios"</v>
      </c>
      <c r="B59" s="372">
        <f>B40</f>
        <v>0.05</v>
      </c>
      <c r="C59" s="242" t="s">
        <v>64</v>
      </c>
      <c r="D59" s="243">
        <f t="shared" ref="D59:O60" si="4">D40*$B$40/$P$40</f>
        <v>4.0404040404040413E-3</v>
      </c>
      <c r="E59" s="243">
        <f t="shared" si="4"/>
        <v>4.0404040404040413E-3</v>
      </c>
      <c r="F59" s="243">
        <f t="shared" si="4"/>
        <v>4.1919191919191929E-3</v>
      </c>
      <c r="G59" s="243">
        <f t="shared" si="4"/>
        <v>4.1919191919191929E-3</v>
      </c>
      <c r="H59" s="243">
        <f t="shared" si="4"/>
        <v>4.1919191919191929E-3</v>
      </c>
      <c r="I59" s="243">
        <f t="shared" si="4"/>
        <v>4.1919191919191929E-3</v>
      </c>
      <c r="J59" s="243">
        <f t="shared" si="4"/>
        <v>4.1919191919191929E-3</v>
      </c>
      <c r="K59" s="243">
        <f t="shared" si="4"/>
        <v>4.1919191919191929E-3</v>
      </c>
      <c r="L59" s="243">
        <f t="shared" si="4"/>
        <v>4.1919191919191929E-3</v>
      </c>
      <c r="M59" s="243">
        <f t="shared" si="4"/>
        <v>4.1919191919191929E-3</v>
      </c>
      <c r="N59" s="243">
        <f t="shared" si="4"/>
        <v>4.1919191919191929E-3</v>
      </c>
      <c r="O59" s="243">
        <f t="shared" si="4"/>
        <v>4.1919191919191929E-3</v>
      </c>
      <c r="P59" s="244">
        <f>SUM(D59:O59)</f>
        <v>4.9999999999999996E-2</v>
      </c>
      <c r="Q59" s="245">
        <v>2.5000000000000001E-2</v>
      </c>
      <c r="R59" s="246">
        <f t="shared" si="3"/>
        <v>2.4999999999999994E-2</v>
      </c>
      <c r="S59" s="240"/>
      <c r="T59" s="240"/>
      <c r="U59" s="240"/>
      <c r="V59" s="240"/>
      <c r="W59" s="240"/>
      <c r="X59" s="240"/>
      <c r="Y59" s="240"/>
      <c r="Z59" s="240"/>
      <c r="AA59" s="240"/>
      <c r="AB59" s="240"/>
      <c r="AC59" s="240"/>
      <c r="AD59" s="240"/>
    </row>
    <row r="60" spans="1:30" x14ac:dyDescent="0.25">
      <c r="A60" s="371"/>
      <c r="B60" s="373"/>
      <c r="C60" s="251" t="s">
        <v>65</v>
      </c>
      <c r="D60" s="248">
        <f t="shared" si="4"/>
        <v>4.0404040404040413E-3</v>
      </c>
      <c r="E60" s="248">
        <f t="shared" si="4"/>
        <v>4.0404040404040413E-3</v>
      </c>
      <c r="F60" s="248">
        <f t="shared" si="4"/>
        <v>4.1919191919191929E-3</v>
      </c>
      <c r="G60" s="248">
        <f t="shared" si="4"/>
        <v>0</v>
      </c>
      <c r="H60" s="248">
        <f t="shared" si="4"/>
        <v>0</v>
      </c>
      <c r="I60" s="248">
        <f t="shared" si="4"/>
        <v>0</v>
      </c>
      <c r="J60" s="248">
        <f t="shared" si="4"/>
        <v>0</v>
      </c>
      <c r="K60" s="248">
        <f t="shared" si="4"/>
        <v>0</v>
      </c>
      <c r="L60" s="248">
        <f t="shared" si="4"/>
        <v>0</v>
      </c>
      <c r="M60" s="248">
        <f t="shared" si="4"/>
        <v>0</v>
      </c>
      <c r="N60" s="248">
        <f t="shared" si="4"/>
        <v>0</v>
      </c>
      <c r="O60" s="248">
        <f t="shared" si="4"/>
        <v>0</v>
      </c>
      <c r="P60" s="249">
        <f>SUM(D60:O60)</f>
        <v>1.2272727272727275E-2</v>
      </c>
      <c r="Q60" s="250">
        <f>+P60</f>
        <v>1.2272727272727275E-2</v>
      </c>
      <c r="R60" s="246">
        <f t="shared" si="3"/>
        <v>0</v>
      </c>
      <c r="S60" s="240"/>
      <c r="T60" s="240"/>
      <c r="U60" s="240"/>
      <c r="V60" s="240"/>
      <c r="W60" s="240"/>
      <c r="X60" s="240"/>
      <c r="Y60" s="240"/>
      <c r="Z60" s="240"/>
      <c r="AA60" s="240"/>
      <c r="AB60" s="240"/>
      <c r="AC60" s="240"/>
      <c r="AD60" s="240"/>
    </row>
    <row r="61" spans="1:30" x14ac:dyDescent="0.25">
      <c r="A61" s="356"/>
      <c r="B61" s="358"/>
      <c r="C61" s="254"/>
      <c r="D61" s="243"/>
      <c r="E61" s="243"/>
      <c r="F61" s="243"/>
      <c r="G61" s="243"/>
      <c r="H61" s="243"/>
      <c r="I61" s="243"/>
      <c r="J61" s="243"/>
      <c r="K61" s="243"/>
      <c r="L61" s="243"/>
      <c r="M61" s="243"/>
      <c r="N61" s="243"/>
      <c r="O61" s="243"/>
      <c r="P61" s="255"/>
      <c r="Q61" s="245"/>
      <c r="R61" s="246"/>
      <c r="S61" s="240"/>
      <c r="T61" s="240"/>
      <c r="U61" s="240"/>
      <c r="V61" s="240"/>
      <c r="W61" s="240"/>
      <c r="X61" s="240"/>
      <c r="Y61" s="240"/>
      <c r="Z61" s="240"/>
      <c r="AA61" s="240"/>
      <c r="AB61" s="240"/>
      <c r="AC61" s="240"/>
      <c r="AD61" s="240"/>
    </row>
    <row r="62" spans="1:30" x14ac:dyDescent="0.25">
      <c r="A62" s="357"/>
      <c r="B62" s="359"/>
      <c r="C62" s="254"/>
      <c r="D62" s="258"/>
      <c r="E62" s="258"/>
      <c r="F62" s="258"/>
      <c r="G62" s="258"/>
      <c r="H62" s="258"/>
      <c r="I62" s="258"/>
      <c r="J62" s="258"/>
      <c r="K62" s="258"/>
      <c r="L62" s="258"/>
      <c r="M62" s="258"/>
      <c r="N62" s="258"/>
      <c r="O62" s="258"/>
      <c r="P62" s="255"/>
      <c r="Q62" s="250"/>
      <c r="R62" s="246"/>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D58+D60</f>
        <v>6.5404040404040426E-3</v>
      </c>
      <c r="E65" s="261">
        <f t="shared" ref="E65:O65" si="5">E58+E60</f>
        <v>8.5404040404040427E-3</v>
      </c>
      <c r="F65" s="261">
        <f t="shared" si="5"/>
        <v>8.6919191919191934E-3</v>
      </c>
      <c r="G65" s="261">
        <f t="shared" si="5"/>
        <v>0</v>
      </c>
      <c r="H65" s="261">
        <f t="shared" si="5"/>
        <v>0</v>
      </c>
      <c r="I65" s="261">
        <f t="shared" si="5"/>
        <v>0</v>
      </c>
      <c r="J65" s="261">
        <f t="shared" si="5"/>
        <v>0</v>
      </c>
      <c r="K65" s="261">
        <f t="shared" si="5"/>
        <v>0</v>
      </c>
      <c r="L65" s="261">
        <f t="shared" si="5"/>
        <v>0</v>
      </c>
      <c r="M65" s="261">
        <f t="shared" si="5"/>
        <v>0</v>
      </c>
      <c r="N65" s="261">
        <f t="shared" si="5"/>
        <v>0</v>
      </c>
      <c r="O65" s="261">
        <f t="shared" si="5"/>
        <v>0</v>
      </c>
      <c r="P65" s="261">
        <f>P58+P60+P62</f>
        <v>2.3772727272727279E-2</v>
      </c>
      <c r="Q65" s="239"/>
      <c r="R65" s="246">
        <f t="shared" si="3"/>
        <v>2.3772727272727279E-2</v>
      </c>
      <c r="S65" s="240"/>
      <c r="T65" s="240"/>
      <c r="U65" s="240"/>
      <c r="V65" s="240"/>
      <c r="W65" s="240"/>
      <c r="X65" s="240"/>
      <c r="Y65" s="240"/>
      <c r="Z65" s="240"/>
      <c r="AA65" s="240"/>
      <c r="AB65" s="240"/>
      <c r="AC65" s="240"/>
      <c r="AD65" s="240"/>
    </row>
    <row r="66" spans="1:30" x14ac:dyDescent="0.25">
      <c r="A66" s="239"/>
      <c r="B66" s="262"/>
      <c r="C66" s="263" t="s">
        <v>65</v>
      </c>
      <c r="D66" s="264">
        <f>D65*$W$17/$B$34</f>
        <v>6.5404040404040423E-2</v>
      </c>
      <c r="E66" s="264">
        <f t="shared" ref="E66:O66" si="6">E65*$W$17/$B$34</f>
        <v>8.5404040404040427E-2</v>
      </c>
      <c r="F66" s="264">
        <f t="shared" si="6"/>
        <v>8.6919191919191924E-2</v>
      </c>
      <c r="G66" s="264">
        <f t="shared" si="6"/>
        <v>0</v>
      </c>
      <c r="H66" s="264">
        <f t="shared" si="6"/>
        <v>0</v>
      </c>
      <c r="I66" s="264">
        <f t="shared" si="6"/>
        <v>0</v>
      </c>
      <c r="J66" s="264">
        <f t="shared" si="6"/>
        <v>0</v>
      </c>
      <c r="K66" s="264">
        <f t="shared" si="6"/>
        <v>0</v>
      </c>
      <c r="L66" s="264">
        <f t="shared" si="6"/>
        <v>0</v>
      </c>
      <c r="M66" s="264">
        <f t="shared" si="6"/>
        <v>0</v>
      </c>
      <c r="N66" s="264">
        <f t="shared" si="6"/>
        <v>0</v>
      </c>
      <c r="O66" s="264">
        <f t="shared" si="6"/>
        <v>0</v>
      </c>
      <c r="P66" s="265">
        <f>SUM(D66:O66)</f>
        <v>0.23772727272727276</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+D57+D59</f>
        <v>6.5404040404040426E-3</v>
      </c>
      <c r="E68" s="261">
        <f t="shared" ref="E68:O68" si="7">+E57+E59</f>
        <v>8.5404040404040427E-3</v>
      </c>
      <c r="F68" s="261">
        <f t="shared" si="7"/>
        <v>8.6919191919191934E-3</v>
      </c>
      <c r="G68" s="261">
        <f t="shared" si="7"/>
        <v>8.6919191919191934E-3</v>
      </c>
      <c r="H68" s="261">
        <f t="shared" si="7"/>
        <v>8.6919191919191934E-3</v>
      </c>
      <c r="I68" s="261">
        <f t="shared" si="7"/>
        <v>8.6919191919191934E-3</v>
      </c>
      <c r="J68" s="261">
        <f t="shared" si="7"/>
        <v>8.6919191919191934E-3</v>
      </c>
      <c r="K68" s="261">
        <f t="shared" si="7"/>
        <v>8.6919191919191934E-3</v>
      </c>
      <c r="L68" s="261">
        <f t="shared" si="7"/>
        <v>8.6919191919191934E-3</v>
      </c>
      <c r="M68" s="261">
        <f t="shared" si="7"/>
        <v>8.6919191919191934E-3</v>
      </c>
      <c r="N68" s="261">
        <f t="shared" si="7"/>
        <v>8.6919191919191934E-3</v>
      </c>
      <c r="O68" s="261">
        <f t="shared" si="7"/>
        <v>6.6919191919191934E-3</v>
      </c>
      <c r="P68" s="261">
        <f>+P57+P59+P61</f>
        <v>0.1</v>
      </c>
      <c r="Q68" s="245"/>
      <c r="R68" s="245"/>
      <c r="S68" s="240"/>
      <c r="T68" s="240"/>
      <c r="U68" s="240"/>
      <c r="V68" s="240"/>
      <c r="W68" s="240"/>
      <c r="X68" s="240"/>
      <c r="Y68" s="240"/>
      <c r="Z68" s="240"/>
      <c r="AA68" s="240"/>
      <c r="AB68" s="240"/>
      <c r="AC68" s="240"/>
      <c r="AD68" s="240"/>
    </row>
    <row r="69" spans="1:30" x14ac:dyDescent="0.25">
      <c r="A69" s="245"/>
      <c r="B69" s="108"/>
      <c r="C69" s="263" t="s">
        <v>64</v>
      </c>
      <c r="D69" s="264">
        <f>D68*$W$17/$B$34</f>
        <v>6.5404040404040423E-2</v>
      </c>
      <c r="E69" s="264">
        <f t="shared" ref="E69:O69" si="8">E68*$W$17/$B$34</f>
        <v>8.5404040404040427E-2</v>
      </c>
      <c r="F69" s="264">
        <f t="shared" si="8"/>
        <v>8.6919191919191924E-2</v>
      </c>
      <c r="G69" s="264">
        <f t="shared" si="8"/>
        <v>8.6919191919191924E-2</v>
      </c>
      <c r="H69" s="264">
        <f t="shared" si="8"/>
        <v>8.6919191919191924E-2</v>
      </c>
      <c r="I69" s="264">
        <f t="shared" si="8"/>
        <v>8.6919191919191924E-2</v>
      </c>
      <c r="J69" s="264">
        <f t="shared" si="8"/>
        <v>8.6919191919191924E-2</v>
      </c>
      <c r="K69" s="264">
        <f t="shared" si="8"/>
        <v>8.6919191919191924E-2</v>
      </c>
      <c r="L69" s="264">
        <f t="shared" si="8"/>
        <v>8.6919191919191924E-2</v>
      </c>
      <c r="M69" s="264">
        <f t="shared" si="8"/>
        <v>8.6919191919191924E-2</v>
      </c>
      <c r="N69" s="264">
        <f t="shared" si="8"/>
        <v>8.6919191919191924E-2</v>
      </c>
      <c r="O69" s="264">
        <f t="shared" si="8"/>
        <v>6.6919191919191934E-2</v>
      </c>
      <c r="P69" s="265">
        <f>SUM(D69:O69)</f>
        <v>1.0000000000000002</v>
      </c>
      <c r="Q69" s="245"/>
      <c r="R69" s="245"/>
      <c r="S69" s="240"/>
      <c r="T69" s="240"/>
      <c r="U69" s="240"/>
      <c r="V69" s="240"/>
      <c r="W69" s="240"/>
      <c r="X69" s="240"/>
      <c r="Y69" s="240"/>
      <c r="Z69" s="240"/>
      <c r="AA69" s="240"/>
      <c r="AB69" s="240"/>
      <c r="AC69" s="240"/>
      <c r="AD69" s="240"/>
    </row>
    <row r="70" spans="1:30" x14ac:dyDescent="0.25">
      <c r="A70" s="240"/>
      <c r="Q70" s="240"/>
      <c r="R70" s="240"/>
      <c r="S70" s="240"/>
      <c r="T70" s="240"/>
      <c r="U70" s="240"/>
      <c r="V70" s="240"/>
      <c r="W70" s="240"/>
      <c r="X70" s="240"/>
      <c r="Y70" s="240"/>
      <c r="Z70" s="240"/>
      <c r="AA70" s="240"/>
      <c r="AB70" s="240"/>
      <c r="AC70" s="240"/>
      <c r="AD70" s="240"/>
    </row>
    <row r="71" spans="1:30" x14ac:dyDescent="0.25">
      <c r="A71" s="240"/>
      <c r="Q71" s="240"/>
      <c r="R71" s="240"/>
      <c r="S71" s="240"/>
      <c r="T71" s="240"/>
      <c r="U71" s="240"/>
      <c r="V71" s="240"/>
      <c r="W71" s="240"/>
      <c r="X71" s="240"/>
      <c r="Y71" s="240"/>
      <c r="Z71" s="240"/>
      <c r="AA71" s="240"/>
      <c r="AB71" s="240"/>
      <c r="AC71" s="240"/>
      <c r="AD71" s="240"/>
    </row>
    <row r="72" spans="1:30" x14ac:dyDescent="0.25">
      <c r="A72" s="240"/>
      <c r="Q72" s="240"/>
      <c r="R72" s="240"/>
      <c r="S72" s="240"/>
      <c r="T72" s="240"/>
      <c r="U72" s="240"/>
      <c r="V72" s="240"/>
      <c r="W72" s="240"/>
      <c r="X72" s="240"/>
      <c r="Y72" s="240"/>
      <c r="Z72" s="240"/>
      <c r="AA72" s="240"/>
      <c r="AB72" s="240"/>
      <c r="AC72" s="240"/>
      <c r="AD72" s="240"/>
    </row>
    <row r="73" spans="1:30" x14ac:dyDescent="0.25">
      <c r="A73" s="240"/>
      <c r="Q73" s="240"/>
      <c r="R73" s="240"/>
      <c r="S73" s="240"/>
      <c r="T73" s="240"/>
      <c r="U73" s="240"/>
      <c r="V73" s="240"/>
      <c r="W73" s="240"/>
      <c r="X73" s="240"/>
      <c r="Y73" s="240"/>
      <c r="Z73" s="240"/>
      <c r="AA73" s="240"/>
      <c r="AB73" s="240"/>
      <c r="AC73" s="240"/>
      <c r="AD73" s="240"/>
    </row>
    <row r="74" spans="1:30" x14ac:dyDescent="0.25">
      <c r="A74" s="240"/>
      <c r="Q74" s="240"/>
      <c r="R74" s="240"/>
      <c r="S74" s="240"/>
      <c r="T74" s="240"/>
      <c r="U74" s="240"/>
      <c r="V74" s="240"/>
      <c r="W74" s="240"/>
      <c r="X74" s="240"/>
      <c r="Y74" s="240"/>
      <c r="Z74" s="240"/>
      <c r="AA74" s="240"/>
      <c r="AB74" s="240"/>
      <c r="AC74" s="240"/>
      <c r="AD74" s="240"/>
    </row>
    <row r="75" spans="1:30" x14ac:dyDescent="0.25">
      <c r="A75" s="240"/>
      <c r="Q75" s="240"/>
      <c r="R75" s="240"/>
      <c r="S75" s="240"/>
      <c r="T75" s="240"/>
      <c r="U75" s="240"/>
      <c r="V75" s="240"/>
      <c r="W75" s="240"/>
      <c r="X75" s="240"/>
      <c r="Y75" s="240"/>
      <c r="Z75" s="240"/>
      <c r="AA75" s="240"/>
      <c r="AB75" s="240"/>
      <c r="AC75" s="240"/>
      <c r="AD75" s="240"/>
    </row>
    <row r="76" spans="1:30" x14ac:dyDescent="0.25">
      <c r="A76" s="240"/>
      <c r="Q76" s="240"/>
      <c r="R76" s="240"/>
      <c r="S76" s="240"/>
      <c r="T76" s="240"/>
      <c r="U76" s="240"/>
      <c r="V76" s="240"/>
      <c r="W76" s="240"/>
      <c r="X76" s="240"/>
      <c r="Y76" s="240"/>
      <c r="Z76" s="240"/>
      <c r="AA76" s="240"/>
      <c r="AB76" s="240"/>
      <c r="AC76" s="240"/>
      <c r="AD76" s="240"/>
    </row>
    <row r="77" spans="1:30" x14ac:dyDescent="0.25">
      <c r="A77" s="240"/>
      <c r="Q77" s="240"/>
      <c r="R77" s="240"/>
      <c r="S77" s="240"/>
      <c r="T77" s="240"/>
      <c r="U77" s="240"/>
      <c r="V77" s="240"/>
      <c r="W77" s="240"/>
      <c r="X77" s="240"/>
      <c r="Y77" s="240"/>
      <c r="Z77" s="240"/>
      <c r="AA77" s="240"/>
      <c r="AB77" s="240"/>
      <c r="AC77" s="240"/>
      <c r="AD77" s="240"/>
    </row>
    <row r="78" spans="1:30" x14ac:dyDescent="0.25">
      <c r="A78" s="240"/>
      <c r="Q78" s="240"/>
      <c r="R78" s="240"/>
      <c r="S78" s="240"/>
      <c r="T78" s="240"/>
      <c r="U78" s="240"/>
      <c r="V78" s="240"/>
      <c r="W78" s="240"/>
      <c r="X78" s="240"/>
      <c r="Y78" s="240"/>
      <c r="Z78" s="240"/>
      <c r="AA78" s="240"/>
      <c r="AB78" s="240"/>
      <c r="AC78" s="240"/>
      <c r="AD78" s="240"/>
    </row>
    <row r="79" spans="1:30" x14ac:dyDescent="0.25">
      <c r="A79" s="240"/>
      <c r="Q79" s="240"/>
      <c r="R79" s="240"/>
      <c r="S79" s="240"/>
      <c r="T79" s="240"/>
      <c r="U79" s="240"/>
      <c r="V79" s="240"/>
      <c r="W79" s="240"/>
      <c r="X79" s="240"/>
      <c r="Y79" s="240"/>
      <c r="Z79" s="240"/>
      <c r="AA79" s="240"/>
      <c r="AB79" s="240"/>
      <c r="AC79" s="240"/>
      <c r="AD79" s="240"/>
    </row>
    <row r="80" spans="1:30" x14ac:dyDescent="0.25">
      <c r="A80" s="240"/>
      <c r="Q80" s="240"/>
      <c r="R80" s="240"/>
      <c r="S80" s="240"/>
      <c r="T80" s="240"/>
      <c r="U80" s="240"/>
      <c r="V80" s="240"/>
      <c r="W80" s="240"/>
      <c r="X80" s="240"/>
      <c r="Y80" s="240"/>
      <c r="Z80" s="240"/>
      <c r="AA80" s="240"/>
      <c r="AB80" s="240"/>
      <c r="AC80" s="240"/>
      <c r="AD80" s="240"/>
    </row>
    <row r="81" spans="1:30" x14ac:dyDescent="0.25">
      <c r="A81" s="240"/>
      <c r="Q81" s="240"/>
      <c r="R81" s="240"/>
      <c r="S81" s="240"/>
      <c r="T81" s="240"/>
      <c r="U81" s="240"/>
      <c r="V81" s="240"/>
      <c r="W81" s="240"/>
      <c r="X81" s="240"/>
      <c r="Y81" s="240"/>
      <c r="Z81" s="240"/>
      <c r="AA81" s="240"/>
      <c r="AB81" s="240"/>
      <c r="AC81" s="240"/>
      <c r="AD81" s="240"/>
    </row>
    <row r="82" spans="1:30" x14ac:dyDescent="0.25">
      <c r="A82" s="240"/>
      <c r="Q82" s="240"/>
      <c r="R82" s="240"/>
      <c r="S82" s="240"/>
      <c r="T82" s="240"/>
      <c r="U82" s="240"/>
      <c r="V82" s="240"/>
      <c r="W82" s="240"/>
      <c r="X82" s="240"/>
      <c r="Y82" s="240"/>
      <c r="Z82" s="240"/>
      <c r="AA82" s="240"/>
      <c r="AB82" s="240"/>
      <c r="AC82" s="240"/>
      <c r="AD82" s="240"/>
    </row>
    <row r="83" spans="1:30" x14ac:dyDescent="0.25">
      <c r="A83" s="240"/>
      <c r="Q83" s="240"/>
      <c r="R83" s="240"/>
      <c r="S83" s="240"/>
      <c r="T83" s="240"/>
      <c r="U83" s="240"/>
      <c r="V83" s="240"/>
      <c r="W83" s="240"/>
      <c r="X83" s="240"/>
      <c r="Y83" s="240"/>
      <c r="Z83" s="240"/>
      <c r="AA83" s="240"/>
      <c r="AB83" s="240"/>
      <c r="AC83" s="240"/>
      <c r="AD83" s="240"/>
    </row>
    <row r="84" spans="1:30" x14ac:dyDescent="0.25">
      <c r="A84" s="240"/>
      <c r="Q84" s="240"/>
      <c r="R84" s="240"/>
      <c r="S84" s="240"/>
      <c r="T84" s="240"/>
      <c r="U84" s="240"/>
      <c r="V84" s="240"/>
      <c r="W84" s="240"/>
      <c r="X84" s="240"/>
      <c r="Y84" s="240"/>
      <c r="Z84" s="240"/>
      <c r="AA84" s="240"/>
      <c r="AB84" s="240"/>
      <c r="AC84" s="240"/>
      <c r="AD84" s="240"/>
    </row>
    <row r="85" spans="1:30" x14ac:dyDescent="0.25">
      <c r="A85" s="240"/>
      <c r="Q85" s="240"/>
      <c r="R85" s="240"/>
      <c r="S85" s="240"/>
      <c r="T85" s="240"/>
      <c r="U85" s="240"/>
      <c r="V85" s="240"/>
      <c r="W85" s="240"/>
      <c r="X85" s="240"/>
      <c r="Y85" s="240"/>
      <c r="Z85" s="240"/>
      <c r="AA85" s="240"/>
      <c r="AB85" s="240"/>
      <c r="AC85" s="240"/>
      <c r="AD85" s="240"/>
    </row>
  </sheetData>
  <mergeCells count="85">
    <mergeCell ref="A1:A4"/>
    <mergeCell ref="B1:AA1"/>
    <mergeCell ref="AB1:AD1"/>
    <mergeCell ref="M9:N9"/>
    <mergeCell ref="O9:P9"/>
    <mergeCell ref="M7:N7"/>
    <mergeCell ref="O7:P7"/>
    <mergeCell ref="M8:N8"/>
    <mergeCell ref="O8:P8"/>
    <mergeCell ref="A7:B9"/>
    <mergeCell ref="B2:AA2"/>
    <mergeCell ref="AB2:AD2"/>
    <mergeCell ref="B3:AA4"/>
    <mergeCell ref="AB3:AD3"/>
    <mergeCell ref="AB4:AD4"/>
    <mergeCell ref="A11:B13"/>
    <mergeCell ref="D7:H9"/>
    <mergeCell ref="I7:J9"/>
    <mergeCell ref="K7:L9"/>
    <mergeCell ref="C11:AD13"/>
    <mergeCell ref="C7:C9"/>
    <mergeCell ref="A19:AD19"/>
    <mergeCell ref="Q20:AD20"/>
    <mergeCell ref="C20:P20"/>
    <mergeCell ref="A22:B22"/>
    <mergeCell ref="AC17:AD17"/>
    <mergeCell ref="A27:AD27"/>
    <mergeCell ref="A23:B23"/>
    <mergeCell ref="A25:B25"/>
    <mergeCell ref="AA15:AD15"/>
    <mergeCell ref="C16:AB16"/>
    <mergeCell ref="A17:B17"/>
    <mergeCell ref="C17:Q17"/>
    <mergeCell ref="R17:V17"/>
    <mergeCell ref="L15:Q15"/>
    <mergeCell ref="R15:X15"/>
    <mergeCell ref="Y15:Z15"/>
    <mergeCell ref="W17:X17"/>
    <mergeCell ref="Y17:AB17"/>
    <mergeCell ref="A15:B15"/>
    <mergeCell ref="C15:K15"/>
    <mergeCell ref="A24:B24"/>
    <mergeCell ref="A28:A29"/>
    <mergeCell ref="B28:C29"/>
    <mergeCell ref="D28:O28"/>
    <mergeCell ref="P28:P29"/>
    <mergeCell ref="Q28:AD29"/>
    <mergeCell ref="B30:C30"/>
    <mergeCell ref="Q30:AD30"/>
    <mergeCell ref="A31:AD31"/>
    <mergeCell ref="A32:A33"/>
    <mergeCell ref="B32:B33"/>
    <mergeCell ref="C32:C33"/>
    <mergeCell ref="D32:P32"/>
    <mergeCell ref="Q32:AD32"/>
    <mergeCell ref="W33:Z33"/>
    <mergeCell ref="AA33:AD33"/>
    <mergeCell ref="A34:A35"/>
    <mergeCell ref="B34:B35"/>
    <mergeCell ref="W34:Z35"/>
    <mergeCell ref="AA34:AD35"/>
    <mergeCell ref="Q33:S33"/>
    <mergeCell ref="T33:V33"/>
    <mergeCell ref="Q34:S35"/>
    <mergeCell ref="T34:V35"/>
    <mergeCell ref="A40:A41"/>
    <mergeCell ref="B40:B41"/>
    <mergeCell ref="Q40:AD41"/>
    <mergeCell ref="A36:A37"/>
    <mergeCell ref="B36:B37"/>
    <mergeCell ref="C36:P36"/>
    <mergeCell ref="Q36:AD36"/>
    <mergeCell ref="Q37:AD37"/>
    <mergeCell ref="A38:A39"/>
    <mergeCell ref="B38:B39"/>
    <mergeCell ref="Q38:AD39"/>
    <mergeCell ref="A61:A62"/>
    <mergeCell ref="B61:B62"/>
    <mergeCell ref="A55:A56"/>
    <mergeCell ref="B55:B56"/>
    <mergeCell ref="C55:P55"/>
    <mergeCell ref="A57:A58"/>
    <mergeCell ref="B57:B58"/>
    <mergeCell ref="A59:A60"/>
    <mergeCell ref="B59:B60"/>
  </mergeCells>
  <dataValidations count="3">
    <dataValidation type="textLength" operator="lessThanOrEqual" allowBlank="1" showInputMessage="1" showErrorMessage="1" errorTitle="Máximo 2.000 caracteres" error="Máximo 2.000 caracteres" sqref="AA34 Q34 Q38:AD41 W34" xr:uid="{00000000-0002-0000-0000-000000000000}">
      <formula1>2000</formula1>
    </dataValidation>
    <dataValidation type="textLength" operator="lessThanOrEqual" allowBlank="1" showInputMessage="1" showErrorMessage="1" errorTitle="Máximo 2.000 caracteres" error="Máximo 2.000 caracteres" promptTitle="2.000 caracteres" sqref="Q30:AD30" xr:uid="{00000000-0002-0000-0000-000001000000}">
      <formula1>2000</formula1>
    </dataValidation>
    <dataValidation type="list" allowBlank="1" showInputMessage="1" showErrorMessage="1" sqref="C7:C9" xr:uid="{00000000-0002-0000-0000-000002000000}">
      <formula1>$C$21:$N$21</formula1>
    </dataValidation>
  </dataValidations>
  <pageMargins left="0.25" right="0.25" top="0.75" bottom="0.75" header="0.3" footer="0.3"/>
  <pageSetup scale="20" orientation="landscape"/>
  <customProperties>
    <customPr name="_pios_id" r:id="rId1"/>
  </customPropertie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60"/>
  <sheetViews>
    <sheetView topLeftCell="R1" zoomScale="60" zoomScaleNormal="60" workbookViewId="0">
      <selection activeCell="B7" sqref="B7:BK10"/>
    </sheetView>
  </sheetViews>
  <sheetFormatPr baseColWidth="10" defaultColWidth="19.42578125" defaultRowHeight="15" x14ac:dyDescent="0.25"/>
  <cols>
    <col min="1" max="1" width="29.42578125" style="108" bestFit="1" customWidth="1"/>
    <col min="2" max="17" width="11" style="108" customWidth="1"/>
    <col min="18" max="19" width="12.140625" style="108" customWidth="1"/>
    <col min="20" max="23" width="8.140625" style="108" customWidth="1"/>
    <col min="24" max="24" width="9.42578125" style="108" customWidth="1"/>
    <col min="25" max="25" width="8.140625" style="108" customWidth="1"/>
    <col min="26" max="30" width="7.85546875" style="108" customWidth="1"/>
    <col min="31" max="31" width="11.28515625" style="108" customWidth="1"/>
    <col min="32" max="32" width="2.28515625" style="108" customWidth="1"/>
    <col min="33" max="33" width="19.42578125" style="108" customWidth="1"/>
    <col min="34" max="51" width="11.28515625" style="108" customWidth="1"/>
    <col min="52" max="63" width="8.85546875" style="108" customWidth="1"/>
    <col min="64" max="16384" width="19.42578125" style="108"/>
  </cols>
  <sheetData>
    <row r="1" spans="1:63" ht="15.95" customHeight="1" x14ac:dyDescent="0.25">
      <c r="A1" s="829" t="s">
        <v>0</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829"/>
      <c r="AW1" s="829"/>
      <c r="AX1" s="829"/>
      <c r="AY1" s="829"/>
      <c r="AZ1" s="829"/>
      <c r="BA1" s="829"/>
      <c r="BB1" s="829"/>
      <c r="BC1" s="829"/>
      <c r="BD1" s="829"/>
      <c r="BE1" s="829"/>
      <c r="BF1" s="829"/>
      <c r="BG1" s="829"/>
      <c r="BH1" s="829"/>
      <c r="BI1" s="830" t="s">
        <v>127</v>
      </c>
      <c r="BJ1" s="830"/>
      <c r="BK1" s="830"/>
    </row>
    <row r="2" spans="1:63" ht="15.95" customHeight="1" x14ac:dyDescent="0.25">
      <c r="A2" s="829" t="s">
        <v>2</v>
      </c>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c r="AO2" s="829"/>
      <c r="AP2" s="829"/>
      <c r="AQ2" s="829"/>
      <c r="AR2" s="829"/>
      <c r="AS2" s="829"/>
      <c r="AT2" s="829"/>
      <c r="AU2" s="829"/>
      <c r="AV2" s="829"/>
      <c r="AW2" s="829"/>
      <c r="AX2" s="829"/>
      <c r="AY2" s="829"/>
      <c r="AZ2" s="829"/>
      <c r="BA2" s="829"/>
      <c r="BB2" s="829"/>
      <c r="BC2" s="829"/>
      <c r="BD2" s="829"/>
      <c r="BE2" s="829"/>
      <c r="BF2" s="829"/>
      <c r="BG2" s="829"/>
      <c r="BH2" s="829"/>
      <c r="BI2" s="830" t="s">
        <v>3</v>
      </c>
      <c r="BJ2" s="830"/>
      <c r="BK2" s="830"/>
    </row>
    <row r="3" spans="1:63" ht="26.1" customHeight="1" x14ac:dyDescent="0.25">
      <c r="A3" s="829" t="s">
        <v>233</v>
      </c>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c r="AM3" s="829"/>
      <c r="AN3" s="829"/>
      <c r="AO3" s="829"/>
      <c r="AP3" s="829"/>
      <c r="AQ3" s="829"/>
      <c r="AR3" s="829"/>
      <c r="AS3" s="829"/>
      <c r="AT3" s="829"/>
      <c r="AU3" s="829"/>
      <c r="AV3" s="829"/>
      <c r="AW3" s="829"/>
      <c r="AX3" s="829"/>
      <c r="AY3" s="829"/>
      <c r="AZ3" s="829"/>
      <c r="BA3" s="829"/>
      <c r="BB3" s="829"/>
      <c r="BC3" s="829"/>
      <c r="BD3" s="829"/>
      <c r="BE3" s="829"/>
      <c r="BF3" s="829"/>
      <c r="BG3" s="829"/>
      <c r="BH3" s="829"/>
      <c r="BI3" s="830" t="s">
        <v>5</v>
      </c>
      <c r="BJ3" s="830"/>
      <c r="BK3" s="830"/>
    </row>
    <row r="4" spans="1:63" ht="15.95" customHeight="1" x14ac:dyDescent="0.25">
      <c r="A4" s="829" t="s">
        <v>234</v>
      </c>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6" t="s">
        <v>235</v>
      </c>
      <c r="BJ4" s="827"/>
      <c r="BK4" s="828"/>
    </row>
    <row r="5" spans="1:63" ht="26.1" customHeight="1" x14ac:dyDescent="0.25">
      <c r="A5" s="831" t="s">
        <v>148</v>
      </c>
      <c r="B5" s="831"/>
      <c r="C5" s="831"/>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G5" s="831" t="s">
        <v>236</v>
      </c>
      <c r="AH5" s="831"/>
      <c r="AI5" s="831"/>
      <c r="AJ5" s="831"/>
      <c r="AK5" s="831"/>
      <c r="AL5" s="831"/>
      <c r="AM5" s="831"/>
      <c r="AN5" s="831"/>
      <c r="AO5" s="831"/>
      <c r="AP5" s="831"/>
      <c r="AQ5" s="831"/>
      <c r="AR5" s="831"/>
      <c r="AS5" s="831"/>
      <c r="AT5" s="831"/>
      <c r="AU5" s="831"/>
      <c r="AV5" s="831"/>
      <c r="AW5" s="831"/>
      <c r="AX5" s="831"/>
      <c r="AY5" s="831"/>
      <c r="AZ5" s="831"/>
      <c r="BA5" s="831"/>
      <c r="BB5" s="831"/>
      <c r="BC5" s="831"/>
      <c r="BD5" s="831"/>
      <c r="BE5" s="831"/>
      <c r="BF5" s="831"/>
      <c r="BG5" s="831"/>
      <c r="BH5" s="831"/>
      <c r="BI5" s="837"/>
      <c r="BJ5" s="837"/>
      <c r="BK5" s="837"/>
    </row>
    <row r="6" spans="1:63" ht="31.5" customHeight="1" x14ac:dyDescent="0.25">
      <c r="A6" s="154" t="s">
        <v>237</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c r="AL6" s="838"/>
      <c r="AM6" s="838"/>
      <c r="AN6" s="838"/>
      <c r="AO6" s="838"/>
      <c r="AP6" s="838"/>
      <c r="AQ6" s="838"/>
      <c r="AR6" s="838"/>
      <c r="AS6" s="838"/>
      <c r="AT6" s="838"/>
      <c r="AU6" s="838"/>
      <c r="AV6" s="838"/>
      <c r="AW6" s="838"/>
      <c r="AX6" s="838"/>
      <c r="AY6" s="838"/>
      <c r="AZ6" s="838"/>
      <c r="BA6" s="838"/>
      <c r="BB6" s="838"/>
      <c r="BC6" s="838"/>
      <c r="BD6" s="838"/>
      <c r="BE6" s="838"/>
      <c r="BF6" s="838"/>
      <c r="BG6" s="838"/>
      <c r="BH6" s="838"/>
      <c r="BI6" s="838"/>
      <c r="BJ6" s="838"/>
      <c r="BK6" s="838"/>
    </row>
    <row r="7" spans="1:63" ht="31.5" customHeight="1" x14ac:dyDescent="0.25">
      <c r="A7" s="155" t="s">
        <v>238</v>
      </c>
      <c r="B7" s="832" t="s">
        <v>239</v>
      </c>
      <c r="C7" s="834"/>
      <c r="D7" s="834"/>
      <c r="E7" s="834"/>
      <c r="F7" s="834"/>
      <c r="G7" s="834"/>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4"/>
      <c r="AI7" s="834"/>
      <c r="AJ7" s="834"/>
      <c r="AK7" s="834"/>
      <c r="AL7" s="834"/>
      <c r="AM7" s="834"/>
      <c r="AN7" s="834"/>
      <c r="AO7" s="834"/>
      <c r="AP7" s="834"/>
      <c r="AQ7" s="834"/>
      <c r="AR7" s="834"/>
      <c r="AS7" s="834"/>
      <c r="AT7" s="834"/>
      <c r="AU7" s="834"/>
      <c r="AV7" s="834"/>
      <c r="AW7" s="834"/>
      <c r="AX7" s="834"/>
      <c r="AY7" s="834"/>
      <c r="AZ7" s="834"/>
      <c r="BA7" s="834"/>
      <c r="BB7" s="834"/>
      <c r="BC7" s="834"/>
      <c r="BD7" s="834"/>
      <c r="BE7" s="834"/>
      <c r="BF7" s="834"/>
      <c r="BG7" s="834"/>
      <c r="BH7" s="834"/>
      <c r="BI7" s="834"/>
      <c r="BJ7" s="834"/>
      <c r="BK7" s="833"/>
    </row>
    <row r="8" spans="1:63" ht="18.75" customHeight="1" x14ac:dyDescent="0.25">
      <c r="A8" s="146"/>
      <c r="B8" s="146"/>
      <c r="C8" s="146"/>
      <c r="D8" s="146"/>
      <c r="E8" s="146"/>
      <c r="F8" s="146"/>
      <c r="G8" s="146"/>
      <c r="H8" s="146"/>
      <c r="I8" s="146"/>
      <c r="J8" s="146"/>
      <c r="K8" s="147"/>
      <c r="L8" s="147"/>
      <c r="M8" s="147"/>
      <c r="N8" s="147"/>
      <c r="O8" s="147"/>
      <c r="P8" s="147"/>
      <c r="Q8" s="147"/>
      <c r="R8" s="147"/>
      <c r="S8" s="147"/>
      <c r="T8" s="147"/>
      <c r="U8" s="147"/>
      <c r="V8" s="147"/>
      <c r="W8" s="147"/>
      <c r="X8" s="147"/>
      <c r="Y8" s="147"/>
      <c r="Z8" s="147"/>
      <c r="AA8" s="147"/>
      <c r="AB8" s="147"/>
      <c r="AC8" s="147"/>
      <c r="AD8" s="147"/>
      <c r="AE8" s="147"/>
      <c r="AG8" s="146"/>
      <c r="AH8" s="147"/>
      <c r="AI8" s="147"/>
      <c r="AJ8" s="147"/>
      <c r="AK8" s="147"/>
      <c r="AL8" s="147"/>
      <c r="AM8" s="147"/>
      <c r="AN8" s="147"/>
      <c r="AO8" s="147"/>
    </row>
    <row r="9" spans="1:63" ht="30" customHeight="1" x14ac:dyDescent="0.25">
      <c r="A9" s="835" t="s">
        <v>240</v>
      </c>
      <c r="B9" s="193" t="s">
        <v>30</v>
      </c>
      <c r="C9" s="193" t="s">
        <v>31</v>
      </c>
      <c r="D9" s="832" t="s">
        <v>8</v>
      </c>
      <c r="E9" s="833"/>
      <c r="F9" s="193" t="s">
        <v>32</v>
      </c>
      <c r="G9" s="193" t="s">
        <v>33</v>
      </c>
      <c r="H9" s="832" t="s">
        <v>34</v>
      </c>
      <c r="I9" s="833"/>
      <c r="J9" s="193" t="s">
        <v>35</v>
      </c>
      <c r="K9" s="193" t="s">
        <v>36</v>
      </c>
      <c r="L9" s="832" t="s">
        <v>37</v>
      </c>
      <c r="M9" s="833"/>
      <c r="N9" s="193" t="s">
        <v>38</v>
      </c>
      <c r="O9" s="193" t="s">
        <v>39</v>
      </c>
      <c r="P9" s="832" t="s">
        <v>40</v>
      </c>
      <c r="Q9" s="833"/>
      <c r="R9" s="832" t="s">
        <v>241</v>
      </c>
      <c r="S9" s="833"/>
      <c r="T9" s="832" t="s">
        <v>242</v>
      </c>
      <c r="U9" s="834"/>
      <c r="V9" s="834"/>
      <c r="W9" s="834"/>
      <c r="X9" s="834"/>
      <c r="Y9" s="833"/>
      <c r="Z9" s="832" t="s">
        <v>243</v>
      </c>
      <c r="AA9" s="834"/>
      <c r="AB9" s="834"/>
      <c r="AC9" s="834"/>
      <c r="AD9" s="834"/>
      <c r="AE9" s="833"/>
      <c r="AG9" s="835" t="s">
        <v>240</v>
      </c>
      <c r="AH9" s="193" t="s">
        <v>30</v>
      </c>
      <c r="AI9" s="193" t="s">
        <v>31</v>
      </c>
      <c r="AJ9" s="832" t="s">
        <v>8</v>
      </c>
      <c r="AK9" s="833"/>
      <c r="AL9" s="193" t="s">
        <v>32</v>
      </c>
      <c r="AM9" s="193" t="s">
        <v>33</v>
      </c>
      <c r="AN9" s="832" t="s">
        <v>34</v>
      </c>
      <c r="AO9" s="833"/>
      <c r="AP9" s="193" t="s">
        <v>35</v>
      </c>
      <c r="AQ9" s="193" t="s">
        <v>36</v>
      </c>
      <c r="AR9" s="832" t="s">
        <v>37</v>
      </c>
      <c r="AS9" s="833"/>
      <c r="AT9" s="193" t="s">
        <v>38</v>
      </c>
      <c r="AU9" s="193" t="s">
        <v>39</v>
      </c>
      <c r="AV9" s="832" t="s">
        <v>40</v>
      </c>
      <c r="AW9" s="833"/>
      <c r="AX9" s="832" t="s">
        <v>241</v>
      </c>
      <c r="AY9" s="833"/>
      <c r="AZ9" s="832" t="s">
        <v>242</v>
      </c>
      <c r="BA9" s="834"/>
      <c r="BB9" s="834"/>
      <c r="BC9" s="834"/>
      <c r="BD9" s="834"/>
      <c r="BE9" s="833"/>
      <c r="BF9" s="832" t="s">
        <v>243</v>
      </c>
      <c r="BG9" s="834"/>
      <c r="BH9" s="834"/>
      <c r="BI9" s="834"/>
      <c r="BJ9" s="834"/>
      <c r="BK9" s="833"/>
    </row>
    <row r="10" spans="1:63" ht="36" customHeight="1" x14ac:dyDescent="0.25">
      <c r="A10" s="836"/>
      <c r="B10" s="119" t="s">
        <v>244</v>
      </c>
      <c r="C10" s="119" t="s">
        <v>244</v>
      </c>
      <c r="D10" s="119" t="s">
        <v>244</v>
      </c>
      <c r="E10" s="119" t="s">
        <v>245</v>
      </c>
      <c r="F10" s="119" t="s">
        <v>244</v>
      </c>
      <c r="G10" s="119" t="s">
        <v>244</v>
      </c>
      <c r="H10" s="119" t="s">
        <v>244</v>
      </c>
      <c r="I10" s="119" t="s">
        <v>245</v>
      </c>
      <c r="J10" s="119" t="s">
        <v>244</v>
      </c>
      <c r="K10" s="119" t="s">
        <v>244</v>
      </c>
      <c r="L10" s="119" t="s">
        <v>244</v>
      </c>
      <c r="M10" s="119" t="s">
        <v>245</v>
      </c>
      <c r="N10" s="119" t="s">
        <v>244</v>
      </c>
      <c r="O10" s="119" t="s">
        <v>244</v>
      </c>
      <c r="P10" s="119" t="s">
        <v>244</v>
      </c>
      <c r="Q10" s="119" t="s">
        <v>245</v>
      </c>
      <c r="R10" s="119" t="s">
        <v>244</v>
      </c>
      <c r="S10" s="119" t="s">
        <v>245</v>
      </c>
      <c r="T10" s="187" t="s">
        <v>246</v>
      </c>
      <c r="U10" s="187" t="s">
        <v>247</v>
      </c>
      <c r="V10" s="187" t="s">
        <v>248</v>
      </c>
      <c r="W10" s="187" t="s">
        <v>249</v>
      </c>
      <c r="X10" s="188" t="s">
        <v>250</v>
      </c>
      <c r="Y10" s="187" t="s">
        <v>251</v>
      </c>
      <c r="Z10" s="119" t="s">
        <v>252</v>
      </c>
      <c r="AA10" s="148" t="s">
        <v>253</v>
      </c>
      <c r="AB10" s="119" t="s">
        <v>254</v>
      </c>
      <c r="AC10" s="119" t="s">
        <v>255</v>
      </c>
      <c r="AD10" s="119" t="s">
        <v>256</v>
      </c>
      <c r="AE10" s="119" t="s">
        <v>257</v>
      </c>
      <c r="AG10" s="836"/>
      <c r="AH10" s="119" t="s">
        <v>244</v>
      </c>
      <c r="AI10" s="119" t="s">
        <v>244</v>
      </c>
      <c r="AJ10" s="119" t="s">
        <v>244</v>
      </c>
      <c r="AK10" s="119" t="s">
        <v>245</v>
      </c>
      <c r="AL10" s="119" t="s">
        <v>244</v>
      </c>
      <c r="AM10" s="119" t="s">
        <v>244</v>
      </c>
      <c r="AN10" s="119" t="s">
        <v>244</v>
      </c>
      <c r="AO10" s="119" t="s">
        <v>245</v>
      </c>
      <c r="AP10" s="119" t="s">
        <v>244</v>
      </c>
      <c r="AQ10" s="119" t="s">
        <v>244</v>
      </c>
      <c r="AR10" s="119" t="s">
        <v>244</v>
      </c>
      <c r="AS10" s="119" t="s">
        <v>245</v>
      </c>
      <c r="AT10" s="119" t="s">
        <v>244</v>
      </c>
      <c r="AU10" s="119" t="s">
        <v>244</v>
      </c>
      <c r="AV10" s="119" t="s">
        <v>244</v>
      </c>
      <c r="AW10" s="119" t="s">
        <v>245</v>
      </c>
      <c r="AX10" s="119" t="s">
        <v>244</v>
      </c>
      <c r="AY10" s="119" t="s">
        <v>245</v>
      </c>
      <c r="AZ10" s="187" t="s">
        <v>246</v>
      </c>
      <c r="BA10" s="187" t="s">
        <v>247</v>
      </c>
      <c r="BB10" s="187" t="s">
        <v>248</v>
      </c>
      <c r="BC10" s="187" t="s">
        <v>249</v>
      </c>
      <c r="BD10" s="188" t="s">
        <v>250</v>
      </c>
      <c r="BE10" s="187" t="s">
        <v>251</v>
      </c>
      <c r="BF10" s="185" t="s">
        <v>252</v>
      </c>
      <c r="BG10" s="186" t="s">
        <v>253</v>
      </c>
      <c r="BH10" s="185" t="s">
        <v>254</v>
      </c>
      <c r="BI10" s="185" t="s">
        <v>255</v>
      </c>
      <c r="BJ10" s="185" t="s">
        <v>256</v>
      </c>
      <c r="BK10" s="185" t="s">
        <v>257</v>
      </c>
    </row>
    <row r="11" spans="1:63" x14ac:dyDescent="0.25">
      <c r="A11" s="149" t="s">
        <v>258</v>
      </c>
      <c r="B11" s="149"/>
      <c r="C11" s="149"/>
      <c r="D11" s="149">
        <f>17+20</f>
        <v>37</v>
      </c>
      <c r="E11" s="199"/>
      <c r="F11" s="149"/>
      <c r="G11" s="149"/>
      <c r="H11" s="149"/>
      <c r="I11" s="199"/>
      <c r="J11" s="149"/>
      <c r="K11" s="149"/>
      <c r="L11" s="149"/>
      <c r="M11" s="199"/>
      <c r="N11" s="149"/>
      <c r="O11" s="149"/>
      <c r="P11" s="149"/>
      <c r="Q11" s="199"/>
      <c r="R11" s="190">
        <f t="shared" ref="R11:R31" si="0">B11+C11+D11+F11+G11+H11+J11+K11+L11+N11+O11+P11</f>
        <v>37</v>
      </c>
      <c r="S11" s="156">
        <f>+E11+I11+M11+Q11</f>
        <v>0</v>
      </c>
      <c r="T11" s="189"/>
      <c r="U11" s="189"/>
      <c r="V11" s="189"/>
      <c r="W11" s="189"/>
      <c r="X11" s="189"/>
      <c r="Y11" s="151"/>
      <c r="Z11" s="151"/>
      <c r="AA11" s="151"/>
      <c r="AB11" s="151"/>
      <c r="AC11" s="151"/>
      <c r="AD11" s="151"/>
      <c r="AE11" s="152"/>
      <c r="AG11" s="149" t="s">
        <v>258</v>
      </c>
      <c r="AH11" s="149"/>
      <c r="AI11" s="149"/>
      <c r="AJ11" s="149"/>
      <c r="AK11" s="199"/>
      <c r="AL11" s="149"/>
      <c r="AM11" s="149"/>
      <c r="AN11" s="149"/>
      <c r="AO11" s="199"/>
      <c r="AP11" s="149"/>
      <c r="AQ11" s="149"/>
      <c r="AR11" s="149"/>
      <c r="AS11" s="199"/>
      <c r="AT11" s="149"/>
      <c r="AU11" s="149"/>
      <c r="AV11" s="149"/>
      <c r="AW11" s="199"/>
      <c r="AX11" s="190">
        <f t="shared" ref="AX11:AX31" si="1">AH11+AI11+AJ11+AL11+AM11+AN11+AP11+AQ11+AR11+AT11+AU11+AV11</f>
        <v>0</v>
      </c>
      <c r="AY11" s="156">
        <f>+AK11+AO11+AS11+AW11</f>
        <v>0</v>
      </c>
      <c r="AZ11" s="151"/>
      <c r="BA11" s="151"/>
      <c r="BB11" s="151"/>
      <c r="BC11" s="151"/>
      <c r="BD11" s="151"/>
      <c r="BE11" s="151"/>
      <c r="BF11" s="151"/>
      <c r="BG11" s="151"/>
      <c r="BH11" s="151"/>
      <c r="BI11" s="151"/>
      <c r="BJ11" s="151"/>
      <c r="BK11" s="152"/>
    </row>
    <row r="12" spans="1:63" x14ac:dyDescent="0.25">
      <c r="A12" s="149" t="s">
        <v>259</v>
      </c>
      <c r="B12" s="149"/>
      <c r="C12" s="149"/>
      <c r="D12" s="149">
        <v>3</v>
      </c>
      <c r="E12" s="199"/>
      <c r="F12" s="149"/>
      <c r="G12" s="149"/>
      <c r="H12" s="149"/>
      <c r="I12" s="199"/>
      <c r="J12" s="149"/>
      <c r="K12" s="149"/>
      <c r="L12" s="149"/>
      <c r="M12" s="199"/>
      <c r="N12" s="149"/>
      <c r="O12" s="149"/>
      <c r="P12" s="149"/>
      <c r="Q12" s="199"/>
      <c r="R12" s="190">
        <f t="shared" si="0"/>
        <v>3</v>
      </c>
      <c r="S12" s="156">
        <f t="shared" ref="S12:S31" si="2">+E12+I12+M12+Q12</f>
        <v>0</v>
      </c>
      <c r="T12" s="189"/>
      <c r="U12" s="189"/>
      <c r="V12" s="189"/>
      <c r="W12" s="189"/>
      <c r="X12" s="189"/>
      <c r="Y12" s="151"/>
      <c r="Z12" s="151"/>
      <c r="AA12" s="151"/>
      <c r="AB12" s="151"/>
      <c r="AC12" s="151"/>
      <c r="AD12" s="151"/>
      <c r="AE12" s="151"/>
      <c r="AG12" s="149" t="s">
        <v>259</v>
      </c>
      <c r="AH12" s="149"/>
      <c r="AI12" s="149"/>
      <c r="AJ12" s="149"/>
      <c r="AK12" s="199"/>
      <c r="AL12" s="149"/>
      <c r="AM12" s="149"/>
      <c r="AN12" s="149"/>
      <c r="AO12" s="199"/>
      <c r="AP12" s="149"/>
      <c r="AQ12" s="149"/>
      <c r="AR12" s="149"/>
      <c r="AS12" s="199"/>
      <c r="AT12" s="149"/>
      <c r="AU12" s="149"/>
      <c r="AV12" s="149"/>
      <c r="AW12" s="199"/>
      <c r="AX12" s="190">
        <f t="shared" si="1"/>
        <v>0</v>
      </c>
      <c r="AY12" s="156">
        <f t="shared" ref="AY12:AY31" si="3">+AK12+AO12+AS12+AW12</f>
        <v>0</v>
      </c>
      <c r="AZ12" s="151"/>
      <c r="BA12" s="151"/>
      <c r="BB12" s="151"/>
      <c r="BC12" s="151"/>
      <c r="BD12" s="151"/>
      <c r="BE12" s="151"/>
      <c r="BF12" s="151"/>
      <c r="BG12" s="151"/>
      <c r="BH12" s="151"/>
      <c r="BI12" s="151"/>
      <c r="BJ12" s="151"/>
      <c r="BK12" s="151"/>
    </row>
    <row r="13" spans="1:63" x14ac:dyDescent="0.25">
      <c r="A13" s="149" t="s">
        <v>260</v>
      </c>
      <c r="B13" s="149"/>
      <c r="C13" s="149"/>
      <c r="D13" s="149">
        <v>8</v>
      </c>
      <c r="E13" s="199"/>
      <c r="F13" s="149"/>
      <c r="G13" s="149"/>
      <c r="H13" s="149"/>
      <c r="I13" s="199"/>
      <c r="J13" s="149"/>
      <c r="K13" s="149"/>
      <c r="L13" s="149"/>
      <c r="M13" s="199"/>
      <c r="N13" s="149"/>
      <c r="O13" s="149"/>
      <c r="P13" s="149"/>
      <c r="Q13" s="199"/>
      <c r="R13" s="190">
        <f t="shared" si="0"/>
        <v>8</v>
      </c>
      <c r="S13" s="156">
        <f t="shared" si="2"/>
        <v>0</v>
      </c>
      <c r="T13" s="189"/>
      <c r="U13" s="189"/>
      <c r="V13" s="189"/>
      <c r="W13" s="189"/>
      <c r="X13" s="189"/>
      <c r="Y13" s="151"/>
      <c r="Z13" s="151"/>
      <c r="AA13" s="151"/>
      <c r="AB13" s="151"/>
      <c r="AC13" s="151"/>
      <c r="AD13" s="151"/>
      <c r="AE13" s="151"/>
      <c r="AG13" s="149" t="s">
        <v>260</v>
      </c>
      <c r="AH13" s="149"/>
      <c r="AI13" s="149"/>
      <c r="AJ13" s="149"/>
      <c r="AK13" s="199"/>
      <c r="AL13" s="149"/>
      <c r="AM13" s="149"/>
      <c r="AN13" s="149"/>
      <c r="AO13" s="199"/>
      <c r="AP13" s="149"/>
      <c r="AQ13" s="149"/>
      <c r="AR13" s="149"/>
      <c r="AS13" s="199"/>
      <c r="AT13" s="149"/>
      <c r="AU13" s="149"/>
      <c r="AV13" s="149"/>
      <c r="AW13" s="199"/>
      <c r="AX13" s="190">
        <f t="shared" si="1"/>
        <v>0</v>
      </c>
      <c r="AY13" s="156">
        <f t="shared" si="3"/>
        <v>0</v>
      </c>
      <c r="AZ13" s="151"/>
      <c r="BA13" s="151"/>
      <c r="BB13" s="151"/>
      <c r="BC13" s="151"/>
      <c r="BD13" s="151"/>
      <c r="BE13" s="151"/>
      <c r="BF13" s="151"/>
      <c r="BG13" s="151"/>
      <c r="BH13" s="151"/>
      <c r="BI13" s="151"/>
      <c r="BJ13" s="151"/>
      <c r="BK13" s="151"/>
    </row>
    <row r="14" spans="1:63" x14ac:dyDescent="0.25">
      <c r="A14" s="149" t="s">
        <v>261</v>
      </c>
      <c r="B14" s="149"/>
      <c r="C14" s="149"/>
      <c r="D14" s="149"/>
      <c r="E14" s="199"/>
      <c r="F14" s="149"/>
      <c r="G14" s="149"/>
      <c r="H14" s="149"/>
      <c r="I14" s="199"/>
      <c r="J14" s="149"/>
      <c r="K14" s="149"/>
      <c r="L14" s="149"/>
      <c r="M14" s="199"/>
      <c r="N14" s="149"/>
      <c r="O14" s="149"/>
      <c r="P14" s="149"/>
      <c r="Q14" s="199"/>
      <c r="R14" s="190">
        <f t="shared" si="0"/>
        <v>0</v>
      </c>
      <c r="S14" s="156">
        <f t="shared" si="2"/>
        <v>0</v>
      </c>
      <c r="T14" s="189"/>
      <c r="U14" s="189"/>
      <c r="V14" s="189"/>
      <c r="W14" s="189"/>
      <c r="X14" s="189"/>
      <c r="Y14" s="151"/>
      <c r="Z14" s="151"/>
      <c r="AA14" s="151"/>
      <c r="AB14" s="151"/>
      <c r="AC14" s="151"/>
      <c r="AD14" s="151"/>
      <c r="AE14" s="151"/>
      <c r="AG14" s="149" t="s">
        <v>261</v>
      </c>
      <c r="AH14" s="149"/>
      <c r="AI14" s="149"/>
      <c r="AJ14" s="149"/>
      <c r="AK14" s="199"/>
      <c r="AL14" s="149"/>
      <c r="AM14" s="149"/>
      <c r="AN14" s="149"/>
      <c r="AO14" s="199"/>
      <c r="AP14" s="149"/>
      <c r="AQ14" s="149"/>
      <c r="AR14" s="149"/>
      <c r="AS14" s="199"/>
      <c r="AT14" s="149"/>
      <c r="AU14" s="149"/>
      <c r="AV14" s="149"/>
      <c r="AW14" s="199"/>
      <c r="AX14" s="190">
        <f t="shared" si="1"/>
        <v>0</v>
      </c>
      <c r="AY14" s="156">
        <f t="shared" si="3"/>
        <v>0</v>
      </c>
      <c r="AZ14" s="151"/>
      <c r="BA14" s="151"/>
      <c r="BB14" s="151"/>
      <c r="BC14" s="151"/>
      <c r="BD14" s="151"/>
      <c r="BE14" s="151"/>
      <c r="BF14" s="151"/>
      <c r="BG14" s="151"/>
      <c r="BH14" s="151"/>
      <c r="BI14" s="151"/>
      <c r="BJ14" s="151"/>
      <c r="BK14" s="151"/>
    </row>
    <row r="15" spans="1:63" x14ac:dyDescent="0.25">
      <c r="A15" s="149" t="s">
        <v>262</v>
      </c>
      <c r="B15" s="149"/>
      <c r="C15" s="149"/>
      <c r="D15" s="149"/>
      <c r="E15" s="199"/>
      <c r="F15" s="149"/>
      <c r="G15" s="149"/>
      <c r="H15" s="149"/>
      <c r="I15" s="199"/>
      <c r="J15" s="149"/>
      <c r="K15" s="149"/>
      <c r="L15" s="149"/>
      <c r="M15" s="199"/>
      <c r="N15" s="149"/>
      <c r="O15" s="149"/>
      <c r="P15" s="149"/>
      <c r="Q15" s="199"/>
      <c r="R15" s="190">
        <f t="shared" si="0"/>
        <v>0</v>
      </c>
      <c r="S15" s="156">
        <f t="shared" si="2"/>
        <v>0</v>
      </c>
      <c r="T15" s="189"/>
      <c r="U15" s="189"/>
      <c r="V15" s="189"/>
      <c r="W15" s="189"/>
      <c r="X15" s="189"/>
      <c r="Y15" s="151"/>
      <c r="Z15" s="151"/>
      <c r="AA15" s="151"/>
      <c r="AB15" s="151"/>
      <c r="AC15" s="151"/>
      <c r="AD15" s="151"/>
      <c r="AE15" s="151"/>
      <c r="AG15" s="149" t="s">
        <v>262</v>
      </c>
      <c r="AH15" s="149"/>
      <c r="AI15" s="149"/>
      <c r="AJ15" s="149"/>
      <c r="AK15" s="199"/>
      <c r="AL15" s="149"/>
      <c r="AM15" s="149"/>
      <c r="AN15" s="149"/>
      <c r="AO15" s="199"/>
      <c r="AP15" s="149"/>
      <c r="AQ15" s="149"/>
      <c r="AR15" s="149"/>
      <c r="AS15" s="199"/>
      <c r="AT15" s="149"/>
      <c r="AU15" s="149"/>
      <c r="AV15" s="149"/>
      <c r="AW15" s="199"/>
      <c r="AX15" s="190">
        <f t="shared" si="1"/>
        <v>0</v>
      </c>
      <c r="AY15" s="156">
        <f t="shared" si="3"/>
        <v>0</v>
      </c>
      <c r="AZ15" s="151"/>
      <c r="BA15" s="151"/>
      <c r="BB15" s="151"/>
      <c r="BC15" s="151"/>
      <c r="BD15" s="151"/>
      <c r="BE15" s="151"/>
      <c r="BF15" s="151"/>
      <c r="BG15" s="151"/>
      <c r="BH15" s="151"/>
      <c r="BI15" s="151"/>
      <c r="BJ15" s="151"/>
      <c r="BK15" s="151"/>
    </row>
    <row r="16" spans="1:63" x14ac:dyDescent="0.25">
      <c r="A16" s="149" t="s">
        <v>263</v>
      </c>
      <c r="B16" s="149"/>
      <c r="C16" s="149"/>
      <c r="D16" s="149">
        <v>16</v>
      </c>
      <c r="E16" s="199"/>
      <c r="F16" s="149"/>
      <c r="G16" s="149"/>
      <c r="H16" s="149"/>
      <c r="I16" s="199"/>
      <c r="J16" s="149"/>
      <c r="K16" s="149"/>
      <c r="L16" s="149"/>
      <c r="M16" s="199"/>
      <c r="N16" s="149"/>
      <c r="O16" s="149"/>
      <c r="P16" s="149"/>
      <c r="Q16" s="199"/>
      <c r="R16" s="190">
        <f t="shared" si="0"/>
        <v>16</v>
      </c>
      <c r="S16" s="156">
        <f t="shared" si="2"/>
        <v>0</v>
      </c>
      <c r="T16" s="189"/>
      <c r="U16" s="189"/>
      <c r="V16" s="189"/>
      <c r="W16" s="189"/>
      <c r="X16" s="189"/>
      <c r="Y16" s="151"/>
      <c r="Z16" s="151"/>
      <c r="AA16" s="151"/>
      <c r="AB16" s="151"/>
      <c r="AC16" s="151"/>
      <c r="AD16" s="151"/>
      <c r="AE16" s="151"/>
      <c r="AG16" s="149" t="s">
        <v>263</v>
      </c>
      <c r="AH16" s="149"/>
      <c r="AI16" s="149"/>
      <c r="AJ16" s="149"/>
      <c r="AK16" s="199"/>
      <c r="AL16" s="149"/>
      <c r="AM16" s="149"/>
      <c r="AN16" s="149"/>
      <c r="AO16" s="199"/>
      <c r="AP16" s="149"/>
      <c r="AQ16" s="149"/>
      <c r="AR16" s="149"/>
      <c r="AS16" s="199"/>
      <c r="AT16" s="149"/>
      <c r="AU16" s="149"/>
      <c r="AV16" s="149"/>
      <c r="AW16" s="199"/>
      <c r="AX16" s="190">
        <f t="shared" si="1"/>
        <v>0</v>
      </c>
      <c r="AY16" s="156">
        <f t="shared" si="3"/>
        <v>0</v>
      </c>
      <c r="AZ16" s="151"/>
      <c r="BA16" s="151"/>
      <c r="BB16" s="151"/>
      <c r="BC16" s="151"/>
      <c r="BD16" s="151"/>
      <c r="BE16" s="151"/>
      <c r="BF16" s="151"/>
      <c r="BG16" s="151"/>
      <c r="BH16" s="151"/>
      <c r="BI16" s="151"/>
      <c r="BJ16" s="151"/>
      <c r="BK16" s="151"/>
    </row>
    <row r="17" spans="1:63" x14ac:dyDescent="0.25">
      <c r="A17" s="149" t="s">
        <v>264</v>
      </c>
      <c r="B17" s="149"/>
      <c r="C17" s="149"/>
      <c r="D17" s="149"/>
      <c r="E17" s="199"/>
      <c r="F17" s="149"/>
      <c r="G17" s="149"/>
      <c r="H17" s="149"/>
      <c r="I17" s="199"/>
      <c r="J17" s="149"/>
      <c r="K17" s="149"/>
      <c r="L17" s="149"/>
      <c r="M17" s="199"/>
      <c r="N17" s="149"/>
      <c r="O17" s="149"/>
      <c r="P17" s="149"/>
      <c r="Q17" s="199"/>
      <c r="R17" s="190">
        <f t="shared" si="0"/>
        <v>0</v>
      </c>
      <c r="S17" s="156">
        <f t="shared" si="2"/>
        <v>0</v>
      </c>
      <c r="T17" s="189"/>
      <c r="U17" s="189"/>
      <c r="V17" s="189"/>
      <c r="W17" s="189"/>
      <c r="X17" s="189"/>
      <c r="Y17" s="151"/>
      <c r="Z17" s="151"/>
      <c r="AA17" s="151"/>
      <c r="AB17" s="151"/>
      <c r="AC17" s="151"/>
      <c r="AD17" s="151"/>
      <c r="AE17" s="151"/>
      <c r="AG17" s="149" t="s">
        <v>264</v>
      </c>
      <c r="AH17" s="149"/>
      <c r="AI17" s="149"/>
      <c r="AJ17" s="149"/>
      <c r="AK17" s="199"/>
      <c r="AL17" s="149"/>
      <c r="AM17" s="149"/>
      <c r="AN17" s="149"/>
      <c r="AO17" s="199"/>
      <c r="AP17" s="149"/>
      <c r="AQ17" s="149"/>
      <c r="AR17" s="149"/>
      <c r="AS17" s="199"/>
      <c r="AT17" s="149"/>
      <c r="AU17" s="149"/>
      <c r="AV17" s="149"/>
      <c r="AW17" s="199"/>
      <c r="AX17" s="190">
        <f t="shared" si="1"/>
        <v>0</v>
      </c>
      <c r="AY17" s="156">
        <f t="shared" si="3"/>
        <v>0</v>
      </c>
      <c r="AZ17" s="151"/>
      <c r="BA17" s="151"/>
      <c r="BB17" s="151"/>
      <c r="BC17" s="151"/>
      <c r="BD17" s="151"/>
      <c r="BE17" s="151"/>
      <c r="BF17" s="151"/>
      <c r="BG17" s="151"/>
      <c r="BH17" s="151"/>
      <c r="BI17" s="151"/>
      <c r="BJ17" s="151"/>
      <c r="BK17" s="151"/>
    </row>
    <row r="18" spans="1:63" x14ac:dyDescent="0.25">
      <c r="A18" s="149" t="s">
        <v>265</v>
      </c>
      <c r="B18" s="149"/>
      <c r="C18" s="149"/>
      <c r="D18" s="149">
        <v>10</v>
      </c>
      <c r="E18" s="199"/>
      <c r="F18" s="149"/>
      <c r="G18" s="149"/>
      <c r="H18" s="149"/>
      <c r="I18" s="199"/>
      <c r="J18" s="149"/>
      <c r="K18" s="149"/>
      <c r="L18" s="149"/>
      <c r="M18" s="199"/>
      <c r="N18" s="149"/>
      <c r="O18" s="149"/>
      <c r="P18" s="149"/>
      <c r="Q18" s="199"/>
      <c r="R18" s="190">
        <f t="shared" si="0"/>
        <v>10</v>
      </c>
      <c r="S18" s="156">
        <f t="shared" si="2"/>
        <v>0</v>
      </c>
      <c r="T18" s="189"/>
      <c r="U18" s="189"/>
      <c r="V18" s="189"/>
      <c r="W18" s="189"/>
      <c r="X18" s="189"/>
      <c r="Y18" s="151"/>
      <c r="Z18" s="151"/>
      <c r="AA18" s="151"/>
      <c r="AB18" s="151"/>
      <c r="AC18" s="151"/>
      <c r="AD18" s="151"/>
      <c r="AE18" s="151"/>
      <c r="AG18" s="149" t="s">
        <v>265</v>
      </c>
      <c r="AH18" s="149"/>
      <c r="AI18" s="149"/>
      <c r="AJ18" s="149"/>
      <c r="AK18" s="199"/>
      <c r="AL18" s="149"/>
      <c r="AM18" s="149"/>
      <c r="AN18" s="149"/>
      <c r="AO18" s="199"/>
      <c r="AP18" s="149"/>
      <c r="AQ18" s="149"/>
      <c r="AR18" s="149"/>
      <c r="AS18" s="199"/>
      <c r="AT18" s="149"/>
      <c r="AU18" s="149"/>
      <c r="AV18" s="149"/>
      <c r="AW18" s="199"/>
      <c r="AX18" s="190">
        <f t="shared" si="1"/>
        <v>0</v>
      </c>
      <c r="AY18" s="156">
        <f t="shared" si="3"/>
        <v>0</v>
      </c>
      <c r="AZ18" s="151"/>
      <c r="BA18" s="151"/>
      <c r="BB18" s="151"/>
      <c r="BC18" s="151"/>
      <c r="BD18" s="151"/>
      <c r="BE18" s="151"/>
      <c r="BF18" s="151"/>
      <c r="BG18" s="151"/>
      <c r="BH18" s="151"/>
      <c r="BI18" s="151"/>
      <c r="BJ18" s="151"/>
      <c r="BK18" s="151"/>
    </row>
    <row r="19" spans="1:63" x14ac:dyDescent="0.25">
      <c r="A19" s="149" t="s">
        <v>266</v>
      </c>
      <c r="B19" s="149"/>
      <c r="C19" s="149"/>
      <c r="D19" s="149">
        <v>27</v>
      </c>
      <c r="E19" s="199"/>
      <c r="F19" s="149"/>
      <c r="G19" s="149"/>
      <c r="H19" s="149"/>
      <c r="I19" s="199"/>
      <c r="J19" s="149"/>
      <c r="K19" s="149"/>
      <c r="L19" s="149"/>
      <c r="M19" s="199"/>
      <c r="N19" s="149"/>
      <c r="O19" s="149"/>
      <c r="P19" s="149"/>
      <c r="Q19" s="199"/>
      <c r="R19" s="190">
        <f t="shared" si="0"/>
        <v>27</v>
      </c>
      <c r="S19" s="156">
        <f t="shared" si="2"/>
        <v>0</v>
      </c>
      <c r="T19" s="189"/>
      <c r="U19" s="189"/>
      <c r="V19" s="189"/>
      <c r="W19" s="189"/>
      <c r="X19" s="189"/>
      <c r="Y19" s="151"/>
      <c r="Z19" s="151"/>
      <c r="AA19" s="151"/>
      <c r="AB19" s="151"/>
      <c r="AC19" s="151"/>
      <c r="AD19" s="151"/>
      <c r="AE19" s="151"/>
      <c r="AG19" s="149" t="s">
        <v>266</v>
      </c>
      <c r="AH19" s="149"/>
      <c r="AI19" s="149"/>
      <c r="AJ19" s="149"/>
      <c r="AK19" s="199"/>
      <c r="AL19" s="149"/>
      <c r="AM19" s="149"/>
      <c r="AN19" s="149"/>
      <c r="AO19" s="199"/>
      <c r="AP19" s="149"/>
      <c r="AQ19" s="149"/>
      <c r="AR19" s="149"/>
      <c r="AS19" s="199"/>
      <c r="AT19" s="149"/>
      <c r="AU19" s="149"/>
      <c r="AV19" s="149"/>
      <c r="AW19" s="199"/>
      <c r="AX19" s="190">
        <f t="shared" si="1"/>
        <v>0</v>
      </c>
      <c r="AY19" s="156">
        <f t="shared" si="3"/>
        <v>0</v>
      </c>
      <c r="AZ19" s="151"/>
      <c r="BA19" s="151"/>
      <c r="BB19" s="151"/>
      <c r="BC19" s="151"/>
      <c r="BD19" s="151"/>
      <c r="BE19" s="151"/>
      <c r="BF19" s="151"/>
      <c r="BG19" s="151"/>
      <c r="BH19" s="151"/>
      <c r="BI19" s="149"/>
      <c r="BJ19" s="149"/>
      <c r="BK19" s="149"/>
    </row>
    <row r="20" spans="1:63" x14ac:dyDescent="0.25">
      <c r="A20" s="149" t="s">
        <v>267</v>
      </c>
      <c r="B20" s="149"/>
      <c r="C20" s="149"/>
      <c r="D20" s="149">
        <v>15</v>
      </c>
      <c r="E20" s="199"/>
      <c r="F20" s="149"/>
      <c r="G20" s="149"/>
      <c r="H20" s="149"/>
      <c r="I20" s="199"/>
      <c r="J20" s="149"/>
      <c r="K20" s="149"/>
      <c r="L20" s="149"/>
      <c r="M20" s="199"/>
      <c r="N20" s="149"/>
      <c r="O20" s="149"/>
      <c r="P20" s="149"/>
      <c r="Q20" s="199"/>
      <c r="R20" s="190">
        <f t="shared" si="0"/>
        <v>15</v>
      </c>
      <c r="S20" s="156">
        <f t="shared" si="2"/>
        <v>0</v>
      </c>
      <c r="T20" s="189"/>
      <c r="U20" s="189"/>
      <c r="V20" s="189"/>
      <c r="W20" s="189"/>
      <c r="X20" s="189"/>
      <c r="Y20" s="151"/>
      <c r="Z20" s="151"/>
      <c r="AA20" s="151"/>
      <c r="AB20" s="151"/>
      <c r="AC20" s="151"/>
      <c r="AD20" s="151"/>
      <c r="AE20" s="151"/>
      <c r="AG20" s="149" t="s">
        <v>267</v>
      </c>
      <c r="AH20" s="149"/>
      <c r="AI20" s="149"/>
      <c r="AJ20" s="149"/>
      <c r="AK20" s="199"/>
      <c r="AL20" s="149"/>
      <c r="AM20" s="149"/>
      <c r="AN20" s="149"/>
      <c r="AO20" s="199"/>
      <c r="AP20" s="149"/>
      <c r="AQ20" s="149"/>
      <c r="AR20" s="149"/>
      <c r="AS20" s="199"/>
      <c r="AT20" s="149"/>
      <c r="AU20" s="149"/>
      <c r="AV20" s="149"/>
      <c r="AW20" s="199"/>
      <c r="AX20" s="190">
        <f t="shared" si="1"/>
        <v>0</v>
      </c>
      <c r="AY20" s="156">
        <f t="shared" si="3"/>
        <v>0</v>
      </c>
      <c r="AZ20" s="151"/>
      <c r="BA20" s="151"/>
      <c r="BB20" s="151"/>
      <c r="BC20" s="151"/>
      <c r="BD20" s="151"/>
      <c r="BE20" s="151"/>
      <c r="BF20" s="151"/>
      <c r="BG20" s="151"/>
      <c r="BH20" s="151"/>
      <c r="BI20" s="149"/>
      <c r="BJ20" s="149"/>
      <c r="BK20" s="149"/>
    </row>
    <row r="21" spans="1:63" x14ac:dyDescent="0.25">
      <c r="A21" s="149" t="s">
        <v>268</v>
      </c>
      <c r="B21" s="149"/>
      <c r="C21" s="149"/>
      <c r="D21" s="149">
        <v>12</v>
      </c>
      <c r="E21" s="199"/>
      <c r="F21" s="149"/>
      <c r="G21" s="149"/>
      <c r="H21" s="149"/>
      <c r="I21" s="199"/>
      <c r="J21" s="149"/>
      <c r="K21" s="149"/>
      <c r="L21" s="149"/>
      <c r="M21" s="199"/>
      <c r="N21" s="149"/>
      <c r="O21" s="149"/>
      <c r="P21" s="149"/>
      <c r="Q21" s="199"/>
      <c r="R21" s="190">
        <f t="shared" si="0"/>
        <v>12</v>
      </c>
      <c r="S21" s="156">
        <f t="shared" si="2"/>
        <v>0</v>
      </c>
      <c r="T21" s="189"/>
      <c r="U21" s="189"/>
      <c r="V21" s="189"/>
      <c r="W21" s="189"/>
      <c r="X21" s="189"/>
      <c r="Y21" s="151"/>
      <c r="Z21" s="151"/>
      <c r="AA21" s="151"/>
      <c r="AB21" s="151"/>
      <c r="AC21" s="151"/>
      <c r="AD21" s="151"/>
      <c r="AE21" s="151"/>
      <c r="AG21" s="149" t="s">
        <v>268</v>
      </c>
      <c r="AH21" s="149"/>
      <c r="AI21" s="149"/>
      <c r="AJ21" s="149"/>
      <c r="AK21" s="199"/>
      <c r="AL21" s="149"/>
      <c r="AM21" s="149"/>
      <c r="AN21" s="149"/>
      <c r="AO21" s="199"/>
      <c r="AP21" s="149"/>
      <c r="AQ21" s="149"/>
      <c r="AR21" s="149"/>
      <c r="AS21" s="199"/>
      <c r="AT21" s="149"/>
      <c r="AU21" s="149"/>
      <c r="AV21" s="149"/>
      <c r="AW21" s="199"/>
      <c r="AX21" s="190">
        <f t="shared" si="1"/>
        <v>0</v>
      </c>
      <c r="AY21" s="156">
        <f t="shared" si="3"/>
        <v>0</v>
      </c>
      <c r="AZ21" s="151"/>
      <c r="BA21" s="151"/>
      <c r="BB21" s="151"/>
      <c r="BC21" s="151"/>
      <c r="BD21" s="151"/>
      <c r="BE21" s="151"/>
      <c r="BF21" s="151"/>
      <c r="BG21" s="151"/>
      <c r="BH21" s="151"/>
      <c r="BI21" s="149"/>
      <c r="BJ21" s="149"/>
      <c r="BK21" s="149"/>
    </row>
    <row r="22" spans="1:63" x14ac:dyDescent="0.25">
      <c r="A22" s="149" t="s">
        <v>269</v>
      </c>
      <c r="B22" s="149"/>
      <c r="C22" s="149"/>
      <c r="D22" s="149">
        <v>14</v>
      </c>
      <c r="E22" s="199"/>
      <c r="F22" s="149"/>
      <c r="G22" s="149"/>
      <c r="H22" s="149"/>
      <c r="I22" s="199"/>
      <c r="J22" s="149"/>
      <c r="K22" s="149"/>
      <c r="L22" s="149"/>
      <c r="M22" s="199"/>
      <c r="N22" s="149"/>
      <c r="O22" s="149"/>
      <c r="P22" s="149"/>
      <c r="Q22" s="199"/>
      <c r="R22" s="190">
        <f t="shared" si="0"/>
        <v>14</v>
      </c>
      <c r="S22" s="156">
        <f t="shared" si="2"/>
        <v>0</v>
      </c>
      <c r="T22" s="189"/>
      <c r="U22" s="189"/>
      <c r="V22" s="189"/>
      <c r="W22" s="189"/>
      <c r="X22" s="189"/>
      <c r="Y22" s="151"/>
      <c r="Z22" s="151"/>
      <c r="AA22" s="151"/>
      <c r="AB22" s="151"/>
      <c r="AC22" s="151"/>
      <c r="AD22" s="151"/>
      <c r="AE22" s="151"/>
      <c r="AG22" s="149" t="s">
        <v>269</v>
      </c>
      <c r="AH22" s="149"/>
      <c r="AI22" s="149"/>
      <c r="AJ22" s="149"/>
      <c r="AK22" s="199"/>
      <c r="AL22" s="149"/>
      <c r="AM22" s="149"/>
      <c r="AN22" s="149"/>
      <c r="AO22" s="199"/>
      <c r="AP22" s="149"/>
      <c r="AQ22" s="149"/>
      <c r="AR22" s="149"/>
      <c r="AS22" s="199"/>
      <c r="AT22" s="149"/>
      <c r="AU22" s="149"/>
      <c r="AV22" s="149"/>
      <c r="AW22" s="199"/>
      <c r="AX22" s="190">
        <f t="shared" si="1"/>
        <v>0</v>
      </c>
      <c r="AY22" s="156">
        <f t="shared" si="3"/>
        <v>0</v>
      </c>
      <c r="AZ22" s="151"/>
      <c r="BA22" s="151"/>
      <c r="BB22" s="151"/>
      <c r="BC22" s="151"/>
      <c r="BD22" s="151"/>
      <c r="BE22" s="151"/>
      <c r="BF22" s="151"/>
      <c r="BG22" s="151"/>
      <c r="BH22" s="151"/>
      <c r="BI22" s="151"/>
      <c r="BJ22" s="151"/>
      <c r="BK22" s="151"/>
    </row>
    <row r="23" spans="1:63" x14ac:dyDescent="0.25">
      <c r="A23" s="149" t="s">
        <v>270</v>
      </c>
      <c r="B23" s="149"/>
      <c r="C23" s="149"/>
      <c r="D23" s="149">
        <v>18</v>
      </c>
      <c r="E23" s="199"/>
      <c r="F23" s="149"/>
      <c r="G23" s="149"/>
      <c r="H23" s="149"/>
      <c r="I23" s="199"/>
      <c r="J23" s="149"/>
      <c r="K23" s="149"/>
      <c r="L23" s="149"/>
      <c r="M23" s="199"/>
      <c r="N23" s="149"/>
      <c r="O23" s="149"/>
      <c r="P23" s="149"/>
      <c r="Q23" s="199"/>
      <c r="R23" s="190">
        <f t="shared" si="0"/>
        <v>18</v>
      </c>
      <c r="S23" s="156">
        <f t="shared" si="2"/>
        <v>0</v>
      </c>
      <c r="T23" s="189"/>
      <c r="U23" s="189"/>
      <c r="V23" s="189"/>
      <c r="W23" s="189"/>
      <c r="X23" s="189"/>
      <c r="Y23" s="151"/>
      <c r="Z23" s="151"/>
      <c r="AA23" s="151"/>
      <c r="AB23" s="151"/>
      <c r="AC23" s="151"/>
      <c r="AD23" s="151"/>
      <c r="AE23" s="151"/>
      <c r="AG23" s="149" t="s">
        <v>270</v>
      </c>
      <c r="AH23" s="149"/>
      <c r="AI23" s="149"/>
      <c r="AJ23" s="149"/>
      <c r="AK23" s="199"/>
      <c r="AL23" s="149"/>
      <c r="AM23" s="149"/>
      <c r="AN23" s="149"/>
      <c r="AO23" s="199"/>
      <c r="AP23" s="149"/>
      <c r="AQ23" s="149"/>
      <c r="AR23" s="149"/>
      <c r="AS23" s="199"/>
      <c r="AT23" s="149"/>
      <c r="AU23" s="149"/>
      <c r="AV23" s="149"/>
      <c r="AW23" s="199"/>
      <c r="AX23" s="190">
        <f t="shared" si="1"/>
        <v>0</v>
      </c>
      <c r="AY23" s="156">
        <f t="shared" si="3"/>
        <v>0</v>
      </c>
      <c r="AZ23" s="151"/>
      <c r="BA23" s="151"/>
      <c r="BB23" s="151"/>
      <c r="BC23" s="151"/>
      <c r="BD23" s="151"/>
      <c r="BE23" s="151"/>
      <c r="BF23" s="151"/>
      <c r="BG23" s="151"/>
      <c r="BH23" s="151"/>
      <c r="BI23" s="151"/>
      <c r="BJ23" s="151"/>
      <c r="BK23" s="151"/>
    </row>
    <row r="24" spans="1:63" x14ac:dyDescent="0.25">
      <c r="A24" s="149" t="s">
        <v>271</v>
      </c>
      <c r="B24" s="149"/>
      <c r="C24" s="149"/>
      <c r="D24" s="149"/>
      <c r="E24" s="199"/>
      <c r="F24" s="149"/>
      <c r="G24" s="149"/>
      <c r="H24" s="149"/>
      <c r="I24" s="199"/>
      <c r="J24" s="149"/>
      <c r="K24" s="149"/>
      <c r="L24" s="149"/>
      <c r="M24" s="199"/>
      <c r="N24" s="149"/>
      <c r="O24" s="149"/>
      <c r="P24" s="149"/>
      <c r="Q24" s="199"/>
      <c r="R24" s="190">
        <f t="shared" si="0"/>
        <v>0</v>
      </c>
      <c r="S24" s="156">
        <f t="shared" si="2"/>
        <v>0</v>
      </c>
      <c r="T24" s="189"/>
      <c r="U24" s="189"/>
      <c r="V24" s="189"/>
      <c r="W24" s="189"/>
      <c r="X24" s="189"/>
      <c r="Y24" s="151"/>
      <c r="Z24" s="151"/>
      <c r="AA24" s="151"/>
      <c r="AB24" s="151"/>
      <c r="AC24" s="151"/>
      <c r="AD24" s="151"/>
      <c r="AE24" s="151"/>
      <c r="AG24" s="149" t="s">
        <v>271</v>
      </c>
      <c r="AH24" s="149"/>
      <c r="AI24" s="149"/>
      <c r="AJ24" s="149"/>
      <c r="AK24" s="199"/>
      <c r="AL24" s="149"/>
      <c r="AM24" s="149"/>
      <c r="AN24" s="149"/>
      <c r="AO24" s="199"/>
      <c r="AP24" s="149"/>
      <c r="AQ24" s="149"/>
      <c r="AR24" s="149"/>
      <c r="AS24" s="199"/>
      <c r="AT24" s="149"/>
      <c r="AU24" s="149"/>
      <c r="AV24" s="149"/>
      <c r="AW24" s="199"/>
      <c r="AX24" s="190">
        <f t="shared" si="1"/>
        <v>0</v>
      </c>
      <c r="AY24" s="156">
        <f t="shared" si="3"/>
        <v>0</v>
      </c>
      <c r="AZ24" s="151"/>
      <c r="BA24" s="151"/>
      <c r="BB24" s="151"/>
      <c r="BC24" s="151"/>
      <c r="BD24" s="151"/>
      <c r="BE24" s="151"/>
      <c r="BF24" s="151"/>
      <c r="BG24" s="151"/>
      <c r="BH24" s="151"/>
      <c r="BI24" s="151"/>
      <c r="BJ24" s="151"/>
      <c r="BK24" s="151"/>
    </row>
    <row r="25" spans="1:63" x14ac:dyDescent="0.25">
      <c r="A25" s="149" t="s">
        <v>272</v>
      </c>
      <c r="B25" s="149"/>
      <c r="C25" s="149"/>
      <c r="D25" s="149">
        <v>15</v>
      </c>
      <c r="E25" s="199"/>
      <c r="F25" s="149"/>
      <c r="G25" s="149"/>
      <c r="H25" s="149"/>
      <c r="I25" s="199"/>
      <c r="J25" s="149"/>
      <c r="K25" s="149"/>
      <c r="L25" s="149"/>
      <c r="M25" s="199"/>
      <c r="N25" s="149"/>
      <c r="O25" s="149"/>
      <c r="P25" s="149"/>
      <c r="Q25" s="199"/>
      <c r="R25" s="190">
        <f t="shared" si="0"/>
        <v>15</v>
      </c>
      <c r="S25" s="156">
        <f t="shared" si="2"/>
        <v>0</v>
      </c>
      <c r="T25" s="189"/>
      <c r="U25" s="189"/>
      <c r="V25" s="189"/>
      <c r="W25" s="189"/>
      <c r="X25" s="189"/>
      <c r="Y25" s="151"/>
      <c r="Z25" s="151"/>
      <c r="AA25" s="151"/>
      <c r="AB25" s="151"/>
      <c r="AC25" s="151"/>
      <c r="AD25" s="151"/>
      <c r="AE25" s="151"/>
      <c r="AG25" s="149" t="s">
        <v>272</v>
      </c>
      <c r="AH25" s="149"/>
      <c r="AI25" s="149"/>
      <c r="AJ25" s="149"/>
      <c r="AK25" s="199"/>
      <c r="AL25" s="149"/>
      <c r="AM25" s="149"/>
      <c r="AN25" s="149"/>
      <c r="AO25" s="199"/>
      <c r="AP25" s="149"/>
      <c r="AQ25" s="149"/>
      <c r="AR25" s="149"/>
      <c r="AS25" s="199"/>
      <c r="AT25" s="149"/>
      <c r="AU25" s="149"/>
      <c r="AV25" s="149"/>
      <c r="AW25" s="199"/>
      <c r="AX25" s="190">
        <f t="shared" si="1"/>
        <v>0</v>
      </c>
      <c r="AY25" s="156">
        <f t="shared" si="3"/>
        <v>0</v>
      </c>
      <c r="AZ25" s="151"/>
      <c r="BA25" s="151"/>
      <c r="BB25" s="151"/>
      <c r="BC25" s="151"/>
      <c r="BD25" s="151"/>
      <c r="BE25" s="151"/>
      <c r="BF25" s="151"/>
      <c r="BG25" s="151"/>
      <c r="BH25" s="151"/>
      <c r="BI25" s="151"/>
      <c r="BJ25" s="151"/>
      <c r="BK25" s="151"/>
    </row>
    <row r="26" spans="1:63" x14ac:dyDescent="0.25">
      <c r="A26" s="149" t="s">
        <v>273</v>
      </c>
      <c r="B26" s="149"/>
      <c r="C26" s="149"/>
      <c r="D26" s="149">
        <v>24</v>
      </c>
      <c r="E26" s="199"/>
      <c r="F26" s="149"/>
      <c r="G26" s="149"/>
      <c r="H26" s="149"/>
      <c r="I26" s="199"/>
      <c r="J26" s="149"/>
      <c r="K26" s="149"/>
      <c r="L26" s="149"/>
      <c r="M26" s="199"/>
      <c r="N26" s="149"/>
      <c r="O26" s="149"/>
      <c r="P26" s="149"/>
      <c r="Q26" s="199"/>
      <c r="R26" s="190">
        <f t="shared" si="0"/>
        <v>24</v>
      </c>
      <c r="S26" s="156">
        <f t="shared" si="2"/>
        <v>0</v>
      </c>
      <c r="T26" s="189"/>
      <c r="U26" s="189"/>
      <c r="V26" s="189"/>
      <c r="W26" s="189"/>
      <c r="X26" s="189"/>
      <c r="Y26" s="151"/>
      <c r="Z26" s="151"/>
      <c r="AA26" s="151"/>
      <c r="AB26" s="151"/>
      <c r="AC26" s="151"/>
      <c r="AD26" s="151"/>
      <c r="AE26" s="151"/>
      <c r="AG26" s="149" t="s">
        <v>273</v>
      </c>
      <c r="AH26" s="149"/>
      <c r="AI26" s="149"/>
      <c r="AJ26" s="149"/>
      <c r="AK26" s="199"/>
      <c r="AL26" s="149"/>
      <c r="AM26" s="149"/>
      <c r="AN26" s="149"/>
      <c r="AO26" s="199"/>
      <c r="AP26" s="149"/>
      <c r="AQ26" s="149"/>
      <c r="AR26" s="149"/>
      <c r="AS26" s="199"/>
      <c r="AT26" s="149"/>
      <c r="AU26" s="149"/>
      <c r="AV26" s="149"/>
      <c r="AW26" s="199"/>
      <c r="AX26" s="190">
        <f t="shared" si="1"/>
        <v>0</v>
      </c>
      <c r="AY26" s="156">
        <f t="shared" si="3"/>
        <v>0</v>
      </c>
      <c r="AZ26" s="151"/>
      <c r="BA26" s="151"/>
      <c r="BB26" s="151"/>
      <c r="BC26" s="151"/>
      <c r="BD26" s="151"/>
      <c r="BE26" s="151"/>
      <c r="BF26" s="151"/>
      <c r="BG26" s="151"/>
      <c r="BH26" s="151"/>
      <c r="BI26" s="151"/>
      <c r="BJ26" s="151"/>
      <c r="BK26" s="151"/>
    </row>
    <row r="27" spans="1:63" x14ac:dyDescent="0.25">
      <c r="A27" s="149" t="s">
        <v>274</v>
      </c>
      <c r="B27" s="149"/>
      <c r="C27" s="149"/>
      <c r="D27" s="149"/>
      <c r="E27" s="199"/>
      <c r="F27" s="149"/>
      <c r="G27" s="149"/>
      <c r="H27" s="149"/>
      <c r="I27" s="199"/>
      <c r="J27" s="149"/>
      <c r="K27" s="149"/>
      <c r="L27" s="149"/>
      <c r="M27" s="199"/>
      <c r="N27" s="149"/>
      <c r="O27" s="149"/>
      <c r="P27" s="149"/>
      <c r="Q27" s="199"/>
      <c r="R27" s="190">
        <f t="shared" si="0"/>
        <v>0</v>
      </c>
      <c r="S27" s="156">
        <f t="shared" si="2"/>
        <v>0</v>
      </c>
      <c r="T27" s="189"/>
      <c r="U27" s="189"/>
      <c r="V27" s="189"/>
      <c r="W27" s="189"/>
      <c r="X27" s="189"/>
      <c r="Y27" s="151"/>
      <c r="Z27" s="151"/>
      <c r="AA27" s="151"/>
      <c r="AB27" s="151"/>
      <c r="AC27" s="151"/>
      <c r="AD27" s="151"/>
      <c r="AE27" s="151"/>
      <c r="AG27" s="149" t="s">
        <v>274</v>
      </c>
      <c r="AH27" s="149"/>
      <c r="AI27" s="149"/>
      <c r="AJ27" s="149"/>
      <c r="AK27" s="199"/>
      <c r="AL27" s="149"/>
      <c r="AM27" s="149"/>
      <c r="AN27" s="149"/>
      <c r="AO27" s="199"/>
      <c r="AP27" s="149"/>
      <c r="AQ27" s="149"/>
      <c r="AR27" s="149"/>
      <c r="AS27" s="199"/>
      <c r="AT27" s="149"/>
      <c r="AU27" s="149"/>
      <c r="AV27" s="149"/>
      <c r="AW27" s="199"/>
      <c r="AX27" s="190">
        <f t="shared" si="1"/>
        <v>0</v>
      </c>
      <c r="AY27" s="156">
        <f t="shared" si="3"/>
        <v>0</v>
      </c>
      <c r="AZ27" s="151"/>
      <c r="BA27" s="151"/>
      <c r="BB27" s="151"/>
      <c r="BC27" s="151"/>
      <c r="BD27" s="151"/>
      <c r="BE27" s="151"/>
      <c r="BF27" s="151"/>
      <c r="BG27" s="151"/>
      <c r="BH27" s="151"/>
      <c r="BI27" s="151"/>
      <c r="BJ27" s="151"/>
      <c r="BK27" s="151"/>
    </row>
    <row r="28" spans="1:63" x14ac:dyDescent="0.25">
      <c r="A28" s="149" t="s">
        <v>275</v>
      </c>
      <c r="B28" s="149"/>
      <c r="C28" s="149"/>
      <c r="D28" s="149">
        <v>6</v>
      </c>
      <c r="E28" s="199"/>
      <c r="F28" s="149"/>
      <c r="G28" s="149"/>
      <c r="H28" s="149"/>
      <c r="I28" s="199"/>
      <c r="J28" s="149"/>
      <c r="K28" s="149"/>
      <c r="L28" s="149"/>
      <c r="M28" s="199"/>
      <c r="N28" s="149"/>
      <c r="O28" s="149"/>
      <c r="P28" s="149"/>
      <c r="Q28" s="199"/>
      <c r="R28" s="190">
        <f t="shared" si="0"/>
        <v>6</v>
      </c>
      <c r="S28" s="156">
        <f t="shared" si="2"/>
        <v>0</v>
      </c>
      <c r="T28" s="189"/>
      <c r="U28" s="189"/>
      <c r="V28" s="189"/>
      <c r="W28" s="189"/>
      <c r="X28" s="189"/>
      <c r="Y28" s="151"/>
      <c r="Z28" s="151"/>
      <c r="AA28" s="151"/>
      <c r="AB28" s="151"/>
      <c r="AC28" s="151"/>
      <c r="AD28" s="151"/>
      <c r="AE28" s="151"/>
      <c r="AG28" s="149" t="s">
        <v>275</v>
      </c>
      <c r="AH28" s="149"/>
      <c r="AI28" s="149"/>
      <c r="AJ28" s="149"/>
      <c r="AK28" s="199"/>
      <c r="AL28" s="149"/>
      <c r="AM28" s="149"/>
      <c r="AN28" s="149"/>
      <c r="AO28" s="199"/>
      <c r="AP28" s="149"/>
      <c r="AQ28" s="149"/>
      <c r="AR28" s="149"/>
      <c r="AS28" s="199"/>
      <c r="AT28" s="149"/>
      <c r="AU28" s="149"/>
      <c r="AV28" s="149"/>
      <c r="AW28" s="199"/>
      <c r="AX28" s="190">
        <f t="shared" si="1"/>
        <v>0</v>
      </c>
      <c r="AY28" s="156">
        <f t="shared" si="3"/>
        <v>0</v>
      </c>
      <c r="AZ28" s="151"/>
      <c r="BA28" s="151"/>
      <c r="BB28" s="151"/>
      <c r="BC28" s="151"/>
      <c r="BD28" s="151"/>
      <c r="BE28" s="151"/>
      <c r="BF28" s="151"/>
      <c r="BG28" s="151"/>
      <c r="BH28" s="151"/>
      <c r="BI28" s="151"/>
      <c r="BJ28" s="151"/>
      <c r="BK28" s="151"/>
    </row>
    <row r="29" spans="1:63" x14ac:dyDescent="0.25">
      <c r="A29" s="149" t="s">
        <v>276</v>
      </c>
      <c r="B29" s="149"/>
      <c r="C29" s="149"/>
      <c r="D29" s="149"/>
      <c r="E29" s="199"/>
      <c r="F29" s="149"/>
      <c r="G29" s="149"/>
      <c r="H29" s="149"/>
      <c r="I29" s="199"/>
      <c r="J29" s="149"/>
      <c r="K29" s="149"/>
      <c r="L29" s="149"/>
      <c r="M29" s="199"/>
      <c r="N29" s="149"/>
      <c r="O29" s="149"/>
      <c r="P29" s="149"/>
      <c r="Q29" s="199"/>
      <c r="R29" s="190">
        <f t="shared" si="0"/>
        <v>0</v>
      </c>
      <c r="S29" s="156">
        <f t="shared" si="2"/>
        <v>0</v>
      </c>
      <c r="T29" s="189"/>
      <c r="U29" s="189"/>
      <c r="V29" s="189"/>
      <c r="W29" s="189"/>
      <c r="X29" s="189"/>
      <c r="Y29" s="151"/>
      <c r="Z29" s="151"/>
      <c r="AA29" s="151"/>
      <c r="AB29" s="151"/>
      <c r="AC29" s="151"/>
      <c r="AD29" s="151"/>
      <c r="AE29" s="151"/>
      <c r="AG29" s="149" t="s">
        <v>276</v>
      </c>
      <c r="AH29" s="149"/>
      <c r="AI29" s="149"/>
      <c r="AJ29" s="149"/>
      <c r="AK29" s="199"/>
      <c r="AL29" s="149"/>
      <c r="AM29" s="149"/>
      <c r="AN29" s="149"/>
      <c r="AO29" s="199"/>
      <c r="AP29" s="149"/>
      <c r="AQ29" s="149"/>
      <c r="AR29" s="149"/>
      <c r="AS29" s="199"/>
      <c r="AT29" s="149"/>
      <c r="AU29" s="149"/>
      <c r="AV29" s="149"/>
      <c r="AW29" s="199"/>
      <c r="AX29" s="190">
        <f t="shared" si="1"/>
        <v>0</v>
      </c>
      <c r="AY29" s="156">
        <f t="shared" si="3"/>
        <v>0</v>
      </c>
      <c r="AZ29" s="151"/>
      <c r="BA29" s="151"/>
      <c r="BB29" s="151"/>
      <c r="BC29" s="151"/>
      <c r="BD29" s="151"/>
      <c r="BE29" s="151"/>
      <c r="BF29" s="151"/>
      <c r="BG29" s="151"/>
      <c r="BH29" s="151"/>
      <c r="BI29" s="151"/>
      <c r="BJ29" s="151"/>
      <c r="BK29" s="151"/>
    </row>
    <row r="30" spans="1:63" x14ac:dyDescent="0.25">
      <c r="A30" s="149" t="s">
        <v>277</v>
      </c>
      <c r="B30" s="149"/>
      <c r="C30" s="149"/>
      <c r="D30" s="149">
        <v>15</v>
      </c>
      <c r="E30" s="199"/>
      <c r="F30" s="149"/>
      <c r="G30" s="149"/>
      <c r="H30" s="149"/>
      <c r="I30" s="199"/>
      <c r="J30" s="149"/>
      <c r="K30" s="149"/>
      <c r="L30" s="149"/>
      <c r="M30" s="199"/>
      <c r="N30" s="149"/>
      <c r="O30" s="149"/>
      <c r="P30" s="149"/>
      <c r="Q30" s="199"/>
      <c r="R30" s="190">
        <f t="shared" si="0"/>
        <v>15</v>
      </c>
      <c r="S30" s="156">
        <f t="shared" si="2"/>
        <v>0</v>
      </c>
      <c r="T30" s="189"/>
      <c r="U30" s="189"/>
      <c r="V30" s="189"/>
      <c r="W30" s="189"/>
      <c r="X30" s="189"/>
      <c r="Y30" s="151"/>
      <c r="Z30" s="151"/>
      <c r="AA30" s="151"/>
      <c r="AB30" s="151"/>
      <c r="AC30" s="151"/>
      <c r="AD30" s="151"/>
      <c r="AE30" s="151"/>
      <c r="AG30" s="149" t="s">
        <v>277</v>
      </c>
      <c r="AH30" s="149"/>
      <c r="AI30" s="149"/>
      <c r="AJ30" s="149"/>
      <c r="AK30" s="199"/>
      <c r="AL30" s="149"/>
      <c r="AM30" s="149"/>
      <c r="AN30" s="149"/>
      <c r="AO30" s="199"/>
      <c r="AP30" s="149"/>
      <c r="AQ30" s="149"/>
      <c r="AR30" s="149"/>
      <c r="AS30" s="199"/>
      <c r="AT30" s="149"/>
      <c r="AU30" s="149"/>
      <c r="AV30" s="149"/>
      <c r="AW30" s="199"/>
      <c r="AX30" s="190">
        <f t="shared" si="1"/>
        <v>0</v>
      </c>
      <c r="AY30" s="156">
        <f t="shared" si="3"/>
        <v>0</v>
      </c>
      <c r="AZ30" s="151"/>
      <c r="BA30" s="151"/>
      <c r="BB30" s="151"/>
      <c r="BC30" s="151"/>
      <c r="BD30" s="151"/>
      <c r="BE30" s="151"/>
      <c r="BF30" s="151"/>
      <c r="BG30" s="151"/>
      <c r="BH30" s="151"/>
      <c r="BI30" s="151"/>
      <c r="BJ30" s="151"/>
      <c r="BK30" s="151"/>
    </row>
    <row r="31" spans="1:63" x14ac:dyDescent="0.25">
      <c r="A31" s="149" t="s">
        <v>278</v>
      </c>
      <c r="B31" s="149"/>
      <c r="C31" s="149"/>
      <c r="D31" s="149"/>
      <c r="E31" s="199"/>
      <c r="F31" s="149"/>
      <c r="G31" s="149"/>
      <c r="H31" s="149"/>
      <c r="I31" s="199"/>
      <c r="J31" s="149"/>
      <c r="K31" s="149"/>
      <c r="L31" s="149"/>
      <c r="M31" s="199"/>
      <c r="N31" s="149"/>
      <c r="O31" s="149"/>
      <c r="P31" s="149"/>
      <c r="Q31" s="199"/>
      <c r="R31" s="190">
        <f t="shared" si="0"/>
        <v>0</v>
      </c>
      <c r="S31" s="156">
        <f t="shared" si="2"/>
        <v>0</v>
      </c>
      <c r="T31" s="189"/>
      <c r="U31" s="189"/>
      <c r="V31" s="189"/>
      <c r="W31" s="189"/>
      <c r="X31" s="189"/>
      <c r="Y31" s="151"/>
      <c r="Z31" s="151"/>
      <c r="AA31" s="151"/>
      <c r="AB31" s="151"/>
      <c r="AC31" s="151"/>
      <c r="AD31" s="151"/>
      <c r="AE31" s="151"/>
      <c r="AG31" s="149" t="s">
        <v>278</v>
      </c>
      <c r="AH31" s="149"/>
      <c r="AI31" s="149"/>
      <c r="AJ31" s="149"/>
      <c r="AK31" s="199"/>
      <c r="AL31" s="149"/>
      <c r="AM31" s="149"/>
      <c r="AN31" s="149"/>
      <c r="AO31" s="199"/>
      <c r="AP31" s="149"/>
      <c r="AQ31" s="149"/>
      <c r="AR31" s="149"/>
      <c r="AS31" s="199"/>
      <c r="AT31" s="149"/>
      <c r="AU31" s="149"/>
      <c r="AV31" s="149"/>
      <c r="AW31" s="199"/>
      <c r="AX31" s="190">
        <f t="shared" si="1"/>
        <v>0</v>
      </c>
      <c r="AY31" s="156">
        <f t="shared" si="3"/>
        <v>0</v>
      </c>
      <c r="AZ31" s="151"/>
      <c r="BA31" s="151"/>
      <c r="BB31" s="151"/>
      <c r="BC31" s="151"/>
      <c r="BD31" s="151"/>
      <c r="BE31" s="151"/>
      <c r="BF31" s="151"/>
      <c r="BG31" s="151"/>
      <c r="BH31" s="151"/>
      <c r="BI31" s="151"/>
      <c r="BJ31" s="151"/>
      <c r="BK31" s="151"/>
    </row>
    <row r="32" spans="1:63" x14ac:dyDescent="0.25">
      <c r="A32" s="153" t="s">
        <v>279</v>
      </c>
      <c r="B32" s="150">
        <f>SUM(B11:B31)</f>
        <v>0</v>
      </c>
      <c r="C32" s="150">
        <f t="shared" ref="C32:AE32" si="4">SUM(C11:C31)</f>
        <v>0</v>
      </c>
      <c r="D32" s="150">
        <f t="shared" si="4"/>
        <v>220</v>
      </c>
      <c r="E32" s="200">
        <f>SUM(E11:E31)</f>
        <v>0</v>
      </c>
      <c r="F32" s="150">
        <f t="shared" si="4"/>
        <v>0</v>
      </c>
      <c r="G32" s="150">
        <f t="shared" si="4"/>
        <v>0</v>
      </c>
      <c r="H32" s="150">
        <f t="shared" si="4"/>
        <v>0</v>
      </c>
      <c r="I32" s="200">
        <f>SUM(I11:I31)</f>
        <v>0</v>
      </c>
      <c r="J32" s="150">
        <f t="shared" si="4"/>
        <v>0</v>
      </c>
      <c r="K32" s="150">
        <f t="shared" si="4"/>
        <v>0</v>
      </c>
      <c r="L32" s="150">
        <f t="shared" si="4"/>
        <v>0</v>
      </c>
      <c r="M32" s="200">
        <f>SUM(M11:M31)</f>
        <v>0</v>
      </c>
      <c r="N32" s="150">
        <f t="shared" si="4"/>
        <v>0</v>
      </c>
      <c r="O32" s="150">
        <f t="shared" si="4"/>
        <v>0</v>
      </c>
      <c r="P32" s="150">
        <f t="shared" si="4"/>
        <v>0</v>
      </c>
      <c r="Q32" s="200">
        <f>SUM(Q11:Q31)</f>
        <v>0</v>
      </c>
      <c r="R32" s="150">
        <f t="shared" si="4"/>
        <v>220</v>
      </c>
      <c r="S32" s="156">
        <f t="shared" si="4"/>
        <v>0</v>
      </c>
      <c r="T32" s="150">
        <f t="shared" si="4"/>
        <v>0</v>
      </c>
      <c r="U32" s="150">
        <f t="shared" si="4"/>
        <v>0</v>
      </c>
      <c r="V32" s="150">
        <f t="shared" si="4"/>
        <v>0</v>
      </c>
      <c r="W32" s="150">
        <f t="shared" si="4"/>
        <v>0</v>
      </c>
      <c r="X32" s="150">
        <f t="shared" si="4"/>
        <v>0</v>
      </c>
      <c r="Y32" s="150">
        <f t="shared" si="4"/>
        <v>0</v>
      </c>
      <c r="Z32" s="150">
        <f t="shared" si="4"/>
        <v>0</v>
      </c>
      <c r="AA32" s="150">
        <f t="shared" si="4"/>
        <v>0</v>
      </c>
      <c r="AB32" s="150">
        <f t="shared" si="4"/>
        <v>0</v>
      </c>
      <c r="AC32" s="150">
        <f t="shared" si="4"/>
        <v>0</v>
      </c>
      <c r="AD32" s="150">
        <f t="shared" si="4"/>
        <v>0</v>
      </c>
      <c r="AE32" s="150">
        <f t="shared" si="4"/>
        <v>0</v>
      </c>
      <c r="AG32" s="153" t="s">
        <v>279</v>
      </c>
      <c r="AH32" s="150">
        <f t="shared" ref="AH32:AW32" si="5">SUM(AH11:AH31)</f>
        <v>0</v>
      </c>
      <c r="AI32" s="150">
        <f t="shared" si="5"/>
        <v>0</v>
      </c>
      <c r="AJ32" s="150">
        <f t="shared" si="5"/>
        <v>0</v>
      </c>
      <c r="AK32" s="200">
        <f t="shared" si="5"/>
        <v>0</v>
      </c>
      <c r="AL32" s="150">
        <f t="shared" si="5"/>
        <v>0</v>
      </c>
      <c r="AM32" s="150">
        <f t="shared" si="5"/>
        <v>0</v>
      </c>
      <c r="AN32" s="150">
        <f t="shared" si="5"/>
        <v>0</v>
      </c>
      <c r="AO32" s="200">
        <f t="shared" si="5"/>
        <v>0</v>
      </c>
      <c r="AP32" s="150">
        <f t="shared" si="5"/>
        <v>0</v>
      </c>
      <c r="AQ32" s="150">
        <f t="shared" si="5"/>
        <v>0</v>
      </c>
      <c r="AR32" s="150">
        <f t="shared" si="5"/>
        <v>0</v>
      </c>
      <c r="AS32" s="200">
        <f t="shared" si="5"/>
        <v>0</v>
      </c>
      <c r="AT32" s="150">
        <f t="shared" si="5"/>
        <v>0</v>
      </c>
      <c r="AU32" s="150">
        <f t="shared" si="5"/>
        <v>0</v>
      </c>
      <c r="AV32" s="150">
        <f t="shared" si="5"/>
        <v>0</v>
      </c>
      <c r="AW32" s="200">
        <f t="shared" si="5"/>
        <v>0</v>
      </c>
      <c r="AX32" s="191">
        <f t="shared" ref="AX32:BK32" si="6">SUM(AX11:AX31)</f>
        <v>0</v>
      </c>
      <c r="AY32" s="157">
        <f t="shared" si="6"/>
        <v>0</v>
      </c>
      <c r="AZ32" s="150">
        <f t="shared" si="6"/>
        <v>0</v>
      </c>
      <c r="BA32" s="150">
        <f t="shared" si="6"/>
        <v>0</v>
      </c>
      <c r="BB32" s="150">
        <f t="shared" si="6"/>
        <v>0</v>
      </c>
      <c r="BC32" s="150">
        <f t="shared" si="6"/>
        <v>0</v>
      </c>
      <c r="BD32" s="150">
        <f t="shared" si="6"/>
        <v>0</v>
      </c>
      <c r="BE32" s="150">
        <f t="shared" si="6"/>
        <v>0</v>
      </c>
      <c r="BF32" s="150">
        <f t="shared" si="6"/>
        <v>0</v>
      </c>
      <c r="BG32" s="150">
        <f t="shared" si="6"/>
        <v>0</v>
      </c>
      <c r="BH32" s="150">
        <f t="shared" si="6"/>
        <v>0</v>
      </c>
      <c r="BI32" s="150">
        <f t="shared" si="6"/>
        <v>0</v>
      </c>
      <c r="BJ32" s="150">
        <f t="shared" si="6"/>
        <v>0</v>
      </c>
      <c r="BK32" s="150">
        <f t="shared" si="6"/>
        <v>0</v>
      </c>
    </row>
    <row r="34" spans="1:63" ht="33.75" customHeight="1" x14ac:dyDescent="0.25">
      <c r="A34" s="154" t="s">
        <v>237</v>
      </c>
      <c r="B34" s="838"/>
      <c r="C34" s="838"/>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38"/>
      <c r="AP34" s="838"/>
      <c r="AQ34" s="838"/>
      <c r="AR34" s="838"/>
      <c r="AS34" s="838"/>
      <c r="AT34" s="838"/>
      <c r="AU34" s="838"/>
      <c r="AV34" s="838"/>
      <c r="AW34" s="838"/>
      <c r="AX34" s="838"/>
      <c r="AY34" s="838"/>
      <c r="AZ34" s="838"/>
      <c r="BA34" s="838"/>
      <c r="BB34" s="838"/>
      <c r="BC34" s="838"/>
      <c r="BD34" s="838"/>
      <c r="BE34" s="838"/>
      <c r="BF34" s="838"/>
      <c r="BG34" s="838"/>
      <c r="BH34" s="838"/>
      <c r="BI34" s="838"/>
      <c r="BJ34" s="838"/>
      <c r="BK34" s="838"/>
    </row>
    <row r="35" spans="1:63" ht="33.75" customHeight="1" x14ac:dyDescent="0.25">
      <c r="A35" s="155" t="s">
        <v>238</v>
      </c>
      <c r="B35" s="832" t="s">
        <v>280</v>
      </c>
      <c r="C35" s="834"/>
      <c r="D35" s="834"/>
      <c r="E35" s="834"/>
      <c r="F35" s="834"/>
      <c r="G35" s="834"/>
      <c r="H35" s="834"/>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c r="AK35" s="834"/>
      <c r="AL35" s="834"/>
      <c r="AM35" s="834"/>
      <c r="AN35" s="834"/>
      <c r="AO35" s="834"/>
      <c r="AP35" s="834"/>
      <c r="AQ35" s="834"/>
      <c r="AR35" s="834"/>
      <c r="AS35" s="834"/>
      <c r="AT35" s="834"/>
      <c r="AU35" s="834"/>
      <c r="AV35" s="834"/>
      <c r="AW35" s="834"/>
      <c r="AX35" s="834"/>
      <c r="AY35" s="834"/>
      <c r="AZ35" s="834"/>
      <c r="BA35" s="834"/>
      <c r="BB35" s="834"/>
      <c r="BC35" s="834"/>
      <c r="BD35" s="834"/>
      <c r="BE35" s="834"/>
      <c r="BF35" s="834"/>
      <c r="BG35" s="834"/>
      <c r="BH35" s="834"/>
      <c r="BI35" s="834"/>
      <c r="BJ35" s="834"/>
      <c r="BK35" s="833"/>
    </row>
    <row r="37" spans="1:63" ht="30" customHeight="1" x14ac:dyDescent="0.25">
      <c r="A37" s="835" t="s">
        <v>240</v>
      </c>
      <c r="B37" s="193" t="s">
        <v>30</v>
      </c>
      <c r="C37" s="193" t="s">
        <v>31</v>
      </c>
      <c r="D37" s="832" t="s">
        <v>8</v>
      </c>
      <c r="E37" s="833"/>
      <c r="F37" s="193" t="s">
        <v>32</v>
      </c>
      <c r="G37" s="193" t="s">
        <v>33</v>
      </c>
      <c r="H37" s="832" t="s">
        <v>34</v>
      </c>
      <c r="I37" s="833"/>
      <c r="J37" s="193" t="s">
        <v>35</v>
      </c>
      <c r="K37" s="193" t="s">
        <v>36</v>
      </c>
      <c r="L37" s="832" t="s">
        <v>37</v>
      </c>
      <c r="M37" s="833"/>
      <c r="N37" s="193" t="s">
        <v>38</v>
      </c>
      <c r="O37" s="193" t="s">
        <v>39</v>
      </c>
      <c r="P37" s="832" t="s">
        <v>40</v>
      </c>
      <c r="Q37" s="833"/>
      <c r="R37" s="832" t="s">
        <v>241</v>
      </c>
      <c r="S37" s="833"/>
      <c r="T37" s="832" t="s">
        <v>242</v>
      </c>
      <c r="U37" s="834"/>
      <c r="V37" s="834"/>
      <c r="W37" s="834"/>
      <c r="X37" s="834"/>
      <c r="Y37" s="833"/>
      <c r="Z37" s="832" t="s">
        <v>243</v>
      </c>
      <c r="AA37" s="834"/>
      <c r="AB37" s="834"/>
      <c r="AC37" s="834"/>
      <c r="AD37" s="834"/>
      <c r="AE37" s="833"/>
      <c r="AG37" s="835" t="s">
        <v>240</v>
      </c>
      <c r="AH37" s="193" t="s">
        <v>30</v>
      </c>
      <c r="AI37" s="193" t="s">
        <v>31</v>
      </c>
      <c r="AJ37" s="832" t="s">
        <v>8</v>
      </c>
      <c r="AK37" s="833"/>
      <c r="AL37" s="193" t="s">
        <v>32</v>
      </c>
      <c r="AM37" s="193" t="s">
        <v>33</v>
      </c>
      <c r="AN37" s="832" t="s">
        <v>34</v>
      </c>
      <c r="AO37" s="833"/>
      <c r="AP37" s="193" t="s">
        <v>35</v>
      </c>
      <c r="AQ37" s="193" t="s">
        <v>36</v>
      </c>
      <c r="AR37" s="832" t="s">
        <v>37</v>
      </c>
      <c r="AS37" s="833"/>
      <c r="AT37" s="193" t="s">
        <v>38</v>
      </c>
      <c r="AU37" s="193" t="s">
        <v>39</v>
      </c>
      <c r="AV37" s="832" t="s">
        <v>40</v>
      </c>
      <c r="AW37" s="833"/>
      <c r="AX37" s="832" t="s">
        <v>241</v>
      </c>
      <c r="AY37" s="833"/>
      <c r="AZ37" s="832" t="s">
        <v>242</v>
      </c>
      <c r="BA37" s="834"/>
      <c r="BB37" s="834"/>
      <c r="BC37" s="834"/>
      <c r="BD37" s="834"/>
      <c r="BE37" s="833"/>
      <c r="BF37" s="832" t="s">
        <v>243</v>
      </c>
      <c r="BG37" s="834"/>
      <c r="BH37" s="834"/>
      <c r="BI37" s="834"/>
      <c r="BJ37" s="834"/>
      <c r="BK37" s="833"/>
    </row>
    <row r="38" spans="1:63" ht="36" customHeight="1" x14ac:dyDescent="0.25">
      <c r="A38" s="836"/>
      <c r="B38" s="119" t="s">
        <v>244</v>
      </c>
      <c r="C38" s="119" t="s">
        <v>244</v>
      </c>
      <c r="D38" s="119" t="s">
        <v>244</v>
      </c>
      <c r="E38" s="119" t="s">
        <v>245</v>
      </c>
      <c r="F38" s="119" t="s">
        <v>244</v>
      </c>
      <c r="G38" s="119" t="s">
        <v>244</v>
      </c>
      <c r="H38" s="119" t="s">
        <v>244</v>
      </c>
      <c r="I38" s="119" t="s">
        <v>245</v>
      </c>
      <c r="J38" s="119" t="s">
        <v>244</v>
      </c>
      <c r="K38" s="119" t="s">
        <v>244</v>
      </c>
      <c r="L38" s="119" t="s">
        <v>244</v>
      </c>
      <c r="M38" s="119" t="s">
        <v>245</v>
      </c>
      <c r="N38" s="119" t="s">
        <v>244</v>
      </c>
      <c r="O38" s="119" t="s">
        <v>244</v>
      </c>
      <c r="P38" s="119" t="s">
        <v>244</v>
      </c>
      <c r="Q38" s="119" t="s">
        <v>245</v>
      </c>
      <c r="R38" s="119" t="s">
        <v>244</v>
      </c>
      <c r="S38" s="119" t="s">
        <v>245</v>
      </c>
      <c r="T38" s="187" t="s">
        <v>246</v>
      </c>
      <c r="U38" s="187" t="s">
        <v>247</v>
      </c>
      <c r="V38" s="187" t="s">
        <v>248</v>
      </c>
      <c r="W38" s="187" t="s">
        <v>249</v>
      </c>
      <c r="X38" s="188" t="s">
        <v>250</v>
      </c>
      <c r="Y38" s="187" t="s">
        <v>251</v>
      </c>
      <c r="Z38" s="119" t="s">
        <v>252</v>
      </c>
      <c r="AA38" s="148" t="s">
        <v>253</v>
      </c>
      <c r="AB38" s="119" t="s">
        <v>254</v>
      </c>
      <c r="AC38" s="119" t="s">
        <v>255</v>
      </c>
      <c r="AD38" s="119" t="s">
        <v>256</v>
      </c>
      <c r="AE38" s="119" t="s">
        <v>257</v>
      </c>
      <c r="AG38" s="836"/>
      <c r="AH38" s="119" t="s">
        <v>244</v>
      </c>
      <c r="AI38" s="119" t="s">
        <v>244</v>
      </c>
      <c r="AJ38" s="119" t="s">
        <v>244</v>
      </c>
      <c r="AK38" s="119" t="s">
        <v>245</v>
      </c>
      <c r="AL38" s="119" t="s">
        <v>244</v>
      </c>
      <c r="AM38" s="119" t="s">
        <v>244</v>
      </c>
      <c r="AN38" s="119" t="s">
        <v>244</v>
      </c>
      <c r="AO38" s="119" t="s">
        <v>245</v>
      </c>
      <c r="AP38" s="119" t="s">
        <v>244</v>
      </c>
      <c r="AQ38" s="119" t="s">
        <v>244</v>
      </c>
      <c r="AR38" s="119" t="s">
        <v>244</v>
      </c>
      <c r="AS38" s="119" t="s">
        <v>245</v>
      </c>
      <c r="AT38" s="119" t="s">
        <v>244</v>
      </c>
      <c r="AU38" s="119" t="s">
        <v>244</v>
      </c>
      <c r="AV38" s="119" t="s">
        <v>244</v>
      </c>
      <c r="AW38" s="119" t="s">
        <v>245</v>
      </c>
      <c r="AX38" s="119" t="s">
        <v>244</v>
      </c>
      <c r="AY38" s="119" t="s">
        <v>245</v>
      </c>
      <c r="AZ38" s="187" t="s">
        <v>246</v>
      </c>
      <c r="BA38" s="187" t="s">
        <v>247</v>
      </c>
      <c r="BB38" s="187" t="s">
        <v>248</v>
      </c>
      <c r="BC38" s="187" t="s">
        <v>249</v>
      </c>
      <c r="BD38" s="188" t="s">
        <v>250</v>
      </c>
      <c r="BE38" s="187" t="s">
        <v>251</v>
      </c>
      <c r="BF38" s="185" t="s">
        <v>252</v>
      </c>
      <c r="BG38" s="186" t="s">
        <v>253</v>
      </c>
      <c r="BH38" s="185" t="s">
        <v>254</v>
      </c>
      <c r="BI38" s="185" t="s">
        <v>255</v>
      </c>
      <c r="BJ38" s="185" t="s">
        <v>256</v>
      </c>
      <c r="BK38" s="185" t="s">
        <v>257</v>
      </c>
    </row>
    <row r="39" spans="1:63" x14ac:dyDescent="0.25">
      <c r="A39" s="149" t="s">
        <v>258</v>
      </c>
      <c r="B39" s="149"/>
      <c r="C39" s="149"/>
      <c r="D39" s="149">
        <v>15</v>
      </c>
      <c r="E39" s="199"/>
      <c r="F39" s="149"/>
      <c r="G39" s="149"/>
      <c r="H39" s="149"/>
      <c r="I39" s="199"/>
      <c r="J39" s="149"/>
      <c r="K39" s="149"/>
      <c r="L39" s="149"/>
      <c r="M39" s="199"/>
      <c r="N39" s="149"/>
      <c r="O39" s="149"/>
      <c r="P39" s="149"/>
      <c r="Q39" s="199"/>
      <c r="R39" s="190">
        <f t="shared" ref="R39:R59" si="7">B39+C39+D39+F39+G39+H39+J39+K39+L39+N39+O39+P39</f>
        <v>15</v>
      </c>
      <c r="S39" s="156">
        <f>+E39+I39+M39+Q39</f>
        <v>0</v>
      </c>
      <c r="T39" s="189"/>
      <c r="U39" s="189"/>
      <c r="V39" s="189"/>
      <c r="W39" s="189"/>
      <c r="X39" s="189"/>
      <c r="Y39" s="151"/>
      <c r="Z39" s="151"/>
      <c r="AA39" s="151"/>
      <c r="AB39" s="151"/>
      <c r="AC39" s="151"/>
      <c r="AD39" s="151"/>
      <c r="AE39" s="152"/>
      <c r="AG39" s="149" t="s">
        <v>258</v>
      </c>
      <c r="AH39" s="149"/>
      <c r="AI39" s="149"/>
      <c r="AJ39" s="149"/>
      <c r="AK39" s="199"/>
      <c r="AL39" s="149"/>
      <c r="AM39" s="149"/>
      <c r="AN39" s="149"/>
      <c r="AO39" s="199"/>
      <c r="AP39" s="149"/>
      <c r="AQ39" s="149"/>
      <c r="AR39" s="149"/>
      <c r="AS39" s="199"/>
      <c r="AT39" s="149"/>
      <c r="AU39" s="149"/>
      <c r="AV39" s="149"/>
      <c r="AW39" s="199"/>
      <c r="AX39" s="190">
        <f t="shared" ref="AX39:AX59" si="8">AH39+AI39+AJ39+AL39+AM39+AN39+AP39+AQ39+AR39+AT39+AU39+AV39</f>
        <v>0</v>
      </c>
      <c r="AY39" s="156">
        <f>+AK39+AO39+AS39+AW39</f>
        <v>0</v>
      </c>
      <c r="AZ39" s="151"/>
      <c r="BA39" s="151"/>
      <c r="BB39" s="151"/>
      <c r="BC39" s="151"/>
      <c r="BD39" s="151"/>
      <c r="BE39" s="151"/>
      <c r="BF39" s="151"/>
      <c r="BG39" s="151"/>
      <c r="BH39" s="151"/>
      <c r="BI39" s="151"/>
      <c r="BJ39" s="151"/>
      <c r="BK39" s="152"/>
    </row>
    <row r="40" spans="1:63" x14ac:dyDescent="0.25">
      <c r="A40" s="149" t="s">
        <v>259</v>
      </c>
      <c r="B40" s="149"/>
      <c r="C40" s="149"/>
      <c r="D40" s="149">
        <v>62</v>
      </c>
      <c r="E40" s="199"/>
      <c r="F40" s="149"/>
      <c r="G40" s="149"/>
      <c r="H40" s="149"/>
      <c r="I40" s="199"/>
      <c r="J40" s="149"/>
      <c r="K40" s="149"/>
      <c r="L40" s="149"/>
      <c r="M40" s="199"/>
      <c r="N40" s="149"/>
      <c r="O40" s="149"/>
      <c r="P40" s="149"/>
      <c r="Q40" s="199"/>
      <c r="R40" s="190">
        <f t="shared" si="7"/>
        <v>62</v>
      </c>
      <c r="S40" s="156">
        <f t="shared" ref="S40:S59" si="9">+E40+I40+M40+Q40</f>
        <v>0</v>
      </c>
      <c r="T40" s="189"/>
      <c r="U40" s="189"/>
      <c r="V40" s="189"/>
      <c r="W40" s="189"/>
      <c r="X40" s="189"/>
      <c r="Y40" s="151"/>
      <c r="Z40" s="151"/>
      <c r="AA40" s="151"/>
      <c r="AB40" s="151"/>
      <c r="AC40" s="151"/>
      <c r="AD40" s="151"/>
      <c r="AE40" s="151"/>
      <c r="AG40" s="149" t="s">
        <v>259</v>
      </c>
      <c r="AH40" s="149"/>
      <c r="AI40" s="149"/>
      <c r="AJ40" s="149"/>
      <c r="AK40" s="199"/>
      <c r="AL40" s="149"/>
      <c r="AM40" s="149"/>
      <c r="AN40" s="149"/>
      <c r="AO40" s="199"/>
      <c r="AP40" s="149"/>
      <c r="AQ40" s="149"/>
      <c r="AR40" s="149"/>
      <c r="AS40" s="199"/>
      <c r="AT40" s="149"/>
      <c r="AU40" s="149"/>
      <c r="AV40" s="149"/>
      <c r="AW40" s="199"/>
      <c r="AX40" s="190">
        <f t="shared" si="8"/>
        <v>0</v>
      </c>
      <c r="AY40" s="156">
        <f t="shared" ref="AY40:AY59" si="10">+AK40+AO40+AS40+AW40</f>
        <v>0</v>
      </c>
      <c r="AZ40" s="151"/>
      <c r="BA40" s="151"/>
      <c r="BB40" s="151"/>
      <c r="BC40" s="151"/>
      <c r="BD40" s="151"/>
      <c r="BE40" s="151"/>
      <c r="BF40" s="151"/>
      <c r="BG40" s="151"/>
      <c r="BH40" s="151"/>
      <c r="BI40" s="151"/>
      <c r="BJ40" s="151"/>
      <c r="BK40" s="151"/>
    </row>
    <row r="41" spans="1:63" x14ac:dyDescent="0.25">
      <c r="A41" s="149" t="s">
        <v>260</v>
      </c>
      <c r="B41" s="149"/>
      <c r="C41" s="149"/>
      <c r="D41" s="149">
        <v>41</v>
      </c>
      <c r="E41" s="199"/>
      <c r="F41" s="149"/>
      <c r="G41" s="149"/>
      <c r="H41" s="149"/>
      <c r="I41" s="199"/>
      <c r="J41" s="149"/>
      <c r="K41" s="149"/>
      <c r="L41" s="149"/>
      <c r="M41" s="199"/>
      <c r="N41" s="149"/>
      <c r="O41" s="149"/>
      <c r="P41" s="149"/>
      <c r="Q41" s="199"/>
      <c r="R41" s="190">
        <f t="shared" si="7"/>
        <v>41</v>
      </c>
      <c r="S41" s="156">
        <f t="shared" si="9"/>
        <v>0</v>
      </c>
      <c r="T41" s="189"/>
      <c r="U41" s="189"/>
      <c r="V41" s="189"/>
      <c r="W41" s="189"/>
      <c r="X41" s="189"/>
      <c r="Y41" s="151"/>
      <c r="Z41" s="151"/>
      <c r="AA41" s="151"/>
      <c r="AB41" s="151"/>
      <c r="AC41" s="151"/>
      <c r="AD41" s="151"/>
      <c r="AE41" s="151"/>
      <c r="AG41" s="149" t="s">
        <v>260</v>
      </c>
      <c r="AH41" s="149"/>
      <c r="AI41" s="149"/>
      <c r="AJ41" s="149"/>
      <c r="AK41" s="199"/>
      <c r="AL41" s="149"/>
      <c r="AM41" s="149"/>
      <c r="AN41" s="149"/>
      <c r="AO41" s="199"/>
      <c r="AP41" s="149"/>
      <c r="AQ41" s="149"/>
      <c r="AR41" s="149"/>
      <c r="AS41" s="199"/>
      <c r="AT41" s="149"/>
      <c r="AU41" s="149"/>
      <c r="AV41" s="149"/>
      <c r="AW41" s="199"/>
      <c r="AX41" s="190">
        <f t="shared" si="8"/>
        <v>0</v>
      </c>
      <c r="AY41" s="156">
        <f t="shared" si="10"/>
        <v>0</v>
      </c>
      <c r="AZ41" s="151"/>
      <c r="BA41" s="151"/>
      <c r="BB41" s="151"/>
      <c r="BC41" s="151"/>
      <c r="BD41" s="151"/>
      <c r="BE41" s="151"/>
      <c r="BF41" s="151"/>
      <c r="BG41" s="151"/>
      <c r="BH41" s="151"/>
      <c r="BI41" s="151"/>
      <c r="BJ41" s="151"/>
      <c r="BK41" s="151"/>
    </row>
    <row r="42" spans="1:63" x14ac:dyDescent="0.25">
      <c r="A42" s="149" t="s">
        <v>261</v>
      </c>
      <c r="B42" s="149"/>
      <c r="C42" s="149"/>
      <c r="D42" s="149">
        <v>8</v>
      </c>
      <c r="E42" s="199"/>
      <c r="F42" s="149"/>
      <c r="G42" s="149"/>
      <c r="H42" s="149"/>
      <c r="I42" s="199"/>
      <c r="J42" s="149"/>
      <c r="K42" s="149"/>
      <c r="L42" s="149"/>
      <c r="M42" s="199"/>
      <c r="N42" s="149"/>
      <c r="O42" s="149"/>
      <c r="P42" s="149"/>
      <c r="Q42" s="199"/>
      <c r="R42" s="190">
        <f t="shared" si="7"/>
        <v>8</v>
      </c>
      <c r="S42" s="156">
        <f t="shared" si="9"/>
        <v>0</v>
      </c>
      <c r="T42" s="189"/>
      <c r="U42" s="189"/>
      <c r="V42" s="189"/>
      <c r="W42" s="189"/>
      <c r="X42" s="189"/>
      <c r="Y42" s="151"/>
      <c r="Z42" s="151"/>
      <c r="AA42" s="151"/>
      <c r="AB42" s="151"/>
      <c r="AC42" s="151"/>
      <c r="AD42" s="151"/>
      <c r="AE42" s="151"/>
      <c r="AG42" s="149" t="s">
        <v>261</v>
      </c>
      <c r="AH42" s="149"/>
      <c r="AI42" s="149"/>
      <c r="AJ42" s="149"/>
      <c r="AK42" s="199"/>
      <c r="AL42" s="149"/>
      <c r="AM42" s="149"/>
      <c r="AN42" s="149"/>
      <c r="AO42" s="199"/>
      <c r="AP42" s="149"/>
      <c r="AQ42" s="149"/>
      <c r="AR42" s="149"/>
      <c r="AS42" s="199"/>
      <c r="AT42" s="149"/>
      <c r="AU42" s="149"/>
      <c r="AV42" s="149"/>
      <c r="AW42" s="199"/>
      <c r="AX42" s="190">
        <f t="shared" si="8"/>
        <v>0</v>
      </c>
      <c r="AY42" s="156">
        <f t="shared" si="10"/>
        <v>0</v>
      </c>
      <c r="AZ42" s="151"/>
      <c r="BA42" s="151"/>
      <c r="BB42" s="151"/>
      <c r="BC42" s="151"/>
      <c r="BD42" s="151"/>
      <c r="BE42" s="151"/>
      <c r="BF42" s="151"/>
      <c r="BG42" s="151"/>
      <c r="BH42" s="151"/>
      <c r="BI42" s="151"/>
      <c r="BJ42" s="151"/>
      <c r="BK42" s="151"/>
    </row>
    <row r="43" spans="1:63" x14ac:dyDescent="0.25">
      <c r="A43" s="149" t="s">
        <v>262</v>
      </c>
      <c r="B43" s="149"/>
      <c r="C43" s="149"/>
      <c r="D43" s="149">
        <v>35</v>
      </c>
      <c r="E43" s="199"/>
      <c r="F43" s="149"/>
      <c r="G43" s="149"/>
      <c r="H43" s="149"/>
      <c r="I43" s="199"/>
      <c r="J43" s="149"/>
      <c r="K43" s="149"/>
      <c r="L43" s="149"/>
      <c r="M43" s="199"/>
      <c r="N43" s="149"/>
      <c r="O43" s="149"/>
      <c r="P43" s="149"/>
      <c r="Q43" s="199"/>
      <c r="R43" s="190">
        <f t="shared" si="7"/>
        <v>35</v>
      </c>
      <c r="S43" s="156">
        <f t="shared" si="9"/>
        <v>0</v>
      </c>
      <c r="T43" s="189"/>
      <c r="U43" s="189"/>
      <c r="V43" s="189"/>
      <c r="W43" s="189"/>
      <c r="X43" s="189"/>
      <c r="Y43" s="151"/>
      <c r="Z43" s="151"/>
      <c r="AA43" s="151"/>
      <c r="AB43" s="151"/>
      <c r="AC43" s="151"/>
      <c r="AD43" s="151"/>
      <c r="AE43" s="151"/>
      <c r="AG43" s="149" t="s">
        <v>262</v>
      </c>
      <c r="AH43" s="149"/>
      <c r="AI43" s="149"/>
      <c r="AJ43" s="149"/>
      <c r="AK43" s="199"/>
      <c r="AL43" s="149"/>
      <c r="AM43" s="149"/>
      <c r="AN43" s="149"/>
      <c r="AO43" s="199"/>
      <c r="AP43" s="149"/>
      <c r="AQ43" s="149"/>
      <c r="AR43" s="149"/>
      <c r="AS43" s="199"/>
      <c r="AT43" s="149"/>
      <c r="AU43" s="149"/>
      <c r="AV43" s="149"/>
      <c r="AW43" s="199"/>
      <c r="AX43" s="190">
        <f t="shared" si="8"/>
        <v>0</v>
      </c>
      <c r="AY43" s="156">
        <f t="shared" si="10"/>
        <v>0</v>
      </c>
      <c r="AZ43" s="151"/>
      <c r="BA43" s="151"/>
      <c r="BB43" s="151"/>
      <c r="BC43" s="151"/>
      <c r="BD43" s="151"/>
      <c r="BE43" s="151"/>
      <c r="BF43" s="151"/>
      <c r="BG43" s="151"/>
      <c r="BH43" s="151"/>
      <c r="BI43" s="151"/>
      <c r="BJ43" s="151"/>
      <c r="BK43" s="151"/>
    </row>
    <row r="44" spans="1:63" x14ac:dyDescent="0.25">
      <c r="A44" s="149" t="s">
        <v>263</v>
      </c>
      <c r="B44" s="149"/>
      <c r="C44" s="149"/>
      <c r="D44" s="149">
        <v>12</v>
      </c>
      <c r="E44" s="199"/>
      <c r="F44" s="149"/>
      <c r="G44" s="149"/>
      <c r="H44" s="149"/>
      <c r="I44" s="199"/>
      <c r="J44" s="149"/>
      <c r="K44" s="149"/>
      <c r="L44" s="149"/>
      <c r="M44" s="199"/>
      <c r="N44" s="149"/>
      <c r="O44" s="149"/>
      <c r="P44" s="149"/>
      <c r="Q44" s="199"/>
      <c r="R44" s="190">
        <f t="shared" si="7"/>
        <v>12</v>
      </c>
      <c r="S44" s="156">
        <f t="shared" si="9"/>
        <v>0</v>
      </c>
      <c r="T44" s="189"/>
      <c r="U44" s="189"/>
      <c r="V44" s="189"/>
      <c r="W44" s="189"/>
      <c r="X44" s="189"/>
      <c r="Y44" s="151"/>
      <c r="Z44" s="151"/>
      <c r="AA44" s="151"/>
      <c r="AB44" s="151"/>
      <c r="AC44" s="151"/>
      <c r="AD44" s="151"/>
      <c r="AE44" s="151"/>
      <c r="AG44" s="149" t="s">
        <v>263</v>
      </c>
      <c r="AH44" s="149"/>
      <c r="AI44" s="149"/>
      <c r="AJ44" s="149"/>
      <c r="AK44" s="199"/>
      <c r="AL44" s="149"/>
      <c r="AM44" s="149"/>
      <c r="AN44" s="149"/>
      <c r="AO44" s="199"/>
      <c r="AP44" s="149"/>
      <c r="AQ44" s="149"/>
      <c r="AR44" s="149"/>
      <c r="AS44" s="199"/>
      <c r="AT44" s="149"/>
      <c r="AU44" s="149"/>
      <c r="AV44" s="149"/>
      <c r="AW44" s="199"/>
      <c r="AX44" s="190">
        <f t="shared" si="8"/>
        <v>0</v>
      </c>
      <c r="AY44" s="156">
        <f t="shared" si="10"/>
        <v>0</v>
      </c>
      <c r="AZ44" s="151"/>
      <c r="BA44" s="151"/>
      <c r="BB44" s="151"/>
      <c r="BC44" s="151"/>
      <c r="BD44" s="151"/>
      <c r="BE44" s="151"/>
      <c r="BF44" s="151"/>
      <c r="BG44" s="151"/>
      <c r="BH44" s="151"/>
      <c r="BI44" s="151"/>
      <c r="BJ44" s="151"/>
      <c r="BK44" s="151"/>
    </row>
    <row r="45" spans="1:63" x14ac:dyDescent="0.25">
      <c r="A45" s="149" t="s">
        <v>264</v>
      </c>
      <c r="B45" s="149"/>
      <c r="C45" s="149"/>
      <c r="D45" s="149">
        <v>10</v>
      </c>
      <c r="E45" s="199"/>
      <c r="F45" s="149"/>
      <c r="G45" s="149"/>
      <c r="H45" s="149"/>
      <c r="I45" s="199"/>
      <c r="J45" s="149"/>
      <c r="K45" s="149"/>
      <c r="L45" s="149"/>
      <c r="M45" s="199"/>
      <c r="N45" s="149"/>
      <c r="O45" s="149"/>
      <c r="P45" s="149"/>
      <c r="Q45" s="199"/>
      <c r="R45" s="190">
        <f t="shared" si="7"/>
        <v>10</v>
      </c>
      <c r="S45" s="156">
        <f t="shared" si="9"/>
        <v>0</v>
      </c>
      <c r="T45" s="189"/>
      <c r="U45" s="189"/>
      <c r="V45" s="189"/>
      <c r="W45" s="189"/>
      <c r="X45" s="189"/>
      <c r="Y45" s="151"/>
      <c r="Z45" s="151"/>
      <c r="AA45" s="151"/>
      <c r="AB45" s="151"/>
      <c r="AC45" s="151"/>
      <c r="AD45" s="151"/>
      <c r="AE45" s="151"/>
      <c r="AG45" s="149" t="s">
        <v>264</v>
      </c>
      <c r="AH45" s="149"/>
      <c r="AI45" s="149"/>
      <c r="AJ45" s="149"/>
      <c r="AK45" s="199"/>
      <c r="AL45" s="149"/>
      <c r="AM45" s="149"/>
      <c r="AN45" s="149"/>
      <c r="AO45" s="199"/>
      <c r="AP45" s="149"/>
      <c r="AQ45" s="149"/>
      <c r="AR45" s="149"/>
      <c r="AS45" s="199"/>
      <c r="AT45" s="149"/>
      <c r="AU45" s="149"/>
      <c r="AV45" s="149"/>
      <c r="AW45" s="199"/>
      <c r="AX45" s="190">
        <f t="shared" si="8"/>
        <v>0</v>
      </c>
      <c r="AY45" s="156">
        <f t="shared" si="10"/>
        <v>0</v>
      </c>
      <c r="AZ45" s="151"/>
      <c r="BA45" s="151"/>
      <c r="BB45" s="151"/>
      <c r="BC45" s="151"/>
      <c r="BD45" s="151"/>
      <c r="BE45" s="151"/>
      <c r="BF45" s="151"/>
      <c r="BG45" s="151"/>
      <c r="BH45" s="151"/>
      <c r="BI45" s="151"/>
      <c r="BJ45" s="151"/>
      <c r="BK45" s="151"/>
    </row>
    <row r="46" spans="1:63" x14ac:dyDescent="0.25">
      <c r="A46" s="149" t="s">
        <v>265</v>
      </c>
      <c r="B46" s="149"/>
      <c r="C46" s="149"/>
      <c r="D46" s="149">
        <v>18</v>
      </c>
      <c r="E46" s="199"/>
      <c r="F46" s="149"/>
      <c r="G46" s="149"/>
      <c r="H46" s="149"/>
      <c r="I46" s="199"/>
      <c r="J46" s="149"/>
      <c r="K46" s="149"/>
      <c r="L46" s="149"/>
      <c r="M46" s="199"/>
      <c r="N46" s="149"/>
      <c r="O46" s="149"/>
      <c r="P46" s="149"/>
      <c r="Q46" s="199"/>
      <c r="R46" s="190">
        <f t="shared" si="7"/>
        <v>18</v>
      </c>
      <c r="S46" s="156">
        <f t="shared" si="9"/>
        <v>0</v>
      </c>
      <c r="T46" s="189"/>
      <c r="U46" s="189"/>
      <c r="V46" s="189"/>
      <c r="W46" s="189"/>
      <c r="X46" s="189"/>
      <c r="Y46" s="151"/>
      <c r="Z46" s="151"/>
      <c r="AA46" s="151"/>
      <c r="AB46" s="151"/>
      <c r="AC46" s="151"/>
      <c r="AD46" s="151"/>
      <c r="AE46" s="151"/>
      <c r="AG46" s="149" t="s">
        <v>265</v>
      </c>
      <c r="AH46" s="149"/>
      <c r="AI46" s="149"/>
      <c r="AJ46" s="149"/>
      <c r="AK46" s="199"/>
      <c r="AL46" s="149"/>
      <c r="AM46" s="149"/>
      <c r="AN46" s="149"/>
      <c r="AO46" s="199"/>
      <c r="AP46" s="149"/>
      <c r="AQ46" s="149"/>
      <c r="AR46" s="149"/>
      <c r="AS46" s="199"/>
      <c r="AT46" s="149"/>
      <c r="AU46" s="149"/>
      <c r="AV46" s="149"/>
      <c r="AW46" s="199"/>
      <c r="AX46" s="190">
        <f t="shared" si="8"/>
        <v>0</v>
      </c>
      <c r="AY46" s="156">
        <f t="shared" si="10"/>
        <v>0</v>
      </c>
      <c r="AZ46" s="151"/>
      <c r="BA46" s="151"/>
      <c r="BB46" s="151"/>
      <c r="BC46" s="151"/>
      <c r="BD46" s="151"/>
      <c r="BE46" s="151"/>
      <c r="BF46" s="151"/>
      <c r="BG46" s="151"/>
      <c r="BH46" s="151"/>
      <c r="BI46" s="151"/>
      <c r="BJ46" s="151"/>
      <c r="BK46" s="151"/>
    </row>
    <row r="47" spans="1:63" x14ac:dyDescent="0.25">
      <c r="A47" s="149" t="s">
        <v>266</v>
      </c>
      <c r="B47" s="149"/>
      <c r="C47" s="149"/>
      <c r="D47" s="149">
        <v>22</v>
      </c>
      <c r="E47" s="199"/>
      <c r="F47" s="149"/>
      <c r="G47" s="149"/>
      <c r="H47" s="149"/>
      <c r="I47" s="199"/>
      <c r="J47" s="149"/>
      <c r="K47" s="149"/>
      <c r="L47" s="149"/>
      <c r="M47" s="199"/>
      <c r="N47" s="149"/>
      <c r="O47" s="149"/>
      <c r="P47" s="149"/>
      <c r="Q47" s="199"/>
      <c r="R47" s="190">
        <f t="shared" si="7"/>
        <v>22</v>
      </c>
      <c r="S47" s="156">
        <f t="shared" si="9"/>
        <v>0</v>
      </c>
      <c r="T47" s="189"/>
      <c r="U47" s="189"/>
      <c r="V47" s="189"/>
      <c r="W47" s="189"/>
      <c r="X47" s="189"/>
      <c r="Y47" s="151"/>
      <c r="Z47" s="151"/>
      <c r="AA47" s="151"/>
      <c r="AB47" s="151"/>
      <c r="AC47" s="151"/>
      <c r="AD47" s="151"/>
      <c r="AE47" s="151"/>
      <c r="AG47" s="149" t="s">
        <v>266</v>
      </c>
      <c r="AH47" s="149"/>
      <c r="AI47" s="149"/>
      <c r="AJ47" s="149"/>
      <c r="AK47" s="199"/>
      <c r="AL47" s="149"/>
      <c r="AM47" s="149"/>
      <c r="AN47" s="149"/>
      <c r="AO47" s="199"/>
      <c r="AP47" s="149"/>
      <c r="AQ47" s="149"/>
      <c r="AR47" s="149"/>
      <c r="AS47" s="199"/>
      <c r="AT47" s="149"/>
      <c r="AU47" s="149"/>
      <c r="AV47" s="149"/>
      <c r="AW47" s="199"/>
      <c r="AX47" s="190">
        <f t="shared" si="8"/>
        <v>0</v>
      </c>
      <c r="AY47" s="156">
        <f t="shared" si="10"/>
        <v>0</v>
      </c>
      <c r="AZ47" s="151"/>
      <c r="BA47" s="151"/>
      <c r="BB47" s="151"/>
      <c r="BC47" s="151"/>
      <c r="BD47" s="151"/>
      <c r="BE47" s="151"/>
      <c r="BF47" s="151"/>
      <c r="BG47" s="151"/>
      <c r="BH47" s="151"/>
      <c r="BI47" s="149"/>
      <c r="BJ47" s="149"/>
      <c r="BK47" s="149"/>
    </row>
    <row r="48" spans="1:63" x14ac:dyDescent="0.25">
      <c r="A48" s="149" t="s">
        <v>267</v>
      </c>
      <c r="B48" s="149"/>
      <c r="C48" s="149"/>
      <c r="D48" s="149">
        <v>34</v>
      </c>
      <c r="E48" s="199"/>
      <c r="F48" s="149"/>
      <c r="G48" s="149"/>
      <c r="H48" s="149"/>
      <c r="I48" s="199"/>
      <c r="J48" s="149"/>
      <c r="K48" s="149"/>
      <c r="L48" s="149"/>
      <c r="M48" s="199"/>
      <c r="N48" s="149"/>
      <c r="O48" s="149"/>
      <c r="P48" s="149"/>
      <c r="Q48" s="199"/>
      <c r="R48" s="190">
        <f t="shared" si="7"/>
        <v>34</v>
      </c>
      <c r="S48" s="156">
        <f t="shared" si="9"/>
        <v>0</v>
      </c>
      <c r="T48" s="189"/>
      <c r="U48" s="189"/>
      <c r="V48" s="189"/>
      <c r="W48" s="189"/>
      <c r="X48" s="189"/>
      <c r="Y48" s="151"/>
      <c r="Z48" s="151"/>
      <c r="AA48" s="151"/>
      <c r="AB48" s="151"/>
      <c r="AC48" s="151"/>
      <c r="AD48" s="151"/>
      <c r="AE48" s="151"/>
      <c r="AG48" s="149" t="s">
        <v>267</v>
      </c>
      <c r="AH48" s="149"/>
      <c r="AI48" s="149"/>
      <c r="AJ48" s="149"/>
      <c r="AK48" s="199"/>
      <c r="AL48" s="149"/>
      <c r="AM48" s="149"/>
      <c r="AN48" s="149"/>
      <c r="AO48" s="199"/>
      <c r="AP48" s="149"/>
      <c r="AQ48" s="149"/>
      <c r="AR48" s="149"/>
      <c r="AS48" s="199"/>
      <c r="AT48" s="149"/>
      <c r="AU48" s="149"/>
      <c r="AV48" s="149"/>
      <c r="AW48" s="199"/>
      <c r="AX48" s="190">
        <f t="shared" si="8"/>
        <v>0</v>
      </c>
      <c r="AY48" s="156">
        <f t="shared" si="10"/>
        <v>0</v>
      </c>
      <c r="AZ48" s="151"/>
      <c r="BA48" s="151"/>
      <c r="BB48" s="151"/>
      <c r="BC48" s="151"/>
      <c r="BD48" s="151"/>
      <c r="BE48" s="151"/>
      <c r="BF48" s="151"/>
      <c r="BG48" s="151"/>
      <c r="BH48" s="151"/>
      <c r="BI48" s="149"/>
      <c r="BJ48" s="149"/>
      <c r="BK48" s="149"/>
    </row>
    <row r="49" spans="1:63" x14ac:dyDescent="0.25">
      <c r="A49" s="149" t="s">
        <v>268</v>
      </c>
      <c r="B49" s="149"/>
      <c r="C49" s="149"/>
      <c r="D49" s="149">
        <v>120</v>
      </c>
      <c r="E49" s="199"/>
      <c r="F49" s="149"/>
      <c r="G49" s="149"/>
      <c r="H49" s="149"/>
      <c r="I49" s="199"/>
      <c r="J49" s="149"/>
      <c r="K49" s="149"/>
      <c r="L49" s="149"/>
      <c r="M49" s="199"/>
      <c r="N49" s="149"/>
      <c r="O49" s="149"/>
      <c r="P49" s="149"/>
      <c r="Q49" s="199"/>
      <c r="R49" s="190">
        <f t="shared" si="7"/>
        <v>120</v>
      </c>
      <c r="S49" s="156">
        <f t="shared" si="9"/>
        <v>0</v>
      </c>
      <c r="T49" s="189"/>
      <c r="U49" s="189"/>
      <c r="V49" s="189"/>
      <c r="W49" s="189"/>
      <c r="X49" s="189"/>
      <c r="Y49" s="151"/>
      <c r="Z49" s="151"/>
      <c r="AA49" s="151"/>
      <c r="AB49" s="151"/>
      <c r="AC49" s="151"/>
      <c r="AD49" s="151"/>
      <c r="AE49" s="151"/>
      <c r="AG49" s="149" t="s">
        <v>268</v>
      </c>
      <c r="AH49" s="149"/>
      <c r="AI49" s="149"/>
      <c r="AJ49" s="149"/>
      <c r="AK49" s="199"/>
      <c r="AL49" s="149"/>
      <c r="AM49" s="149"/>
      <c r="AN49" s="149"/>
      <c r="AO49" s="199"/>
      <c r="AP49" s="149"/>
      <c r="AQ49" s="149"/>
      <c r="AR49" s="149"/>
      <c r="AS49" s="199"/>
      <c r="AT49" s="149"/>
      <c r="AU49" s="149"/>
      <c r="AV49" s="149"/>
      <c r="AW49" s="199"/>
      <c r="AX49" s="190">
        <f t="shared" si="8"/>
        <v>0</v>
      </c>
      <c r="AY49" s="156">
        <f t="shared" si="10"/>
        <v>0</v>
      </c>
      <c r="AZ49" s="151"/>
      <c r="BA49" s="151"/>
      <c r="BB49" s="151"/>
      <c r="BC49" s="151"/>
      <c r="BD49" s="151"/>
      <c r="BE49" s="151"/>
      <c r="BF49" s="151"/>
      <c r="BG49" s="151"/>
      <c r="BH49" s="151"/>
      <c r="BI49" s="149"/>
      <c r="BJ49" s="149"/>
      <c r="BK49" s="149"/>
    </row>
    <row r="50" spans="1:63" x14ac:dyDescent="0.25">
      <c r="A50" s="149" t="s">
        <v>269</v>
      </c>
      <c r="B50" s="149"/>
      <c r="C50" s="149"/>
      <c r="D50" s="149">
        <v>48</v>
      </c>
      <c r="E50" s="199"/>
      <c r="F50" s="149"/>
      <c r="G50" s="149"/>
      <c r="H50" s="149"/>
      <c r="I50" s="199"/>
      <c r="J50" s="149"/>
      <c r="K50" s="149"/>
      <c r="L50" s="149"/>
      <c r="M50" s="199"/>
      <c r="N50" s="149"/>
      <c r="O50" s="149"/>
      <c r="P50" s="149"/>
      <c r="Q50" s="199"/>
      <c r="R50" s="190">
        <f t="shared" si="7"/>
        <v>48</v>
      </c>
      <c r="S50" s="156">
        <f t="shared" si="9"/>
        <v>0</v>
      </c>
      <c r="T50" s="189"/>
      <c r="U50" s="189"/>
      <c r="V50" s="189"/>
      <c r="W50" s="189"/>
      <c r="X50" s="189"/>
      <c r="Y50" s="151"/>
      <c r="Z50" s="151"/>
      <c r="AA50" s="151"/>
      <c r="AB50" s="151"/>
      <c r="AC50" s="151"/>
      <c r="AD50" s="151"/>
      <c r="AE50" s="151"/>
      <c r="AG50" s="149" t="s">
        <v>269</v>
      </c>
      <c r="AH50" s="149"/>
      <c r="AI50" s="149"/>
      <c r="AJ50" s="149"/>
      <c r="AK50" s="199"/>
      <c r="AL50" s="149"/>
      <c r="AM50" s="149"/>
      <c r="AN50" s="149"/>
      <c r="AO50" s="199"/>
      <c r="AP50" s="149"/>
      <c r="AQ50" s="149"/>
      <c r="AR50" s="149"/>
      <c r="AS50" s="199"/>
      <c r="AT50" s="149"/>
      <c r="AU50" s="149"/>
      <c r="AV50" s="149"/>
      <c r="AW50" s="199"/>
      <c r="AX50" s="190">
        <f t="shared" si="8"/>
        <v>0</v>
      </c>
      <c r="AY50" s="156">
        <f t="shared" si="10"/>
        <v>0</v>
      </c>
      <c r="AZ50" s="151"/>
      <c r="BA50" s="151"/>
      <c r="BB50" s="151"/>
      <c r="BC50" s="151"/>
      <c r="BD50" s="151"/>
      <c r="BE50" s="151"/>
      <c r="BF50" s="151"/>
      <c r="BG50" s="151"/>
      <c r="BH50" s="151"/>
      <c r="BI50" s="151"/>
      <c r="BJ50" s="151"/>
      <c r="BK50" s="151"/>
    </row>
    <row r="51" spans="1:63" x14ac:dyDescent="0.25">
      <c r="A51" s="149" t="s">
        <v>270</v>
      </c>
      <c r="B51" s="149"/>
      <c r="C51" s="149"/>
      <c r="D51" s="149">
        <v>0</v>
      </c>
      <c r="E51" s="199"/>
      <c r="F51" s="149"/>
      <c r="G51" s="149"/>
      <c r="H51" s="149"/>
      <c r="I51" s="199"/>
      <c r="J51" s="149"/>
      <c r="K51" s="149"/>
      <c r="L51" s="149"/>
      <c r="M51" s="199"/>
      <c r="N51" s="149"/>
      <c r="O51" s="149"/>
      <c r="P51" s="149"/>
      <c r="Q51" s="199"/>
      <c r="R51" s="190">
        <f t="shared" si="7"/>
        <v>0</v>
      </c>
      <c r="S51" s="156">
        <f t="shared" si="9"/>
        <v>0</v>
      </c>
      <c r="T51" s="189"/>
      <c r="U51" s="189"/>
      <c r="V51" s="189"/>
      <c r="W51" s="189"/>
      <c r="X51" s="189"/>
      <c r="Y51" s="151"/>
      <c r="Z51" s="151"/>
      <c r="AA51" s="151"/>
      <c r="AB51" s="151"/>
      <c r="AC51" s="151"/>
      <c r="AD51" s="151"/>
      <c r="AE51" s="151"/>
      <c r="AG51" s="149" t="s">
        <v>270</v>
      </c>
      <c r="AH51" s="149"/>
      <c r="AI51" s="149"/>
      <c r="AJ51" s="149"/>
      <c r="AK51" s="199"/>
      <c r="AL51" s="149"/>
      <c r="AM51" s="149"/>
      <c r="AN51" s="149"/>
      <c r="AO51" s="199"/>
      <c r="AP51" s="149"/>
      <c r="AQ51" s="149"/>
      <c r="AR51" s="149"/>
      <c r="AS51" s="199"/>
      <c r="AT51" s="149"/>
      <c r="AU51" s="149"/>
      <c r="AV51" s="149"/>
      <c r="AW51" s="199"/>
      <c r="AX51" s="190">
        <f t="shared" si="8"/>
        <v>0</v>
      </c>
      <c r="AY51" s="156">
        <f t="shared" si="10"/>
        <v>0</v>
      </c>
      <c r="AZ51" s="151"/>
      <c r="BA51" s="151"/>
      <c r="BB51" s="151"/>
      <c r="BC51" s="151"/>
      <c r="BD51" s="151"/>
      <c r="BE51" s="151"/>
      <c r="BF51" s="151"/>
      <c r="BG51" s="151"/>
      <c r="BH51" s="151"/>
      <c r="BI51" s="151"/>
      <c r="BJ51" s="151"/>
      <c r="BK51" s="151"/>
    </row>
    <row r="52" spans="1:63" x14ac:dyDescent="0.25">
      <c r="A52" s="149" t="s">
        <v>271</v>
      </c>
      <c r="B52" s="149"/>
      <c r="C52" s="149"/>
      <c r="D52" s="149">
        <v>0</v>
      </c>
      <c r="E52" s="199"/>
      <c r="F52" s="149"/>
      <c r="G52" s="149"/>
      <c r="H52" s="149"/>
      <c r="I52" s="199"/>
      <c r="J52" s="149"/>
      <c r="K52" s="149"/>
      <c r="L52" s="149"/>
      <c r="M52" s="199"/>
      <c r="N52" s="149"/>
      <c r="O52" s="149"/>
      <c r="P52" s="149"/>
      <c r="Q52" s="199"/>
      <c r="R52" s="190">
        <f t="shared" si="7"/>
        <v>0</v>
      </c>
      <c r="S52" s="156">
        <f t="shared" si="9"/>
        <v>0</v>
      </c>
      <c r="T52" s="189"/>
      <c r="U52" s="189"/>
      <c r="V52" s="189"/>
      <c r="W52" s="189"/>
      <c r="X52" s="189"/>
      <c r="Y52" s="151"/>
      <c r="Z52" s="151"/>
      <c r="AA52" s="151"/>
      <c r="AB52" s="151"/>
      <c r="AC52" s="151"/>
      <c r="AD52" s="151"/>
      <c r="AE52" s="151"/>
      <c r="AG52" s="149" t="s">
        <v>271</v>
      </c>
      <c r="AH52" s="149"/>
      <c r="AI52" s="149"/>
      <c r="AJ52" s="149"/>
      <c r="AK52" s="199"/>
      <c r="AL52" s="149"/>
      <c r="AM52" s="149"/>
      <c r="AN52" s="149"/>
      <c r="AO52" s="199"/>
      <c r="AP52" s="149"/>
      <c r="AQ52" s="149"/>
      <c r="AR52" s="149"/>
      <c r="AS52" s="199"/>
      <c r="AT52" s="149"/>
      <c r="AU52" s="149"/>
      <c r="AV52" s="149"/>
      <c r="AW52" s="199"/>
      <c r="AX52" s="190">
        <f t="shared" si="8"/>
        <v>0</v>
      </c>
      <c r="AY52" s="156">
        <f t="shared" si="10"/>
        <v>0</v>
      </c>
      <c r="AZ52" s="151"/>
      <c r="BA52" s="151"/>
      <c r="BB52" s="151"/>
      <c r="BC52" s="151"/>
      <c r="BD52" s="151"/>
      <c r="BE52" s="151"/>
      <c r="BF52" s="151"/>
      <c r="BG52" s="151"/>
      <c r="BH52" s="151"/>
      <c r="BI52" s="151"/>
      <c r="BJ52" s="151"/>
      <c r="BK52" s="151"/>
    </row>
    <row r="53" spans="1:63" x14ac:dyDescent="0.25">
      <c r="A53" s="149" t="s">
        <v>272</v>
      </c>
      <c r="B53" s="149"/>
      <c r="C53" s="149"/>
      <c r="D53" s="149">
        <v>31</v>
      </c>
      <c r="E53" s="199"/>
      <c r="F53" s="149"/>
      <c r="G53" s="149"/>
      <c r="H53" s="149"/>
      <c r="I53" s="199"/>
      <c r="J53" s="149"/>
      <c r="K53" s="149"/>
      <c r="L53" s="149"/>
      <c r="M53" s="199"/>
      <c r="N53" s="149"/>
      <c r="O53" s="149"/>
      <c r="P53" s="149"/>
      <c r="Q53" s="199"/>
      <c r="R53" s="190">
        <f t="shared" si="7"/>
        <v>31</v>
      </c>
      <c r="S53" s="156">
        <f t="shared" si="9"/>
        <v>0</v>
      </c>
      <c r="T53" s="189"/>
      <c r="U53" s="189"/>
      <c r="V53" s="189"/>
      <c r="W53" s="189"/>
      <c r="X53" s="189"/>
      <c r="Y53" s="151"/>
      <c r="Z53" s="151"/>
      <c r="AA53" s="151"/>
      <c r="AB53" s="151"/>
      <c r="AC53" s="151"/>
      <c r="AD53" s="151"/>
      <c r="AE53" s="151"/>
      <c r="AG53" s="149" t="s">
        <v>272</v>
      </c>
      <c r="AH53" s="149"/>
      <c r="AI53" s="149"/>
      <c r="AJ53" s="149"/>
      <c r="AK53" s="199"/>
      <c r="AL53" s="149"/>
      <c r="AM53" s="149"/>
      <c r="AN53" s="149"/>
      <c r="AO53" s="199"/>
      <c r="AP53" s="149"/>
      <c r="AQ53" s="149"/>
      <c r="AR53" s="149"/>
      <c r="AS53" s="199"/>
      <c r="AT53" s="149"/>
      <c r="AU53" s="149"/>
      <c r="AV53" s="149"/>
      <c r="AW53" s="199"/>
      <c r="AX53" s="190">
        <f t="shared" si="8"/>
        <v>0</v>
      </c>
      <c r="AY53" s="156">
        <f t="shared" si="10"/>
        <v>0</v>
      </c>
      <c r="AZ53" s="151"/>
      <c r="BA53" s="151"/>
      <c r="BB53" s="151"/>
      <c r="BC53" s="151"/>
      <c r="BD53" s="151"/>
      <c r="BE53" s="151"/>
      <c r="BF53" s="151"/>
      <c r="BG53" s="151"/>
      <c r="BH53" s="151"/>
      <c r="BI53" s="151"/>
      <c r="BJ53" s="151"/>
      <c r="BK53" s="151"/>
    </row>
    <row r="54" spans="1:63" x14ac:dyDescent="0.25">
      <c r="A54" s="149" t="s">
        <v>273</v>
      </c>
      <c r="B54" s="149"/>
      <c r="C54" s="149"/>
      <c r="D54" s="149">
        <v>0</v>
      </c>
      <c r="E54" s="199"/>
      <c r="F54" s="149"/>
      <c r="G54" s="149"/>
      <c r="H54" s="149"/>
      <c r="I54" s="199"/>
      <c r="J54" s="149"/>
      <c r="K54" s="149"/>
      <c r="L54" s="149"/>
      <c r="M54" s="199"/>
      <c r="N54" s="149"/>
      <c r="O54" s="149"/>
      <c r="P54" s="149"/>
      <c r="Q54" s="199"/>
      <c r="R54" s="190">
        <f t="shared" si="7"/>
        <v>0</v>
      </c>
      <c r="S54" s="156">
        <f t="shared" si="9"/>
        <v>0</v>
      </c>
      <c r="T54" s="189"/>
      <c r="U54" s="189"/>
      <c r="V54" s="189"/>
      <c r="W54" s="189"/>
      <c r="X54" s="189"/>
      <c r="Y54" s="151"/>
      <c r="Z54" s="151"/>
      <c r="AA54" s="151"/>
      <c r="AB54" s="151"/>
      <c r="AC54" s="151"/>
      <c r="AD54" s="151"/>
      <c r="AE54" s="151"/>
      <c r="AG54" s="149" t="s">
        <v>273</v>
      </c>
      <c r="AH54" s="149"/>
      <c r="AI54" s="149"/>
      <c r="AJ54" s="149"/>
      <c r="AK54" s="199"/>
      <c r="AL54" s="149"/>
      <c r="AM54" s="149"/>
      <c r="AN54" s="149"/>
      <c r="AO54" s="199"/>
      <c r="AP54" s="149"/>
      <c r="AQ54" s="149"/>
      <c r="AR54" s="149"/>
      <c r="AS54" s="199"/>
      <c r="AT54" s="149"/>
      <c r="AU54" s="149"/>
      <c r="AV54" s="149"/>
      <c r="AW54" s="199"/>
      <c r="AX54" s="190">
        <f t="shared" si="8"/>
        <v>0</v>
      </c>
      <c r="AY54" s="156">
        <f t="shared" si="10"/>
        <v>0</v>
      </c>
      <c r="AZ54" s="151"/>
      <c r="BA54" s="151"/>
      <c r="BB54" s="151"/>
      <c r="BC54" s="151"/>
      <c r="BD54" s="151"/>
      <c r="BE54" s="151"/>
      <c r="BF54" s="151"/>
      <c r="BG54" s="151"/>
      <c r="BH54" s="151"/>
      <c r="BI54" s="151"/>
      <c r="BJ54" s="151"/>
      <c r="BK54" s="151"/>
    </row>
    <row r="55" spans="1:63" x14ac:dyDescent="0.25">
      <c r="A55" s="149" t="s">
        <v>274</v>
      </c>
      <c r="B55" s="149"/>
      <c r="C55" s="149"/>
      <c r="D55" s="149">
        <v>67</v>
      </c>
      <c r="E55" s="199"/>
      <c r="F55" s="149"/>
      <c r="G55" s="149"/>
      <c r="H55" s="149"/>
      <c r="I55" s="199"/>
      <c r="J55" s="149"/>
      <c r="K55" s="149"/>
      <c r="L55" s="149"/>
      <c r="M55" s="199"/>
      <c r="N55" s="149"/>
      <c r="O55" s="149"/>
      <c r="P55" s="149"/>
      <c r="Q55" s="199"/>
      <c r="R55" s="190">
        <f t="shared" si="7"/>
        <v>67</v>
      </c>
      <c r="S55" s="156">
        <f t="shared" si="9"/>
        <v>0</v>
      </c>
      <c r="T55" s="189"/>
      <c r="U55" s="189"/>
      <c r="V55" s="189"/>
      <c r="W55" s="189"/>
      <c r="X55" s="189"/>
      <c r="Y55" s="151"/>
      <c r="Z55" s="151"/>
      <c r="AA55" s="151"/>
      <c r="AB55" s="151"/>
      <c r="AC55" s="151"/>
      <c r="AD55" s="151"/>
      <c r="AE55" s="151"/>
      <c r="AG55" s="149" t="s">
        <v>274</v>
      </c>
      <c r="AH55" s="149"/>
      <c r="AI55" s="149"/>
      <c r="AJ55" s="149"/>
      <c r="AK55" s="199"/>
      <c r="AL55" s="149"/>
      <c r="AM55" s="149"/>
      <c r="AN55" s="149"/>
      <c r="AO55" s="199"/>
      <c r="AP55" s="149"/>
      <c r="AQ55" s="149"/>
      <c r="AR55" s="149"/>
      <c r="AS55" s="199"/>
      <c r="AT55" s="149"/>
      <c r="AU55" s="149"/>
      <c r="AV55" s="149"/>
      <c r="AW55" s="199"/>
      <c r="AX55" s="190">
        <f t="shared" si="8"/>
        <v>0</v>
      </c>
      <c r="AY55" s="156">
        <f t="shared" si="10"/>
        <v>0</v>
      </c>
      <c r="AZ55" s="151"/>
      <c r="BA55" s="151"/>
      <c r="BB55" s="151"/>
      <c r="BC55" s="151"/>
      <c r="BD55" s="151"/>
      <c r="BE55" s="151"/>
      <c r="BF55" s="151"/>
      <c r="BG55" s="151"/>
      <c r="BH55" s="151"/>
      <c r="BI55" s="151"/>
      <c r="BJ55" s="151"/>
      <c r="BK55" s="151"/>
    </row>
    <row r="56" spans="1:63" x14ac:dyDescent="0.25">
      <c r="A56" s="149" t="s">
        <v>275</v>
      </c>
      <c r="B56" s="149"/>
      <c r="C56" s="149"/>
      <c r="D56" s="149">
        <v>13</v>
      </c>
      <c r="E56" s="199"/>
      <c r="F56" s="149"/>
      <c r="G56" s="149"/>
      <c r="H56" s="149"/>
      <c r="I56" s="199"/>
      <c r="J56" s="149"/>
      <c r="K56" s="149"/>
      <c r="L56" s="149"/>
      <c r="M56" s="199"/>
      <c r="N56" s="149"/>
      <c r="O56" s="149"/>
      <c r="P56" s="149"/>
      <c r="Q56" s="199"/>
      <c r="R56" s="190">
        <f t="shared" si="7"/>
        <v>13</v>
      </c>
      <c r="S56" s="156">
        <f t="shared" si="9"/>
        <v>0</v>
      </c>
      <c r="T56" s="189"/>
      <c r="U56" s="189"/>
      <c r="V56" s="189"/>
      <c r="W56" s="189"/>
      <c r="X56" s="189"/>
      <c r="Y56" s="151"/>
      <c r="Z56" s="151"/>
      <c r="AA56" s="151"/>
      <c r="AB56" s="151"/>
      <c r="AC56" s="151"/>
      <c r="AD56" s="151"/>
      <c r="AE56" s="151"/>
      <c r="AG56" s="149" t="s">
        <v>275</v>
      </c>
      <c r="AH56" s="149"/>
      <c r="AI56" s="149"/>
      <c r="AJ56" s="149"/>
      <c r="AK56" s="199"/>
      <c r="AL56" s="149"/>
      <c r="AM56" s="149"/>
      <c r="AN56" s="149"/>
      <c r="AO56" s="199"/>
      <c r="AP56" s="149"/>
      <c r="AQ56" s="149"/>
      <c r="AR56" s="149"/>
      <c r="AS56" s="199"/>
      <c r="AT56" s="149"/>
      <c r="AU56" s="149"/>
      <c r="AV56" s="149"/>
      <c r="AW56" s="199"/>
      <c r="AX56" s="190">
        <f t="shared" si="8"/>
        <v>0</v>
      </c>
      <c r="AY56" s="156">
        <f t="shared" si="10"/>
        <v>0</v>
      </c>
      <c r="AZ56" s="151"/>
      <c r="BA56" s="151"/>
      <c r="BB56" s="151"/>
      <c r="BC56" s="151"/>
      <c r="BD56" s="151"/>
      <c r="BE56" s="151"/>
      <c r="BF56" s="151"/>
      <c r="BG56" s="151"/>
      <c r="BH56" s="151"/>
      <c r="BI56" s="151"/>
      <c r="BJ56" s="151"/>
      <c r="BK56" s="151"/>
    </row>
    <row r="57" spans="1:63" x14ac:dyDescent="0.25">
      <c r="A57" s="149" t="s">
        <v>276</v>
      </c>
      <c r="B57" s="149"/>
      <c r="C57" s="149"/>
      <c r="D57" s="149">
        <v>6</v>
      </c>
      <c r="E57" s="199"/>
      <c r="F57" s="149"/>
      <c r="G57" s="149"/>
      <c r="H57" s="149"/>
      <c r="I57" s="199"/>
      <c r="J57" s="149"/>
      <c r="K57" s="149"/>
      <c r="L57" s="149"/>
      <c r="M57" s="199"/>
      <c r="N57" s="149"/>
      <c r="O57" s="149"/>
      <c r="P57" s="149"/>
      <c r="Q57" s="199"/>
      <c r="R57" s="190">
        <f t="shared" si="7"/>
        <v>6</v>
      </c>
      <c r="S57" s="156">
        <f t="shared" si="9"/>
        <v>0</v>
      </c>
      <c r="T57" s="189"/>
      <c r="U57" s="189"/>
      <c r="V57" s="189"/>
      <c r="W57" s="189"/>
      <c r="X57" s="189"/>
      <c r="Y57" s="151"/>
      <c r="Z57" s="151"/>
      <c r="AA57" s="151"/>
      <c r="AB57" s="151"/>
      <c r="AC57" s="151"/>
      <c r="AD57" s="151"/>
      <c r="AE57" s="151"/>
      <c r="AG57" s="149" t="s">
        <v>276</v>
      </c>
      <c r="AH57" s="149"/>
      <c r="AI57" s="149"/>
      <c r="AJ57" s="149"/>
      <c r="AK57" s="199"/>
      <c r="AL57" s="149"/>
      <c r="AM57" s="149"/>
      <c r="AN57" s="149"/>
      <c r="AO57" s="199"/>
      <c r="AP57" s="149"/>
      <c r="AQ57" s="149"/>
      <c r="AR57" s="149"/>
      <c r="AS57" s="199"/>
      <c r="AT57" s="149"/>
      <c r="AU57" s="149"/>
      <c r="AV57" s="149"/>
      <c r="AW57" s="199"/>
      <c r="AX57" s="190">
        <f t="shared" si="8"/>
        <v>0</v>
      </c>
      <c r="AY57" s="156">
        <f t="shared" si="10"/>
        <v>0</v>
      </c>
      <c r="AZ57" s="151"/>
      <c r="BA57" s="151"/>
      <c r="BB57" s="151"/>
      <c r="BC57" s="151"/>
      <c r="BD57" s="151"/>
      <c r="BE57" s="151"/>
      <c r="BF57" s="151"/>
      <c r="BG57" s="151"/>
      <c r="BH57" s="151"/>
      <c r="BI57" s="151"/>
      <c r="BJ57" s="151"/>
      <c r="BK57" s="151"/>
    </row>
    <row r="58" spans="1:63" x14ac:dyDescent="0.25">
      <c r="A58" s="149" t="s">
        <v>277</v>
      </c>
      <c r="B58" s="149"/>
      <c r="C58" s="149"/>
      <c r="D58" s="149">
        <v>0</v>
      </c>
      <c r="E58" s="199"/>
      <c r="F58" s="149"/>
      <c r="G58" s="149"/>
      <c r="H58" s="149"/>
      <c r="I58" s="199"/>
      <c r="J58" s="149"/>
      <c r="K58" s="149"/>
      <c r="L58" s="149"/>
      <c r="M58" s="199"/>
      <c r="N58" s="149"/>
      <c r="O58" s="149"/>
      <c r="P58" s="149"/>
      <c r="Q58" s="199"/>
      <c r="R58" s="190">
        <f t="shared" si="7"/>
        <v>0</v>
      </c>
      <c r="S58" s="156">
        <f t="shared" si="9"/>
        <v>0</v>
      </c>
      <c r="T58" s="189"/>
      <c r="U58" s="189"/>
      <c r="V58" s="189"/>
      <c r="W58" s="189"/>
      <c r="X58" s="189"/>
      <c r="Y58" s="151"/>
      <c r="Z58" s="151"/>
      <c r="AA58" s="151"/>
      <c r="AB58" s="151"/>
      <c r="AC58" s="151"/>
      <c r="AD58" s="151"/>
      <c r="AE58" s="151"/>
      <c r="AG58" s="149" t="s">
        <v>277</v>
      </c>
      <c r="AH58" s="149"/>
      <c r="AI58" s="149"/>
      <c r="AJ58" s="149"/>
      <c r="AK58" s="199"/>
      <c r="AL58" s="149"/>
      <c r="AM58" s="149"/>
      <c r="AN58" s="149"/>
      <c r="AO58" s="199"/>
      <c r="AP58" s="149"/>
      <c r="AQ58" s="149"/>
      <c r="AR58" s="149"/>
      <c r="AS58" s="199"/>
      <c r="AT58" s="149"/>
      <c r="AU58" s="149"/>
      <c r="AV58" s="149"/>
      <c r="AW58" s="199"/>
      <c r="AX58" s="190">
        <f t="shared" si="8"/>
        <v>0</v>
      </c>
      <c r="AY58" s="156">
        <f t="shared" si="10"/>
        <v>0</v>
      </c>
      <c r="AZ58" s="151"/>
      <c r="BA58" s="151"/>
      <c r="BB58" s="151"/>
      <c r="BC58" s="151"/>
      <c r="BD58" s="151"/>
      <c r="BE58" s="151"/>
      <c r="BF58" s="151"/>
      <c r="BG58" s="151"/>
      <c r="BH58" s="151"/>
      <c r="BI58" s="151"/>
      <c r="BJ58" s="151"/>
      <c r="BK58" s="151"/>
    </row>
    <row r="59" spans="1:63" x14ac:dyDescent="0.25">
      <c r="A59" s="149" t="s">
        <v>278</v>
      </c>
      <c r="B59" s="149"/>
      <c r="C59" s="149"/>
      <c r="D59" s="149">
        <v>0</v>
      </c>
      <c r="E59" s="199"/>
      <c r="F59" s="149"/>
      <c r="G59" s="149"/>
      <c r="H59" s="149"/>
      <c r="I59" s="199"/>
      <c r="J59" s="149"/>
      <c r="K59" s="149"/>
      <c r="L59" s="149"/>
      <c r="M59" s="199"/>
      <c r="N59" s="149"/>
      <c r="O59" s="149"/>
      <c r="P59" s="149"/>
      <c r="Q59" s="199"/>
      <c r="R59" s="190">
        <f t="shared" si="7"/>
        <v>0</v>
      </c>
      <c r="S59" s="156">
        <f t="shared" si="9"/>
        <v>0</v>
      </c>
      <c r="T59" s="189"/>
      <c r="U59" s="189"/>
      <c r="V59" s="189"/>
      <c r="W59" s="189"/>
      <c r="X59" s="189"/>
      <c r="Y59" s="151"/>
      <c r="Z59" s="151"/>
      <c r="AA59" s="151"/>
      <c r="AB59" s="151"/>
      <c r="AC59" s="151"/>
      <c r="AD59" s="151"/>
      <c r="AE59" s="151"/>
      <c r="AG59" s="149" t="s">
        <v>278</v>
      </c>
      <c r="AH59" s="149"/>
      <c r="AI59" s="149"/>
      <c r="AJ59" s="149"/>
      <c r="AK59" s="199"/>
      <c r="AL59" s="149"/>
      <c r="AM59" s="149"/>
      <c r="AN59" s="149"/>
      <c r="AO59" s="199"/>
      <c r="AP59" s="149"/>
      <c r="AQ59" s="149"/>
      <c r="AR59" s="149"/>
      <c r="AS59" s="199"/>
      <c r="AT59" s="149"/>
      <c r="AU59" s="149"/>
      <c r="AV59" s="149"/>
      <c r="AW59" s="199"/>
      <c r="AX59" s="190">
        <f t="shared" si="8"/>
        <v>0</v>
      </c>
      <c r="AY59" s="156">
        <f t="shared" si="10"/>
        <v>0</v>
      </c>
      <c r="AZ59" s="151"/>
      <c r="BA59" s="151"/>
      <c r="BB59" s="151"/>
      <c r="BC59" s="151"/>
      <c r="BD59" s="151"/>
      <c r="BE59" s="151"/>
      <c r="BF59" s="151"/>
      <c r="BG59" s="151"/>
      <c r="BH59" s="151"/>
      <c r="BI59" s="151"/>
      <c r="BJ59" s="151"/>
      <c r="BK59" s="151"/>
    </row>
    <row r="60" spans="1:63" x14ac:dyDescent="0.25">
      <c r="A60" s="153" t="s">
        <v>279</v>
      </c>
      <c r="B60" s="150">
        <f t="shared" ref="B60:Q60" si="11">SUM(B39:B59)</f>
        <v>0</v>
      </c>
      <c r="C60" s="150">
        <f>SUM(C39:C59)</f>
        <v>0</v>
      </c>
      <c r="D60" s="150">
        <f>SUM(D39:D59)</f>
        <v>542</v>
      </c>
      <c r="E60" s="200">
        <f t="shared" si="11"/>
        <v>0</v>
      </c>
      <c r="F60" s="150">
        <f t="shared" si="11"/>
        <v>0</v>
      </c>
      <c r="G60" s="150">
        <f t="shared" si="11"/>
        <v>0</v>
      </c>
      <c r="H60" s="150">
        <f t="shared" si="11"/>
        <v>0</v>
      </c>
      <c r="I60" s="200">
        <f t="shared" si="11"/>
        <v>0</v>
      </c>
      <c r="J60" s="150">
        <f t="shared" si="11"/>
        <v>0</v>
      </c>
      <c r="K60" s="150">
        <f t="shared" si="11"/>
        <v>0</v>
      </c>
      <c r="L60" s="150">
        <f t="shared" si="11"/>
        <v>0</v>
      </c>
      <c r="M60" s="200">
        <f t="shared" si="11"/>
        <v>0</v>
      </c>
      <c r="N60" s="150">
        <f t="shared" si="11"/>
        <v>0</v>
      </c>
      <c r="O60" s="150">
        <f t="shared" si="11"/>
        <v>0</v>
      </c>
      <c r="P60" s="150">
        <f t="shared" si="11"/>
        <v>0</v>
      </c>
      <c r="Q60" s="200">
        <f t="shared" si="11"/>
        <v>0</v>
      </c>
      <c r="R60" s="150">
        <f t="shared" ref="R60:AE60" si="12">SUM(R39:R59)</f>
        <v>542</v>
      </c>
      <c r="S60" s="156">
        <f t="shared" si="12"/>
        <v>0</v>
      </c>
      <c r="T60" s="150">
        <f t="shared" si="12"/>
        <v>0</v>
      </c>
      <c r="U60" s="150">
        <f t="shared" si="12"/>
        <v>0</v>
      </c>
      <c r="V60" s="150">
        <f t="shared" si="12"/>
        <v>0</v>
      </c>
      <c r="W60" s="150">
        <f t="shared" si="12"/>
        <v>0</v>
      </c>
      <c r="X60" s="150">
        <f t="shared" si="12"/>
        <v>0</v>
      </c>
      <c r="Y60" s="150">
        <f t="shared" si="12"/>
        <v>0</v>
      </c>
      <c r="Z60" s="150">
        <f t="shared" si="12"/>
        <v>0</v>
      </c>
      <c r="AA60" s="150">
        <f t="shared" si="12"/>
        <v>0</v>
      </c>
      <c r="AB60" s="150">
        <f t="shared" si="12"/>
        <v>0</v>
      </c>
      <c r="AC60" s="150">
        <f t="shared" si="12"/>
        <v>0</v>
      </c>
      <c r="AD60" s="150">
        <f t="shared" si="12"/>
        <v>0</v>
      </c>
      <c r="AE60" s="150">
        <f t="shared" si="12"/>
        <v>0</v>
      </c>
      <c r="AG60" s="153" t="s">
        <v>279</v>
      </c>
      <c r="AH60" s="150">
        <f t="shared" ref="AH60:AW60" si="13">SUM(AH39:AH59)</f>
        <v>0</v>
      </c>
      <c r="AI60" s="150">
        <f t="shared" si="13"/>
        <v>0</v>
      </c>
      <c r="AJ60" s="150">
        <f t="shared" si="13"/>
        <v>0</v>
      </c>
      <c r="AK60" s="200">
        <f t="shared" si="13"/>
        <v>0</v>
      </c>
      <c r="AL60" s="150">
        <f t="shared" si="13"/>
        <v>0</v>
      </c>
      <c r="AM60" s="150">
        <f t="shared" si="13"/>
        <v>0</v>
      </c>
      <c r="AN60" s="150">
        <f t="shared" si="13"/>
        <v>0</v>
      </c>
      <c r="AO60" s="200">
        <f t="shared" si="13"/>
        <v>0</v>
      </c>
      <c r="AP60" s="150">
        <f t="shared" si="13"/>
        <v>0</v>
      </c>
      <c r="AQ60" s="150">
        <f t="shared" si="13"/>
        <v>0</v>
      </c>
      <c r="AR60" s="150">
        <f t="shared" si="13"/>
        <v>0</v>
      </c>
      <c r="AS60" s="200">
        <f t="shared" si="13"/>
        <v>0</v>
      </c>
      <c r="AT60" s="150">
        <f t="shared" si="13"/>
        <v>0</v>
      </c>
      <c r="AU60" s="150">
        <f t="shared" si="13"/>
        <v>0</v>
      </c>
      <c r="AV60" s="150">
        <f t="shared" si="13"/>
        <v>0</v>
      </c>
      <c r="AW60" s="200">
        <f t="shared" si="13"/>
        <v>0</v>
      </c>
      <c r="AX60" s="191">
        <f t="shared" ref="AX60:BK60" si="14">SUM(AX39:AX59)</f>
        <v>0</v>
      </c>
      <c r="AY60" s="157">
        <f t="shared" si="14"/>
        <v>0</v>
      </c>
      <c r="AZ60" s="150">
        <f t="shared" si="14"/>
        <v>0</v>
      </c>
      <c r="BA60" s="150">
        <f t="shared" si="14"/>
        <v>0</v>
      </c>
      <c r="BB60" s="150">
        <f t="shared" si="14"/>
        <v>0</v>
      </c>
      <c r="BC60" s="150">
        <f t="shared" si="14"/>
        <v>0</v>
      </c>
      <c r="BD60" s="150">
        <f t="shared" si="14"/>
        <v>0</v>
      </c>
      <c r="BE60" s="150">
        <f t="shared" si="14"/>
        <v>0</v>
      </c>
      <c r="BF60" s="150">
        <f t="shared" si="14"/>
        <v>0</v>
      </c>
      <c r="BG60" s="150">
        <f t="shared" si="14"/>
        <v>0</v>
      </c>
      <c r="BH60" s="150">
        <f t="shared" si="14"/>
        <v>0</v>
      </c>
      <c r="BI60" s="150">
        <f t="shared" si="14"/>
        <v>0</v>
      </c>
      <c r="BJ60" s="150">
        <f t="shared" si="14"/>
        <v>0</v>
      </c>
      <c r="BK60" s="150">
        <f t="shared" si="14"/>
        <v>0</v>
      </c>
    </row>
  </sheetData>
  <mergeCells count="46">
    <mergeCell ref="R37:S37"/>
    <mergeCell ref="T37:Y37"/>
    <mergeCell ref="A37:A38"/>
    <mergeCell ref="D37:E37"/>
    <mergeCell ref="H37:I37"/>
    <mergeCell ref="L37:M37"/>
    <mergeCell ref="P37:Q37"/>
    <mergeCell ref="AX37:AY37"/>
    <mergeCell ref="AZ37:BE37"/>
    <mergeCell ref="BF37:BK37"/>
    <mergeCell ref="AR9:AS9"/>
    <mergeCell ref="AV9:AW9"/>
    <mergeCell ref="BF9:BK9"/>
    <mergeCell ref="AZ9:BE9"/>
    <mergeCell ref="AV37:AW37"/>
    <mergeCell ref="AX9:AY9"/>
    <mergeCell ref="B34:BK34"/>
    <mergeCell ref="B35:BK35"/>
    <mergeCell ref="Z37:AE37"/>
    <mergeCell ref="AG37:AG38"/>
    <mergeCell ref="AJ37:AK37"/>
    <mergeCell ref="AN37:AO37"/>
    <mergeCell ref="AR37:AS37"/>
    <mergeCell ref="A5:AE5"/>
    <mergeCell ref="AJ9:AK9"/>
    <mergeCell ref="AN9:AO9"/>
    <mergeCell ref="Z9:AE9"/>
    <mergeCell ref="AG9:AG10"/>
    <mergeCell ref="L9:M9"/>
    <mergeCell ref="P9:Q9"/>
    <mergeCell ref="B7:BK7"/>
    <mergeCell ref="T9:Y9"/>
    <mergeCell ref="AG5:BK5"/>
    <mergeCell ref="A9:A10"/>
    <mergeCell ref="D9:E9"/>
    <mergeCell ref="H9:I9"/>
    <mergeCell ref="B6:BK6"/>
    <mergeCell ref="R9:S9"/>
    <mergeCell ref="BI4:BK4"/>
    <mergeCell ref="A4:BH4"/>
    <mergeCell ref="BI1:BK1"/>
    <mergeCell ref="BI2:BK2"/>
    <mergeCell ref="BI3:BK3"/>
    <mergeCell ref="A1:BH1"/>
    <mergeCell ref="A2:BH2"/>
    <mergeCell ref="A3:BH3"/>
  </mergeCells>
  <pageMargins left="0.7" right="0.7" top="0.75" bottom="0.75" header="0.3" footer="0.3"/>
  <pageSetup scale="17" orientation="landscape"/>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45"/>
  <sheetViews>
    <sheetView topLeftCell="A31" zoomScale="90" zoomScaleNormal="90" workbookViewId="0">
      <selection activeCell="A36" sqref="A36"/>
    </sheetView>
  </sheetViews>
  <sheetFormatPr baseColWidth="10" defaultColWidth="10.85546875" defaultRowHeight="15" x14ac:dyDescent="0.25"/>
  <cols>
    <col min="1" max="1" width="72" style="133" bestFit="1" customWidth="1"/>
    <col min="2" max="2" width="73.42578125" style="133" customWidth="1"/>
    <col min="3" max="3" width="10.85546875" style="133"/>
    <col min="4" max="4" width="31.140625" style="133" customWidth="1"/>
    <col min="5" max="5" width="70.140625" style="133" customWidth="1"/>
    <col min="6" max="6" width="17.28515625" style="133" customWidth="1"/>
    <col min="7" max="8" width="21.85546875" style="133" customWidth="1"/>
    <col min="9" max="9" width="19.28515625" style="133" customWidth="1"/>
    <col min="10" max="10" width="42" style="133" customWidth="1"/>
    <col min="11" max="16384" width="10.85546875" style="133"/>
  </cols>
  <sheetData>
    <row r="1" spans="1:2" ht="25.5" customHeight="1" x14ac:dyDescent="0.25">
      <c r="A1" s="841" t="s">
        <v>146</v>
      </c>
      <c r="B1" s="842"/>
    </row>
    <row r="2" spans="1:2" ht="25.5" customHeight="1" x14ac:dyDescent="0.25">
      <c r="A2" s="843" t="s">
        <v>281</v>
      </c>
      <c r="B2" s="844"/>
    </row>
    <row r="3" spans="1:2" x14ac:dyDescent="0.25">
      <c r="A3" s="196" t="s">
        <v>282</v>
      </c>
      <c r="B3" s="134" t="s">
        <v>283</v>
      </c>
    </row>
    <row r="4" spans="1:2" x14ac:dyDescent="0.25">
      <c r="A4" s="197" t="s">
        <v>9</v>
      </c>
      <c r="B4" s="141" t="s">
        <v>284</v>
      </c>
    </row>
    <row r="5" spans="1:2" ht="105" x14ac:dyDescent="0.25">
      <c r="A5" s="197" t="s">
        <v>10</v>
      </c>
      <c r="B5" s="201" t="s">
        <v>285</v>
      </c>
    </row>
    <row r="6" spans="1:2" x14ac:dyDescent="0.25">
      <c r="A6" s="197" t="s">
        <v>15</v>
      </c>
      <c r="B6" s="845" t="s">
        <v>286</v>
      </c>
    </row>
    <row r="7" spans="1:2" x14ac:dyDescent="0.25">
      <c r="A7" s="197" t="s">
        <v>17</v>
      </c>
      <c r="B7" s="846"/>
    </row>
    <row r="8" spans="1:2" x14ac:dyDescent="0.25">
      <c r="A8" s="197" t="s">
        <v>19</v>
      </c>
      <c r="B8" s="846"/>
    </row>
    <row r="9" spans="1:2" x14ac:dyDescent="0.25">
      <c r="A9" s="197" t="s">
        <v>287</v>
      </c>
      <c r="B9" s="847"/>
    </row>
    <row r="10" spans="1:2" ht="30" x14ac:dyDescent="0.25">
      <c r="A10" s="197" t="s">
        <v>7</v>
      </c>
      <c r="B10" s="135" t="s">
        <v>288</v>
      </c>
    </row>
    <row r="11" spans="1:2" ht="45" x14ac:dyDescent="0.25">
      <c r="A11" s="197" t="s">
        <v>27</v>
      </c>
      <c r="B11" s="135" t="s">
        <v>289</v>
      </c>
    </row>
    <row r="12" spans="1:2" ht="60" x14ac:dyDescent="0.25">
      <c r="A12" s="197" t="s">
        <v>26</v>
      </c>
      <c r="B12" s="136" t="s">
        <v>290</v>
      </c>
    </row>
    <row r="13" spans="1:2" ht="30" x14ac:dyDescent="0.25">
      <c r="A13" s="197" t="s">
        <v>291</v>
      </c>
      <c r="B13" s="136" t="s">
        <v>292</v>
      </c>
    </row>
    <row r="14" spans="1:2" ht="45" x14ac:dyDescent="0.25">
      <c r="A14" s="197" t="s">
        <v>293</v>
      </c>
      <c r="B14" s="136" t="s">
        <v>294</v>
      </c>
    </row>
    <row r="15" spans="1:2" ht="72" customHeight="1" x14ac:dyDescent="0.25">
      <c r="A15" s="198" t="s">
        <v>295</v>
      </c>
      <c r="B15" s="137" t="s">
        <v>296</v>
      </c>
    </row>
    <row r="16" spans="1:2" ht="194.25" x14ac:dyDescent="0.25">
      <c r="A16" s="198" t="s">
        <v>297</v>
      </c>
      <c r="B16" s="138" t="s">
        <v>298</v>
      </c>
    </row>
    <row r="17" spans="1:2" ht="25.5" customHeight="1" x14ac:dyDescent="0.25">
      <c r="A17" s="843" t="s">
        <v>299</v>
      </c>
      <c r="B17" s="844"/>
    </row>
    <row r="18" spans="1:2" x14ac:dyDescent="0.25">
      <c r="A18" s="196" t="s">
        <v>282</v>
      </c>
      <c r="B18" s="134" t="s">
        <v>283</v>
      </c>
    </row>
    <row r="19" spans="1:2" x14ac:dyDescent="0.25">
      <c r="A19" s="197" t="s">
        <v>9</v>
      </c>
      <c r="B19" s="141" t="s">
        <v>284</v>
      </c>
    </row>
    <row r="20" spans="1:2" ht="105" x14ac:dyDescent="0.25">
      <c r="A20" s="197" t="s">
        <v>10</v>
      </c>
      <c r="B20" s="140" t="s">
        <v>300</v>
      </c>
    </row>
    <row r="21" spans="1:2" ht="30" x14ac:dyDescent="0.25">
      <c r="A21" s="197" t="s">
        <v>301</v>
      </c>
      <c r="B21" s="136" t="s">
        <v>302</v>
      </c>
    </row>
    <row r="22" spans="1:2" ht="45" x14ac:dyDescent="0.25">
      <c r="A22" s="197" t="s">
        <v>303</v>
      </c>
      <c r="B22" s="136" t="s">
        <v>304</v>
      </c>
    </row>
    <row r="23" spans="1:2" ht="75" x14ac:dyDescent="0.25">
      <c r="A23" s="197" t="s">
        <v>305</v>
      </c>
      <c r="B23" s="136" t="s">
        <v>306</v>
      </c>
    </row>
    <row r="24" spans="1:2" ht="30" x14ac:dyDescent="0.25">
      <c r="A24" s="197" t="s">
        <v>307</v>
      </c>
      <c r="B24" s="136" t="s">
        <v>308</v>
      </c>
    </row>
    <row r="25" spans="1:2" x14ac:dyDescent="0.25">
      <c r="A25" s="197" t="s">
        <v>309</v>
      </c>
      <c r="B25" s="136" t="s">
        <v>310</v>
      </c>
    </row>
    <row r="26" spans="1:2" ht="45.95" customHeight="1" x14ac:dyDescent="0.25">
      <c r="A26" s="197" t="s">
        <v>311</v>
      </c>
      <c r="B26" s="139" t="s">
        <v>312</v>
      </c>
    </row>
    <row r="27" spans="1:2" ht="75" x14ac:dyDescent="0.25">
      <c r="A27" s="197" t="s">
        <v>158</v>
      </c>
      <c r="B27" s="139" t="s">
        <v>313</v>
      </c>
    </row>
    <row r="28" spans="1:2" ht="45" x14ac:dyDescent="0.25">
      <c r="A28" s="197" t="s">
        <v>314</v>
      </c>
      <c r="B28" s="139" t="s">
        <v>315</v>
      </c>
    </row>
    <row r="29" spans="1:2" ht="45" x14ac:dyDescent="0.25">
      <c r="A29" s="197" t="s">
        <v>316</v>
      </c>
      <c r="B29" s="139" t="s">
        <v>317</v>
      </c>
    </row>
    <row r="30" spans="1:2" ht="45" x14ac:dyDescent="0.25">
      <c r="A30" s="197" t="s">
        <v>318</v>
      </c>
      <c r="B30" s="139" t="s">
        <v>319</v>
      </c>
    </row>
    <row r="31" spans="1:2" ht="159" customHeight="1" x14ac:dyDescent="0.25">
      <c r="A31" s="197" t="s">
        <v>320</v>
      </c>
      <c r="B31" s="321" t="s">
        <v>321</v>
      </c>
    </row>
    <row r="32" spans="1:2" ht="30" x14ac:dyDescent="0.25">
      <c r="A32" s="197" t="s">
        <v>322</v>
      </c>
      <c r="B32" s="139" t="s">
        <v>323</v>
      </c>
    </row>
    <row r="33" spans="1:2" ht="30" x14ac:dyDescent="0.25">
      <c r="A33" s="197" t="s">
        <v>324</v>
      </c>
      <c r="B33" s="139" t="s">
        <v>325</v>
      </c>
    </row>
    <row r="34" spans="1:2" ht="30" x14ac:dyDescent="0.25">
      <c r="A34" s="197" t="s">
        <v>326</v>
      </c>
      <c r="B34" s="139" t="s">
        <v>327</v>
      </c>
    </row>
    <row r="35" spans="1:2" ht="30" x14ac:dyDescent="0.25">
      <c r="A35" s="197" t="s">
        <v>328</v>
      </c>
      <c r="B35" s="139" t="s">
        <v>329</v>
      </c>
    </row>
    <row r="36" spans="1:2" ht="75" x14ac:dyDescent="0.25">
      <c r="A36" s="197" t="s">
        <v>330</v>
      </c>
      <c r="B36" s="139" t="s">
        <v>331</v>
      </c>
    </row>
    <row r="37" spans="1:2" x14ac:dyDescent="0.25">
      <c r="A37" s="197" t="s">
        <v>149</v>
      </c>
      <c r="B37" s="139" t="s">
        <v>332</v>
      </c>
    </row>
    <row r="38" spans="1:2" ht="30" x14ac:dyDescent="0.25">
      <c r="A38" s="197" t="s">
        <v>333</v>
      </c>
      <c r="B38" s="139" t="s">
        <v>334</v>
      </c>
    </row>
    <row r="39" spans="1:2" ht="45" x14ac:dyDescent="0.25">
      <c r="A39" s="197" t="s">
        <v>335</v>
      </c>
      <c r="B39" s="139" t="s">
        <v>336</v>
      </c>
    </row>
    <row r="40" spans="1:2" ht="28.5" x14ac:dyDescent="0.25">
      <c r="A40" s="198" t="s">
        <v>152</v>
      </c>
      <c r="B40" s="139" t="s">
        <v>337</v>
      </c>
    </row>
    <row r="41" spans="1:2" ht="25.5" customHeight="1" x14ac:dyDescent="0.25">
      <c r="A41" s="843" t="s">
        <v>338</v>
      </c>
      <c r="B41" s="844"/>
    </row>
    <row r="42" spans="1:2" x14ac:dyDescent="0.25">
      <c r="A42" s="841" t="s">
        <v>339</v>
      </c>
      <c r="B42" s="842"/>
    </row>
    <row r="43" spans="1:2" ht="72" customHeight="1" x14ac:dyDescent="0.25">
      <c r="A43" s="839" t="s">
        <v>340</v>
      </c>
      <c r="B43" s="840"/>
    </row>
    <row r="44" spans="1:2" ht="30" x14ac:dyDescent="0.25">
      <c r="A44" s="197" t="s">
        <v>316</v>
      </c>
      <c r="B44" s="139" t="s">
        <v>341</v>
      </c>
    </row>
    <row r="45" spans="1:2" ht="45" x14ac:dyDescent="0.25">
      <c r="A45" s="198" t="s">
        <v>342</v>
      </c>
      <c r="B45" s="139" t="s">
        <v>343</v>
      </c>
    </row>
  </sheetData>
  <mergeCells count="7">
    <mergeCell ref="A43:B43"/>
    <mergeCell ref="A1:B1"/>
    <mergeCell ref="A2:B2"/>
    <mergeCell ref="B6:B9"/>
    <mergeCell ref="A17:B17"/>
    <mergeCell ref="A41:B41"/>
    <mergeCell ref="A42:B42"/>
  </mergeCells>
  <pageMargins left="0.25" right="0.25" top="0.75" bottom="0.75" header="0.3" footer="0.3"/>
  <pageSetup scale="35" orientation="portrait"/>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6"/>
  <sheetViews>
    <sheetView zoomScale="91" workbookViewId="0">
      <selection activeCell="D9" sqref="D9"/>
    </sheetView>
  </sheetViews>
  <sheetFormatPr baseColWidth="10" defaultColWidth="11.42578125" defaultRowHeight="15" x14ac:dyDescent="0.25"/>
  <cols>
    <col min="1" max="1" width="44.140625" style="108" customWidth="1"/>
    <col min="2" max="2" width="61.85546875" style="108" customWidth="1"/>
    <col min="3" max="3" width="61.140625" style="108" customWidth="1"/>
    <col min="4" max="4" width="81" style="108" customWidth="1"/>
    <col min="5" max="5" width="32.85546875" style="133" customWidth="1"/>
    <col min="6" max="6" width="19" style="108" customWidth="1"/>
    <col min="7" max="7" width="29.42578125" style="108" customWidth="1"/>
    <col min="8" max="8" width="36.28515625" style="108" customWidth="1"/>
    <col min="9" max="9" width="40" style="108" customWidth="1"/>
    <col min="10" max="16384" width="11.42578125" style="108"/>
  </cols>
  <sheetData>
    <row r="1" spans="1:9" s="121" customFormat="1" x14ac:dyDescent="0.25">
      <c r="A1" s="120" t="s">
        <v>344</v>
      </c>
      <c r="B1" s="120" t="s">
        <v>345</v>
      </c>
      <c r="C1" s="120" t="s">
        <v>346</v>
      </c>
      <c r="D1" s="120" t="s">
        <v>347</v>
      </c>
      <c r="E1" s="120" t="s">
        <v>318</v>
      </c>
      <c r="F1" s="120" t="s">
        <v>348</v>
      </c>
      <c r="G1" s="120" t="s">
        <v>349</v>
      </c>
      <c r="H1" s="120" t="s">
        <v>242</v>
      </c>
      <c r="I1" s="120" t="s">
        <v>309</v>
      </c>
    </row>
    <row r="2" spans="1:9" s="121" customFormat="1" x14ac:dyDescent="0.25">
      <c r="A2" s="122" t="s">
        <v>350</v>
      </c>
      <c r="B2" s="116" t="s">
        <v>351</v>
      </c>
      <c r="C2" s="122" t="s">
        <v>352</v>
      </c>
      <c r="D2" s="123" t="s">
        <v>353</v>
      </c>
      <c r="E2" s="117" t="s">
        <v>354</v>
      </c>
      <c r="F2" s="124" t="s">
        <v>355</v>
      </c>
      <c r="G2" s="125" t="s">
        <v>356</v>
      </c>
      <c r="H2" s="125" t="s">
        <v>357</v>
      </c>
      <c r="I2" s="124" t="s">
        <v>358</v>
      </c>
    </row>
    <row r="3" spans="1:9" x14ac:dyDescent="0.25">
      <c r="A3" s="122" t="s">
        <v>359</v>
      </c>
      <c r="B3" s="116" t="s">
        <v>360</v>
      </c>
      <c r="C3" s="122" t="s">
        <v>361</v>
      </c>
      <c r="D3" s="126" t="s">
        <v>362</v>
      </c>
      <c r="E3" s="117" t="s">
        <v>363</v>
      </c>
      <c r="F3" s="124" t="s">
        <v>364</v>
      </c>
      <c r="G3" s="125" t="s">
        <v>365</v>
      </c>
      <c r="H3" s="125" t="s">
        <v>251</v>
      </c>
      <c r="I3" s="124" t="s">
        <v>366</v>
      </c>
    </row>
    <row r="4" spans="1:9" x14ac:dyDescent="0.25">
      <c r="A4" s="122" t="s">
        <v>367</v>
      </c>
      <c r="B4" s="116" t="s">
        <v>368</v>
      </c>
      <c r="C4" s="122" t="s">
        <v>369</v>
      </c>
      <c r="D4" s="126" t="s">
        <v>370</v>
      </c>
      <c r="E4" s="117" t="s">
        <v>371</v>
      </c>
      <c r="F4" s="124" t="s">
        <v>372</v>
      </c>
      <c r="G4" s="125" t="s">
        <v>373</v>
      </c>
      <c r="H4" s="125" t="s">
        <v>246</v>
      </c>
      <c r="I4" s="124" t="s">
        <v>374</v>
      </c>
    </row>
    <row r="5" spans="1:9" x14ac:dyDescent="0.25">
      <c r="A5" s="122" t="s">
        <v>375</v>
      </c>
      <c r="B5" s="116" t="s">
        <v>376</v>
      </c>
      <c r="C5" s="122" t="s">
        <v>377</v>
      </c>
      <c r="D5" s="126" t="s">
        <v>378</v>
      </c>
      <c r="E5" s="117" t="s">
        <v>379</v>
      </c>
      <c r="F5" s="124" t="s">
        <v>380</v>
      </c>
      <c r="G5" s="125" t="s">
        <v>381</v>
      </c>
      <c r="H5" s="125" t="s">
        <v>247</v>
      </c>
      <c r="I5" s="124" t="s">
        <v>382</v>
      </c>
    </row>
    <row r="6" spans="1:9" ht="30" x14ac:dyDescent="0.25">
      <c r="A6" s="122" t="s">
        <v>383</v>
      </c>
      <c r="B6" s="116" t="s">
        <v>384</v>
      </c>
      <c r="C6" s="122" t="s">
        <v>385</v>
      </c>
      <c r="D6" s="126" t="s">
        <v>386</v>
      </c>
      <c r="E6" s="117" t="s">
        <v>387</v>
      </c>
      <c r="G6" s="125" t="s">
        <v>388</v>
      </c>
      <c r="H6" s="125" t="s">
        <v>248</v>
      </c>
      <c r="I6" s="124" t="s">
        <v>389</v>
      </c>
    </row>
    <row r="7" spans="1:9" ht="30" x14ac:dyDescent="0.25">
      <c r="B7" s="116" t="s">
        <v>390</v>
      </c>
      <c r="C7" s="122" t="s">
        <v>391</v>
      </c>
      <c r="D7" s="126" t="s">
        <v>392</v>
      </c>
      <c r="E7" s="124" t="s">
        <v>393</v>
      </c>
      <c r="G7" s="117" t="s">
        <v>257</v>
      </c>
      <c r="H7" s="125" t="s">
        <v>249</v>
      </c>
      <c r="I7" s="124" t="s">
        <v>394</v>
      </c>
    </row>
    <row r="8" spans="1:9" ht="30" x14ac:dyDescent="0.25">
      <c r="A8" s="127"/>
      <c r="B8" s="116" t="s">
        <v>395</v>
      </c>
      <c r="C8" s="122" t="s">
        <v>396</v>
      </c>
      <c r="D8" s="126" t="s">
        <v>397</v>
      </c>
      <c r="E8" s="124" t="s">
        <v>398</v>
      </c>
      <c r="I8" s="124" t="s">
        <v>399</v>
      </c>
    </row>
    <row r="9" spans="1:9" ht="32.1" customHeight="1" x14ac:dyDescent="0.25">
      <c r="A9" s="127"/>
      <c r="B9" s="116" t="s">
        <v>400</v>
      </c>
      <c r="C9" s="122" t="s">
        <v>401</v>
      </c>
      <c r="D9" s="126" t="s">
        <v>402</v>
      </c>
      <c r="E9" s="124" t="s">
        <v>403</v>
      </c>
      <c r="I9" s="124" t="s">
        <v>404</v>
      </c>
    </row>
    <row r="10" spans="1:9" x14ac:dyDescent="0.25">
      <c r="A10" s="127"/>
      <c r="B10" s="116" t="s">
        <v>405</v>
      </c>
      <c r="C10" s="122" t="s">
        <v>406</v>
      </c>
      <c r="D10" s="126" t="s">
        <v>407</v>
      </c>
      <c r="E10" s="124" t="s">
        <v>408</v>
      </c>
      <c r="I10" s="124" t="s">
        <v>409</v>
      </c>
    </row>
    <row r="11" spans="1:9" x14ac:dyDescent="0.25">
      <c r="A11" s="127"/>
      <c r="B11" s="116" t="s">
        <v>410</v>
      </c>
      <c r="C11" s="122" t="s">
        <v>411</v>
      </c>
      <c r="D11" s="126" t="s">
        <v>412</v>
      </c>
      <c r="E11" s="124" t="s">
        <v>413</v>
      </c>
      <c r="I11" s="124" t="s">
        <v>414</v>
      </c>
    </row>
    <row r="12" spans="1:9" ht="30" x14ac:dyDescent="0.25">
      <c r="A12" s="127"/>
      <c r="B12" s="116" t="s">
        <v>415</v>
      </c>
      <c r="C12" s="122" t="s">
        <v>416</v>
      </c>
      <c r="D12" s="126" t="s">
        <v>417</v>
      </c>
      <c r="E12" s="124" t="s">
        <v>418</v>
      </c>
      <c r="I12" s="124" t="s">
        <v>419</v>
      </c>
    </row>
    <row r="13" spans="1:9" x14ac:dyDescent="0.25">
      <c r="A13" s="127"/>
      <c r="B13" s="317" t="s">
        <v>420</v>
      </c>
      <c r="D13" s="126" t="s">
        <v>421</v>
      </c>
      <c r="E13" s="124" t="s">
        <v>422</v>
      </c>
      <c r="I13" s="124" t="s">
        <v>423</v>
      </c>
    </row>
    <row r="14" spans="1:9" x14ac:dyDescent="0.25">
      <c r="A14" s="127"/>
      <c r="B14" s="116" t="s">
        <v>424</v>
      </c>
      <c r="C14" s="127"/>
      <c r="D14" s="126" t="s">
        <v>425</v>
      </c>
      <c r="E14" s="124" t="s">
        <v>426</v>
      </c>
    </row>
    <row r="15" spans="1:9" x14ac:dyDescent="0.25">
      <c r="A15" s="127"/>
      <c r="B15" s="116" t="s">
        <v>427</v>
      </c>
      <c r="C15" s="127"/>
      <c r="D15" s="126" t="s">
        <v>428</v>
      </c>
      <c r="E15" s="124" t="s">
        <v>429</v>
      </c>
    </row>
    <row r="16" spans="1:9" x14ac:dyDescent="0.25">
      <c r="A16" s="127"/>
      <c r="B16" s="116" t="s">
        <v>430</v>
      </c>
      <c r="C16" s="127"/>
      <c r="D16" s="126" t="s">
        <v>431</v>
      </c>
      <c r="E16" s="128"/>
    </row>
    <row r="17" spans="1:5" x14ac:dyDescent="0.25">
      <c r="A17" s="127"/>
      <c r="B17" s="116" t="s">
        <v>432</v>
      </c>
      <c r="C17" s="127"/>
      <c r="D17" s="126" t="s">
        <v>433</v>
      </c>
      <c r="E17" s="128"/>
    </row>
    <row r="18" spans="1:5" x14ac:dyDescent="0.25">
      <c r="A18" s="127"/>
      <c r="B18" s="116" t="s">
        <v>434</v>
      </c>
      <c r="C18" s="127"/>
      <c r="D18" s="126" t="s">
        <v>435</v>
      </c>
      <c r="E18" s="128"/>
    </row>
    <row r="19" spans="1:5" x14ac:dyDescent="0.25">
      <c r="A19" s="127"/>
      <c r="B19" s="116" t="s">
        <v>436</v>
      </c>
      <c r="C19" s="127"/>
      <c r="D19" s="126" t="s">
        <v>437</v>
      </c>
      <c r="E19" s="128"/>
    </row>
    <row r="20" spans="1:5" x14ac:dyDescent="0.25">
      <c r="A20" s="127"/>
      <c r="B20" s="116" t="s">
        <v>438</v>
      </c>
      <c r="C20" s="127"/>
      <c r="D20" s="126" t="s">
        <v>439</v>
      </c>
      <c r="E20" s="128"/>
    </row>
    <row r="21" spans="1:5" x14ac:dyDescent="0.25">
      <c r="B21" s="116" t="s">
        <v>440</v>
      </c>
      <c r="D21" s="126" t="s">
        <v>441</v>
      </c>
      <c r="E21" s="128"/>
    </row>
    <row r="22" spans="1:5" x14ac:dyDescent="0.25">
      <c r="B22" s="116" t="s">
        <v>442</v>
      </c>
      <c r="D22" s="126" t="s">
        <v>443</v>
      </c>
      <c r="E22" s="128"/>
    </row>
    <row r="23" spans="1:5" x14ac:dyDescent="0.25">
      <c r="B23" s="116" t="s">
        <v>444</v>
      </c>
      <c r="D23" s="126" t="s">
        <v>445</v>
      </c>
      <c r="E23" s="128"/>
    </row>
    <row r="24" spans="1:5" x14ac:dyDescent="0.25">
      <c r="D24" s="129" t="s">
        <v>446</v>
      </c>
      <c r="E24" s="129" t="s">
        <v>447</v>
      </c>
    </row>
    <row r="25" spans="1:5" x14ac:dyDescent="0.25">
      <c r="D25" s="130" t="s">
        <v>448</v>
      </c>
      <c r="E25" s="124" t="s">
        <v>449</v>
      </c>
    </row>
    <row r="26" spans="1:5" x14ac:dyDescent="0.25">
      <c r="D26" s="130" t="s">
        <v>450</v>
      </c>
      <c r="E26" s="124" t="s">
        <v>451</v>
      </c>
    </row>
    <row r="27" spans="1:5" x14ac:dyDescent="0.25">
      <c r="D27" s="848" t="s">
        <v>452</v>
      </c>
      <c r="E27" s="124" t="s">
        <v>453</v>
      </c>
    </row>
    <row r="28" spans="1:5" x14ac:dyDescent="0.25">
      <c r="D28" s="849"/>
      <c r="E28" s="124" t="s">
        <v>454</v>
      </c>
    </row>
    <row r="29" spans="1:5" x14ac:dyDescent="0.25">
      <c r="D29" s="849"/>
      <c r="E29" s="124" t="s">
        <v>455</v>
      </c>
    </row>
    <row r="30" spans="1:5" x14ac:dyDescent="0.25">
      <c r="D30" s="850"/>
      <c r="E30" s="124" t="s">
        <v>456</v>
      </c>
    </row>
    <row r="31" spans="1:5" x14ac:dyDescent="0.25">
      <c r="D31" s="130" t="s">
        <v>457</v>
      </c>
      <c r="E31" s="124" t="s">
        <v>458</v>
      </c>
    </row>
    <row r="32" spans="1:5" x14ac:dyDescent="0.25">
      <c r="D32" s="130" t="s">
        <v>459</v>
      </c>
      <c r="E32" s="124" t="s">
        <v>460</v>
      </c>
    </row>
    <row r="33" spans="4:5" x14ac:dyDescent="0.25">
      <c r="D33" s="130" t="s">
        <v>461</v>
      </c>
      <c r="E33" s="124" t="s">
        <v>462</v>
      </c>
    </row>
    <row r="34" spans="4:5" x14ac:dyDescent="0.25">
      <c r="D34" s="130" t="s">
        <v>463</v>
      </c>
      <c r="E34" s="124" t="s">
        <v>464</v>
      </c>
    </row>
    <row r="35" spans="4:5" x14ac:dyDescent="0.25">
      <c r="D35" s="130" t="s">
        <v>465</v>
      </c>
      <c r="E35" s="124" t="s">
        <v>466</v>
      </c>
    </row>
    <row r="36" spans="4:5" x14ac:dyDescent="0.25">
      <c r="D36" s="130" t="s">
        <v>467</v>
      </c>
      <c r="E36" s="124" t="s">
        <v>468</v>
      </c>
    </row>
    <row r="37" spans="4:5" x14ac:dyDescent="0.25">
      <c r="D37" s="130" t="s">
        <v>469</v>
      </c>
      <c r="E37" s="124" t="s">
        <v>470</v>
      </c>
    </row>
    <row r="38" spans="4:5" x14ac:dyDescent="0.25">
      <c r="D38" s="130" t="s">
        <v>471</v>
      </c>
      <c r="E38" s="124" t="s">
        <v>472</v>
      </c>
    </row>
    <row r="39" spans="4:5" x14ac:dyDescent="0.25">
      <c r="D39" s="131" t="s">
        <v>473</v>
      </c>
      <c r="E39" s="124" t="s">
        <v>474</v>
      </c>
    </row>
    <row r="40" spans="4:5" x14ac:dyDescent="0.25">
      <c r="D40" s="131" t="s">
        <v>475</v>
      </c>
      <c r="E40" s="124" t="s">
        <v>476</v>
      </c>
    </row>
    <row r="41" spans="4:5" x14ac:dyDescent="0.25">
      <c r="D41" s="130" t="s">
        <v>477</v>
      </c>
      <c r="E41" s="124" t="s">
        <v>478</v>
      </c>
    </row>
    <row r="42" spans="4:5" x14ac:dyDescent="0.25">
      <c r="D42" s="130" t="s">
        <v>479</v>
      </c>
      <c r="E42" s="124" t="s">
        <v>480</v>
      </c>
    </row>
    <row r="43" spans="4:5" x14ac:dyDescent="0.25">
      <c r="D43" s="131" t="s">
        <v>481</v>
      </c>
      <c r="E43" s="124" t="s">
        <v>482</v>
      </c>
    </row>
    <row r="44" spans="4:5" x14ac:dyDescent="0.25">
      <c r="D44" s="132" t="s">
        <v>483</v>
      </c>
      <c r="E44" s="124" t="s">
        <v>484</v>
      </c>
    </row>
    <row r="45" spans="4:5" x14ac:dyDescent="0.25">
      <c r="D45" s="126" t="s">
        <v>485</v>
      </c>
      <c r="E45" s="124" t="s">
        <v>486</v>
      </c>
    </row>
    <row r="46" spans="4:5" x14ac:dyDescent="0.25">
      <c r="D46" s="126" t="s">
        <v>487</v>
      </c>
      <c r="E46" s="124" t="s">
        <v>488</v>
      </c>
    </row>
    <row r="47" spans="4:5" x14ac:dyDescent="0.25">
      <c r="D47" s="126" t="s">
        <v>489</v>
      </c>
      <c r="E47" s="124" t="s">
        <v>490</v>
      </c>
    </row>
    <row r="48" spans="4:5" x14ac:dyDescent="0.25">
      <c r="D48" s="126" t="s">
        <v>491</v>
      </c>
      <c r="E48" s="124" t="s">
        <v>492</v>
      </c>
    </row>
    <row r="49" spans="4:4" x14ac:dyDescent="0.25">
      <c r="D49" s="129" t="s">
        <v>493</v>
      </c>
    </row>
    <row r="50" spans="4:4" x14ac:dyDescent="0.25">
      <c r="D50" s="126" t="s">
        <v>494</v>
      </c>
    </row>
    <row r="51" spans="4:4" x14ac:dyDescent="0.25">
      <c r="D51" s="126" t="s">
        <v>495</v>
      </c>
    </row>
    <row r="52" spans="4:4" x14ac:dyDescent="0.25">
      <c r="D52" s="129" t="s">
        <v>496</v>
      </c>
    </row>
    <row r="53" spans="4:4" x14ac:dyDescent="0.25">
      <c r="D53" s="132" t="s">
        <v>497</v>
      </c>
    </row>
    <row r="54" spans="4:4" x14ac:dyDescent="0.25">
      <c r="D54" s="132" t="s">
        <v>498</v>
      </c>
    </row>
    <row r="55" spans="4:4" x14ac:dyDescent="0.25">
      <c r="D55" s="132" t="s">
        <v>499</v>
      </c>
    </row>
    <row r="56" spans="4:4" x14ac:dyDescent="0.25">
      <c r="D56" s="132" t="s">
        <v>500</v>
      </c>
    </row>
  </sheetData>
  <mergeCells count="1">
    <mergeCell ref="D27:D30"/>
  </mergeCells>
  <pageMargins left="0.7" right="0.7" top="0.75" bottom="0.75" header="0.3" footer="0.3"/>
  <pageSetup scale="27" orientation="landscape"/>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11.42578125" defaultRowHeight="15" x14ac:dyDescent="0.25"/>
  <sheetData/>
  <pageMargins left="0.7" right="0.7" top="0.75" bottom="0.75" header="0.3" footer="0.3"/>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6"/>
  <sheetViews>
    <sheetView zoomScale="90" zoomScaleNormal="90" workbookViewId="0">
      <selection activeCell="P9" sqref="P9"/>
    </sheetView>
  </sheetViews>
  <sheetFormatPr baseColWidth="10" defaultColWidth="11.42578125" defaultRowHeight="15" x14ac:dyDescent="0.25"/>
  <cols>
    <col min="3" max="3" width="6.85546875" customWidth="1"/>
    <col min="4" max="4" width="8.85546875" customWidth="1"/>
    <col min="5" max="5" width="10.85546875" customWidth="1"/>
  </cols>
  <sheetData>
    <row r="1" spans="1:14" x14ac:dyDescent="0.25">
      <c r="B1" t="s">
        <v>501</v>
      </c>
      <c r="C1" s="853" t="s">
        <v>502</v>
      </c>
      <c r="D1" s="853"/>
      <c r="E1" s="853"/>
      <c r="F1" s="853"/>
      <c r="G1" s="854" t="s">
        <v>503</v>
      </c>
      <c r="H1" s="855"/>
      <c r="I1" s="855"/>
      <c r="J1" s="856"/>
      <c r="K1" s="852" t="s">
        <v>504</v>
      </c>
      <c r="L1" s="852"/>
      <c r="M1" s="852"/>
      <c r="N1" s="852"/>
    </row>
    <row r="2" spans="1:14" x14ac:dyDescent="0.25">
      <c r="C2" s="4"/>
      <c r="D2" s="4"/>
      <c r="E2" s="4"/>
      <c r="F2" s="4" t="s">
        <v>505</v>
      </c>
      <c r="G2" s="30"/>
      <c r="H2" s="4"/>
      <c r="I2" s="4"/>
      <c r="J2" s="31" t="s">
        <v>505</v>
      </c>
      <c r="K2" s="4"/>
      <c r="L2" s="4"/>
      <c r="M2" s="4"/>
      <c r="N2" s="4" t="s">
        <v>505</v>
      </c>
    </row>
    <row r="3" spans="1:14" x14ac:dyDescent="0.25">
      <c r="A3" s="851" t="s">
        <v>506</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x14ac:dyDescent="0.25">
      <c r="A4" s="851"/>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x14ac:dyDescent="0.25">
      <c r="A5" s="851"/>
      <c r="B5" s="5">
        <v>3</v>
      </c>
      <c r="C5" s="6">
        <v>0.05</v>
      </c>
      <c r="D5" s="6">
        <v>0.05</v>
      </c>
      <c r="E5" s="6">
        <v>0.1</v>
      </c>
      <c r="F5" s="7">
        <f>(C5+D5+E5)</f>
        <v>0.2</v>
      </c>
      <c r="G5" s="32">
        <v>0.1</v>
      </c>
      <c r="H5" s="6">
        <v>0.1</v>
      </c>
      <c r="I5" s="6">
        <v>0.1</v>
      </c>
      <c r="J5" s="33">
        <f>(G5+H5+I5)</f>
        <v>0.30000000000000004</v>
      </c>
      <c r="K5" s="24"/>
      <c r="L5" s="5"/>
      <c r="M5" s="5"/>
      <c r="N5" s="5"/>
    </row>
    <row r="6" spans="1:14" x14ac:dyDescent="0.25">
      <c r="A6" s="851"/>
      <c r="B6" s="5">
        <v>4</v>
      </c>
      <c r="C6" s="6">
        <v>0.1</v>
      </c>
      <c r="D6" s="6">
        <v>0.1</v>
      </c>
      <c r="E6" s="6">
        <v>0.2</v>
      </c>
      <c r="F6" s="7">
        <f>(C6+D6+E6)</f>
        <v>0.4</v>
      </c>
      <c r="G6" s="32">
        <v>0</v>
      </c>
      <c r="H6" s="6">
        <v>0</v>
      </c>
      <c r="I6" s="6">
        <v>0.1</v>
      </c>
      <c r="J6" s="33">
        <f>(G6+H6+I6)</f>
        <v>0.1</v>
      </c>
      <c r="K6" s="24"/>
      <c r="L6" s="5"/>
      <c r="M6" s="5"/>
      <c r="N6" s="5"/>
    </row>
    <row r="7" spans="1:14" x14ac:dyDescent="0.25">
      <c r="A7" s="851"/>
      <c r="B7" s="5">
        <v>5</v>
      </c>
      <c r="C7" s="6">
        <v>0</v>
      </c>
      <c r="D7" s="6">
        <v>0</v>
      </c>
      <c r="E7" s="6">
        <v>0</v>
      </c>
      <c r="F7" s="7">
        <f>(C7+D7+E7)</f>
        <v>0</v>
      </c>
      <c r="G7" s="32">
        <v>0</v>
      </c>
      <c r="H7" s="6">
        <v>0</v>
      </c>
      <c r="I7" s="6">
        <v>0</v>
      </c>
      <c r="J7" s="33">
        <f>(G7+H7+I7)</f>
        <v>0</v>
      </c>
      <c r="K7" s="24"/>
      <c r="L7" s="5"/>
      <c r="M7" s="5"/>
      <c r="N7" s="5"/>
    </row>
    <row r="8" spans="1:14" x14ac:dyDescent="0.25">
      <c r="A8" s="851" t="s">
        <v>507</v>
      </c>
      <c r="B8" s="9">
        <v>6</v>
      </c>
      <c r="C8" s="10">
        <v>0.1</v>
      </c>
      <c r="D8" s="10">
        <v>0.1</v>
      </c>
      <c r="E8" s="10">
        <v>0.1</v>
      </c>
      <c r="F8" s="11">
        <f>C8+D8+E8</f>
        <v>0.30000000000000004</v>
      </c>
      <c r="G8" s="34"/>
      <c r="H8" s="9"/>
      <c r="I8" s="9"/>
      <c r="J8" s="35"/>
      <c r="K8" s="25"/>
      <c r="L8" s="9"/>
      <c r="M8" s="9"/>
      <c r="N8" s="9"/>
    </row>
    <row r="9" spans="1:14" x14ac:dyDescent="0.25">
      <c r="A9" s="851"/>
      <c r="B9" s="9">
        <v>7</v>
      </c>
      <c r="C9" s="9"/>
      <c r="D9" s="9"/>
      <c r="E9" s="9"/>
      <c r="F9" s="19"/>
      <c r="G9" s="36"/>
      <c r="H9" s="9"/>
      <c r="I9" s="9"/>
      <c r="J9" s="35"/>
      <c r="K9" s="25"/>
      <c r="L9" s="9"/>
      <c r="M9" s="9"/>
      <c r="N9" s="9"/>
    </row>
    <row r="10" spans="1:14" x14ac:dyDescent="0.25">
      <c r="A10" s="851"/>
      <c r="B10" s="9">
        <v>8</v>
      </c>
      <c r="C10" s="9"/>
      <c r="D10" s="9"/>
      <c r="E10" s="9"/>
      <c r="F10" s="19"/>
      <c r="G10" s="36"/>
      <c r="H10" s="9"/>
      <c r="I10" s="9"/>
      <c r="J10" s="35"/>
      <c r="K10" s="25"/>
      <c r="L10" s="9"/>
      <c r="M10" s="9"/>
      <c r="N10" s="9"/>
    </row>
    <row r="11" spans="1:14" x14ac:dyDescent="0.25">
      <c r="A11" s="851"/>
      <c r="B11" s="9">
        <v>9</v>
      </c>
      <c r="C11" s="9"/>
      <c r="D11" s="9"/>
      <c r="E11" s="9"/>
      <c r="F11" s="19"/>
      <c r="G11" s="36"/>
      <c r="H11" s="9"/>
      <c r="I11" s="9"/>
      <c r="J11" s="35"/>
      <c r="K11" s="25"/>
      <c r="L11" s="9"/>
      <c r="M11" s="9"/>
      <c r="N11" s="9"/>
    </row>
    <row r="12" spans="1:14" x14ac:dyDescent="0.25">
      <c r="A12" s="851" t="s">
        <v>508</v>
      </c>
      <c r="B12" s="14">
        <v>10</v>
      </c>
      <c r="C12" s="14"/>
      <c r="D12" s="14"/>
      <c r="E12" s="14"/>
      <c r="F12" s="20"/>
      <c r="G12" s="37"/>
      <c r="H12" s="14"/>
      <c r="I12" s="14"/>
      <c r="J12" s="38"/>
      <c r="K12" s="26"/>
      <c r="L12" s="14"/>
      <c r="M12" s="14"/>
      <c r="N12" s="14"/>
    </row>
    <row r="13" spans="1:14" x14ac:dyDescent="0.25">
      <c r="A13" s="851"/>
      <c r="B13" s="14">
        <v>11</v>
      </c>
      <c r="C13" s="14"/>
      <c r="D13" s="14"/>
      <c r="E13" s="14"/>
      <c r="F13" s="20"/>
      <c r="G13" s="37"/>
      <c r="H13" s="14"/>
      <c r="I13" s="14"/>
      <c r="J13" s="38"/>
      <c r="K13" s="26"/>
      <c r="L13" s="14"/>
      <c r="M13" s="14"/>
      <c r="N13" s="14"/>
    </row>
    <row r="14" spans="1:14" x14ac:dyDescent="0.25">
      <c r="A14" s="851"/>
      <c r="B14" s="14">
        <v>12</v>
      </c>
      <c r="C14" s="14"/>
      <c r="D14" s="14"/>
      <c r="E14" s="14"/>
      <c r="F14" s="20"/>
      <c r="G14" s="37"/>
      <c r="H14" s="14"/>
      <c r="I14" s="14"/>
      <c r="J14" s="38"/>
      <c r="K14" s="26"/>
      <c r="L14" s="14"/>
      <c r="M14" s="14"/>
      <c r="N14" s="14"/>
    </row>
    <row r="15" spans="1:14" x14ac:dyDescent="0.25">
      <c r="A15" s="851"/>
      <c r="B15" s="14">
        <v>13</v>
      </c>
      <c r="C15" s="14"/>
      <c r="D15" s="14"/>
      <c r="E15" s="14"/>
      <c r="F15" s="20"/>
      <c r="G15" s="37"/>
      <c r="H15" s="14"/>
      <c r="I15" s="14"/>
      <c r="J15" s="38"/>
      <c r="K15" s="26"/>
      <c r="L15" s="14"/>
      <c r="M15" s="14"/>
      <c r="N15" s="14"/>
    </row>
    <row r="16" spans="1:14" x14ac:dyDescent="0.25">
      <c r="A16" s="851" t="s">
        <v>509</v>
      </c>
      <c r="B16" s="15">
        <v>14</v>
      </c>
      <c r="C16" s="15"/>
      <c r="D16" s="15"/>
      <c r="E16" s="15"/>
      <c r="F16" s="21"/>
      <c r="G16" s="39"/>
      <c r="H16" s="15"/>
      <c r="I16" s="15"/>
      <c r="J16" s="40"/>
      <c r="K16" s="27"/>
      <c r="L16" s="15"/>
      <c r="M16" s="15"/>
      <c r="N16" s="15"/>
    </row>
    <row r="17" spans="1:14" x14ac:dyDescent="0.25">
      <c r="A17" s="851"/>
      <c r="B17" s="15">
        <v>15</v>
      </c>
      <c r="C17" s="15"/>
      <c r="D17" s="15"/>
      <c r="E17" s="15"/>
      <c r="F17" s="21"/>
      <c r="G17" s="39"/>
      <c r="H17" s="15"/>
      <c r="I17" s="15"/>
      <c r="J17" s="40"/>
      <c r="K17" s="27"/>
      <c r="L17" s="15"/>
      <c r="M17" s="15"/>
      <c r="N17" s="15"/>
    </row>
    <row r="18" spans="1:14" x14ac:dyDescent="0.25">
      <c r="A18" s="851"/>
      <c r="B18" s="15">
        <v>16</v>
      </c>
      <c r="C18" s="15"/>
      <c r="D18" s="15"/>
      <c r="E18" s="15"/>
      <c r="F18" s="21"/>
      <c r="G18" s="39"/>
      <c r="H18" s="15"/>
      <c r="I18" s="15"/>
      <c r="J18" s="40"/>
      <c r="K18" s="27"/>
      <c r="L18" s="15"/>
      <c r="M18" s="15"/>
      <c r="N18" s="15"/>
    </row>
    <row r="19" spans="1:14" x14ac:dyDescent="0.25">
      <c r="A19" s="851" t="s">
        <v>510</v>
      </c>
      <c r="B19" s="18">
        <v>17</v>
      </c>
      <c r="C19" s="18"/>
      <c r="D19" s="18"/>
      <c r="E19" s="18"/>
      <c r="F19" s="22"/>
      <c r="G19" s="41"/>
      <c r="H19" s="18"/>
      <c r="I19" s="18"/>
      <c r="J19" s="42"/>
      <c r="K19" s="28"/>
      <c r="L19" s="18"/>
      <c r="M19" s="18"/>
      <c r="N19" s="18"/>
    </row>
    <row r="20" spans="1:14" x14ac:dyDescent="0.25">
      <c r="A20" s="851"/>
      <c r="B20" s="18">
        <v>18</v>
      </c>
      <c r="C20" s="18"/>
      <c r="D20" s="18"/>
      <c r="E20" s="18"/>
      <c r="F20" s="22"/>
      <c r="G20" s="41"/>
      <c r="H20" s="18"/>
      <c r="I20" s="18"/>
      <c r="J20" s="42"/>
      <c r="K20" s="28"/>
      <c r="L20" s="18"/>
      <c r="M20" s="18"/>
      <c r="N20" s="18"/>
    </row>
    <row r="21" spans="1:14" x14ac:dyDescent="0.25">
      <c r="A21" s="851"/>
      <c r="B21" s="18">
        <v>19</v>
      </c>
      <c r="C21" s="18"/>
      <c r="D21" s="18"/>
      <c r="E21" s="18"/>
      <c r="F21" s="22"/>
      <c r="G21" s="41"/>
      <c r="H21" s="18"/>
      <c r="I21" s="18"/>
      <c r="J21" s="42"/>
      <c r="K21" s="28"/>
      <c r="L21" s="18"/>
      <c r="M21" s="18"/>
      <c r="N21" s="18"/>
    </row>
    <row r="22" spans="1:14" x14ac:dyDescent="0.25">
      <c r="A22" s="851"/>
      <c r="B22" s="18">
        <v>20</v>
      </c>
      <c r="C22" s="18"/>
      <c r="D22" s="18"/>
      <c r="E22" s="18"/>
      <c r="F22" s="22"/>
      <c r="G22" s="41"/>
      <c r="H22" s="18"/>
      <c r="I22" s="18"/>
      <c r="J22" s="42"/>
      <c r="K22" s="28"/>
      <c r="L22" s="18"/>
      <c r="M22" s="18"/>
      <c r="N22" s="18"/>
    </row>
    <row r="23" spans="1:14" x14ac:dyDescent="0.25">
      <c r="A23" s="851" t="s">
        <v>511</v>
      </c>
      <c r="B23" s="13">
        <v>21</v>
      </c>
      <c r="C23" s="13"/>
      <c r="D23" s="13"/>
      <c r="E23" s="13"/>
      <c r="F23" s="23"/>
      <c r="G23" s="43"/>
      <c r="H23" s="13"/>
      <c r="I23" s="13"/>
      <c r="J23" s="44"/>
      <c r="K23" s="29"/>
      <c r="L23" s="13"/>
      <c r="M23" s="13"/>
      <c r="N23" s="13"/>
    </row>
    <row r="24" spans="1:14" x14ac:dyDescent="0.25">
      <c r="A24" s="851"/>
      <c r="B24" s="13">
        <v>22</v>
      </c>
      <c r="C24" s="13"/>
      <c r="D24" s="13"/>
      <c r="E24" s="13"/>
      <c r="F24" s="23"/>
      <c r="G24" s="43"/>
      <c r="H24" s="13"/>
      <c r="I24" s="13"/>
      <c r="J24" s="44"/>
      <c r="K24" s="29"/>
      <c r="L24" s="13"/>
      <c r="M24" s="13"/>
      <c r="N24" s="13"/>
    </row>
    <row r="25" spans="1:14" x14ac:dyDescent="0.25">
      <c r="A25" s="851"/>
      <c r="B25" s="13">
        <v>23</v>
      </c>
      <c r="C25" s="13"/>
      <c r="D25" s="13"/>
      <c r="E25" s="13"/>
      <c r="F25" s="23"/>
      <c r="G25" s="43"/>
      <c r="H25" s="13"/>
      <c r="I25" s="13"/>
      <c r="J25" s="44"/>
      <c r="K25" s="29"/>
      <c r="L25" s="13"/>
      <c r="M25" s="13"/>
      <c r="N25" s="13"/>
    </row>
    <row r="26" spans="1:14" x14ac:dyDescent="0.25">
      <c r="A26" s="851"/>
      <c r="B26" s="13">
        <v>24</v>
      </c>
      <c r="C26" s="13"/>
      <c r="D26" s="13"/>
      <c r="E26" s="13"/>
      <c r="F26" s="23"/>
      <c r="G26" s="43"/>
      <c r="H26" s="13"/>
      <c r="I26" s="13"/>
      <c r="J26" s="44"/>
      <c r="K26" s="29"/>
      <c r="L26" s="13"/>
      <c r="M26" s="13"/>
      <c r="N26" s="13"/>
    </row>
    <row r="27" spans="1:14" x14ac:dyDescent="0.25">
      <c r="A27" s="851" t="s">
        <v>512</v>
      </c>
      <c r="B27" s="9">
        <v>25</v>
      </c>
      <c r="C27" s="9"/>
      <c r="D27" s="9"/>
      <c r="E27" s="9"/>
      <c r="F27" s="9"/>
      <c r="G27" s="9"/>
      <c r="H27" s="9"/>
      <c r="I27" s="9"/>
      <c r="J27" s="9"/>
      <c r="K27" s="9"/>
      <c r="L27" s="9"/>
      <c r="M27" s="9"/>
      <c r="N27" s="9"/>
    </row>
    <row r="28" spans="1:14" x14ac:dyDescent="0.25">
      <c r="A28" s="851"/>
      <c r="B28" s="9">
        <v>26</v>
      </c>
      <c r="C28" s="9"/>
      <c r="D28" s="9"/>
      <c r="E28" s="9"/>
      <c r="F28" s="9"/>
      <c r="G28" s="9"/>
      <c r="H28" s="9"/>
      <c r="I28" s="9"/>
      <c r="J28" s="9"/>
      <c r="K28" s="9"/>
      <c r="L28" s="9"/>
      <c r="M28" s="9"/>
      <c r="N28" s="9"/>
    </row>
    <row r="29" spans="1:14" x14ac:dyDescent="0.25">
      <c r="A29" s="851"/>
      <c r="B29" s="9">
        <v>27</v>
      </c>
      <c r="C29" s="9"/>
      <c r="D29" s="9"/>
      <c r="E29" s="9"/>
      <c r="F29" s="9"/>
      <c r="G29" s="9"/>
      <c r="H29" s="9"/>
      <c r="I29" s="9"/>
      <c r="J29" s="9"/>
      <c r="K29" s="9"/>
      <c r="L29" s="9"/>
      <c r="M29" s="9"/>
      <c r="N29" s="9"/>
    </row>
    <row r="30" spans="1:14" x14ac:dyDescent="0.25">
      <c r="A30" s="851"/>
      <c r="B30" s="9">
        <v>28</v>
      </c>
      <c r="C30" s="9"/>
      <c r="D30" s="9"/>
      <c r="E30" s="9"/>
      <c r="F30" s="9"/>
      <c r="G30" s="9"/>
      <c r="H30" s="9"/>
      <c r="I30" s="9"/>
      <c r="J30" s="9"/>
      <c r="K30" s="9"/>
      <c r="L30" s="9"/>
      <c r="M30" s="9"/>
      <c r="N30" s="9"/>
    </row>
    <row r="31" spans="1:14" x14ac:dyDescent="0.25">
      <c r="A31" s="851"/>
      <c r="B31" s="9">
        <v>29</v>
      </c>
      <c r="C31" s="9"/>
      <c r="D31" s="9"/>
      <c r="E31" s="9"/>
      <c r="F31" s="9"/>
      <c r="G31" s="9"/>
      <c r="H31" s="9"/>
      <c r="I31" s="9"/>
      <c r="J31" s="9"/>
      <c r="K31" s="9"/>
      <c r="L31" s="9"/>
      <c r="M31" s="9"/>
      <c r="N31" s="9"/>
    </row>
    <row r="32" spans="1:14" x14ac:dyDescent="0.25">
      <c r="A32" s="851" t="s">
        <v>513</v>
      </c>
      <c r="B32" s="16">
        <v>30</v>
      </c>
      <c r="C32" s="16"/>
      <c r="D32" s="16"/>
      <c r="E32" s="16"/>
      <c r="F32" s="16"/>
      <c r="G32" s="16"/>
      <c r="H32" s="16"/>
      <c r="I32" s="16"/>
      <c r="J32" s="16"/>
      <c r="K32" s="16"/>
      <c r="L32" s="16"/>
      <c r="M32" s="16"/>
      <c r="N32" s="16"/>
    </row>
    <row r="33" spans="1:14" x14ac:dyDescent="0.25">
      <c r="A33" s="851"/>
      <c r="B33" s="16">
        <v>31</v>
      </c>
      <c r="C33" s="16"/>
      <c r="D33" s="16"/>
      <c r="E33" s="16"/>
      <c r="F33" s="16"/>
      <c r="G33" s="16"/>
      <c r="H33" s="16"/>
      <c r="I33" s="16"/>
      <c r="J33" s="16"/>
      <c r="K33" s="16"/>
      <c r="L33" s="16"/>
      <c r="M33" s="16"/>
      <c r="N33" s="16"/>
    </row>
    <row r="34" spans="1:14" x14ac:dyDescent="0.25">
      <c r="A34" s="851"/>
      <c r="B34" s="16">
        <v>32</v>
      </c>
      <c r="C34" s="16"/>
      <c r="D34" s="16"/>
      <c r="E34" s="16"/>
      <c r="F34" s="16"/>
      <c r="G34" s="16"/>
      <c r="H34" s="16"/>
      <c r="I34" s="16"/>
      <c r="J34" s="16"/>
      <c r="K34" s="16"/>
      <c r="L34" s="16"/>
      <c r="M34" s="16"/>
      <c r="N34" s="16"/>
    </row>
    <row r="35" spans="1:14" x14ac:dyDescent="0.25">
      <c r="A35" s="851" t="s">
        <v>514</v>
      </c>
      <c r="B35" s="17">
        <v>33</v>
      </c>
      <c r="C35" s="14"/>
      <c r="D35" s="14"/>
      <c r="E35" s="14"/>
      <c r="F35" s="14"/>
      <c r="G35" s="14"/>
      <c r="H35" s="14"/>
      <c r="I35" s="14"/>
      <c r="J35" s="14"/>
      <c r="K35" s="14"/>
      <c r="L35" s="14"/>
      <c r="M35" s="14"/>
      <c r="N35" s="14"/>
    </row>
    <row r="36" spans="1:14" x14ac:dyDescent="0.25">
      <c r="A36" s="851"/>
      <c r="B36" s="14">
        <v>34</v>
      </c>
      <c r="C36" s="14"/>
      <c r="D36" s="14"/>
      <c r="E36" s="14"/>
      <c r="F36" s="14"/>
      <c r="G36" s="14"/>
      <c r="H36" s="14"/>
      <c r="I36" s="14"/>
      <c r="J36" s="14"/>
      <c r="K36" s="14"/>
      <c r="L36" s="14"/>
      <c r="M36" s="14"/>
      <c r="N36" s="14"/>
    </row>
    <row r="37" spans="1:14" x14ac:dyDescent="0.25">
      <c r="A37" s="851"/>
      <c r="B37" s="45">
        <v>35</v>
      </c>
      <c r="C37" s="14"/>
      <c r="D37" s="14"/>
      <c r="E37" s="14"/>
      <c r="F37" s="14"/>
      <c r="G37" s="14"/>
      <c r="H37" s="14"/>
      <c r="I37" s="14"/>
      <c r="J37" s="14"/>
      <c r="K37" s="14"/>
      <c r="L37" s="14"/>
      <c r="M37" s="14"/>
      <c r="N37" s="14"/>
    </row>
    <row r="38" spans="1:14" x14ac:dyDescent="0.25">
      <c r="A38" s="851" t="s">
        <v>515</v>
      </c>
      <c r="B38" s="8">
        <v>36</v>
      </c>
      <c r="C38" s="8"/>
      <c r="D38" s="8"/>
      <c r="E38" s="8"/>
      <c r="F38" s="8"/>
      <c r="G38" s="8"/>
      <c r="H38" s="8"/>
      <c r="I38" s="8"/>
      <c r="J38" s="8"/>
      <c r="K38" s="8"/>
      <c r="L38" s="8"/>
      <c r="M38" s="8"/>
      <c r="N38" s="8"/>
    </row>
    <row r="39" spans="1:14" x14ac:dyDescent="0.25">
      <c r="A39" s="851"/>
      <c r="B39" s="8">
        <v>37</v>
      </c>
      <c r="C39" s="8"/>
      <c r="D39" s="8"/>
      <c r="E39" s="8"/>
      <c r="F39" s="8"/>
      <c r="G39" s="8"/>
      <c r="H39" s="8"/>
      <c r="I39" s="8"/>
      <c r="J39" s="8"/>
      <c r="K39" s="8"/>
      <c r="L39" s="8"/>
      <c r="M39" s="8"/>
      <c r="N39" s="8"/>
    </row>
    <row r="40" spans="1:14" x14ac:dyDescent="0.25">
      <c r="A40" s="851"/>
      <c r="B40" s="8">
        <v>38</v>
      </c>
      <c r="C40" s="8"/>
      <c r="D40" s="8"/>
      <c r="E40" s="8"/>
      <c r="F40" s="8"/>
      <c r="G40" s="8"/>
      <c r="H40" s="8"/>
      <c r="I40" s="8"/>
      <c r="J40" s="8"/>
      <c r="K40" s="8"/>
      <c r="L40" s="8"/>
      <c r="M40" s="8"/>
      <c r="N40" s="8"/>
    </row>
    <row r="41" spans="1:14" x14ac:dyDescent="0.25">
      <c r="A41" s="858" t="s">
        <v>516</v>
      </c>
      <c r="B41" s="46">
        <v>39</v>
      </c>
      <c r="C41" s="47"/>
      <c r="D41" s="47"/>
      <c r="E41" s="47"/>
      <c r="F41" s="47"/>
      <c r="G41" s="47"/>
      <c r="H41" s="47"/>
      <c r="I41" s="47"/>
      <c r="J41" s="47"/>
      <c r="K41" s="47"/>
      <c r="L41" s="47"/>
      <c r="M41" s="47"/>
      <c r="N41" s="47"/>
    </row>
    <row r="42" spans="1:14" x14ac:dyDescent="0.25">
      <c r="A42" s="858"/>
      <c r="B42" s="47">
        <v>40</v>
      </c>
      <c r="C42" s="47"/>
      <c r="D42" s="47"/>
      <c r="E42" s="47"/>
      <c r="F42" s="47"/>
      <c r="G42" s="47"/>
      <c r="H42" s="47"/>
      <c r="I42" s="47"/>
      <c r="J42" s="47"/>
      <c r="K42" s="47"/>
      <c r="L42" s="47"/>
      <c r="M42" s="47"/>
      <c r="N42" s="47"/>
    </row>
    <row r="43" spans="1:14" x14ac:dyDescent="0.25">
      <c r="A43" s="858"/>
      <c r="B43" s="47">
        <v>41</v>
      </c>
      <c r="C43" s="47"/>
      <c r="D43" s="47"/>
      <c r="E43" s="47"/>
      <c r="F43" s="47"/>
      <c r="G43" s="47"/>
      <c r="H43" s="47"/>
      <c r="I43" s="47"/>
      <c r="J43" s="47"/>
      <c r="K43" s="47"/>
      <c r="L43" s="47"/>
      <c r="M43" s="47"/>
      <c r="N43" s="47"/>
    </row>
    <row r="44" spans="1:14" x14ac:dyDescent="0.25">
      <c r="A44" s="858"/>
      <c r="B44" s="48">
        <v>42</v>
      </c>
      <c r="C44" s="47"/>
      <c r="D44" s="47"/>
      <c r="E44" s="47"/>
      <c r="F44" s="47"/>
      <c r="G44" s="47"/>
      <c r="H44" s="47"/>
      <c r="I44" s="47"/>
      <c r="J44" s="47"/>
      <c r="K44" s="47"/>
      <c r="L44" s="47"/>
      <c r="M44" s="47"/>
      <c r="N44" s="47"/>
    </row>
    <row r="45" spans="1:14" x14ac:dyDescent="0.25">
      <c r="A45" s="857" t="s">
        <v>517</v>
      </c>
      <c r="B45" s="12">
        <v>43</v>
      </c>
      <c r="C45" s="12"/>
      <c r="D45" s="12"/>
      <c r="E45" s="12"/>
      <c r="F45" s="12"/>
      <c r="G45" s="12"/>
      <c r="H45" s="12"/>
      <c r="I45" s="12"/>
      <c r="J45" s="12"/>
      <c r="K45" s="12"/>
      <c r="L45" s="12"/>
      <c r="M45" s="12"/>
      <c r="N45" s="12"/>
    </row>
    <row r="46" spans="1:14" x14ac:dyDescent="0.25">
      <c r="A46" s="857"/>
      <c r="B46" s="12">
        <v>44</v>
      </c>
      <c r="C46" s="12"/>
      <c r="D46" s="12"/>
      <c r="E46" s="12"/>
      <c r="F46" s="12"/>
      <c r="G46" s="12"/>
      <c r="H46" s="12"/>
      <c r="I46" s="12"/>
      <c r="J46" s="12"/>
      <c r="K46" s="12"/>
      <c r="L46" s="12"/>
      <c r="M46" s="12"/>
      <c r="N46" s="12"/>
    </row>
  </sheetData>
  <mergeCells count="15">
    <mergeCell ref="A45:A46"/>
    <mergeCell ref="A27:A31"/>
    <mergeCell ref="A32:A34"/>
    <mergeCell ref="A35:A37"/>
    <mergeCell ref="A38:A40"/>
    <mergeCell ref="A41:A44"/>
    <mergeCell ref="A23:A26"/>
    <mergeCell ref="K1:N1"/>
    <mergeCell ref="A3:A7"/>
    <mergeCell ref="A8:A11"/>
    <mergeCell ref="A12:A15"/>
    <mergeCell ref="A16:A18"/>
    <mergeCell ref="A19:A22"/>
    <mergeCell ref="C1:F1"/>
    <mergeCell ref="G1:J1"/>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O44"/>
  <sheetViews>
    <sheetView showGridLines="0" zoomScale="64" zoomScaleNormal="64" workbookViewId="0">
      <selection activeCell="A7" sqref="A7:P9"/>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859"/>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864"/>
      <c r="F8" s="864"/>
      <c r="G8" s="864"/>
      <c r="H8" s="481"/>
      <c r="I8" s="860"/>
      <c r="J8" s="861"/>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862"/>
      <c r="J9" s="863"/>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89</v>
      </c>
      <c r="D17" s="456"/>
      <c r="E17" s="456"/>
      <c r="F17" s="456"/>
      <c r="G17" s="456"/>
      <c r="H17" s="456"/>
      <c r="I17" s="456"/>
      <c r="J17" s="456"/>
      <c r="K17" s="456"/>
      <c r="L17" s="456"/>
      <c r="M17" s="456"/>
      <c r="N17" s="456"/>
      <c r="O17" s="456"/>
      <c r="P17" s="456"/>
      <c r="Q17" s="457"/>
      <c r="R17" s="458" t="s">
        <v>25</v>
      </c>
      <c r="S17" s="459"/>
      <c r="T17" s="459"/>
      <c r="U17" s="459"/>
      <c r="V17" s="460"/>
      <c r="W17" s="464">
        <v>13</v>
      </c>
      <c r="X17" s="465"/>
      <c r="Y17" s="459" t="s">
        <v>26</v>
      </c>
      <c r="Z17" s="459"/>
      <c r="AA17" s="459"/>
      <c r="AB17" s="460"/>
      <c r="AC17" s="476">
        <v>0.15</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204"/>
      <c r="B20" s="58"/>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205"/>
      <c r="B21" s="7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v>187995600</v>
      </c>
      <c r="R22" s="177"/>
      <c r="S22" s="177"/>
      <c r="T22" s="177">
        <v>21559511</v>
      </c>
      <c r="U22" s="177"/>
      <c r="V22" s="177">
        <f>2445118+34249272</f>
        <v>36694390</v>
      </c>
      <c r="W22" s="177"/>
      <c r="X22" s="177"/>
      <c r="Y22" s="177"/>
      <c r="Z22" s="177"/>
      <c r="AA22" s="177"/>
      <c r="AB22" s="177"/>
      <c r="AC22" s="177">
        <f>SUM(Q22:AB22)</f>
        <v>246249501</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48136000</v>
      </c>
      <c r="R23" s="179">
        <v>106411067</v>
      </c>
      <c r="S23" s="179">
        <v>29070932</v>
      </c>
      <c r="T23" s="174"/>
      <c r="U23" s="174"/>
      <c r="V23" s="174"/>
      <c r="W23" s="174"/>
      <c r="X23" s="174"/>
      <c r="Y23" s="174"/>
      <c r="Z23" s="174"/>
      <c r="AA23" s="174"/>
      <c r="AB23" s="174"/>
      <c r="AC23" s="174">
        <f>SUM(Q23:AB23)</f>
        <v>183617999</v>
      </c>
      <c r="AD23" s="182">
        <f>+AC23/AC22</f>
        <v>0.74565835973003658</v>
      </c>
      <c r="AE23" s="3"/>
      <c r="AF23" s="3"/>
    </row>
    <row r="24" spans="1:41" ht="32.1" customHeight="1" x14ac:dyDescent="0.25">
      <c r="A24" s="431" t="s">
        <v>45</v>
      </c>
      <c r="B24" s="441"/>
      <c r="C24" s="175">
        <v>19304538</v>
      </c>
      <c r="D24" s="174">
        <f>494400+543840+4505045</f>
        <v>5543285</v>
      </c>
      <c r="E24" s="174"/>
      <c r="F24" s="174"/>
      <c r="G24" s="174"/>
      <c r="H24" s="174"/>
      <c r="I24" s="174"/>
      <c r="J24" s="174"/>
      <c r="K24" s="174"/>
      <c r="L24" s="174"/>
      <c r="M24" s="174"/>
      <c r="N24" s="174"/>
      <c r="O24" s="174">
        <f>SUM(C24:N24)</f>
        <v>24847823</v>
      </c>
      <c r="P24" s="178"/>
      <c r="Q24" s="175"/>
      <c r="R24" s="174">
        <v>7727600</v>
      </c>
      <c r="S24" s="174">
        <v>16388000</v>
      </c>
      <c r="T24" s="174">
        <v>16388000</v>
      </c>
      <c r="U24" s="174">
        <f>16388000+21559511</f>
        <v>37947511</v>
      </c>
      <c r="V24" s="174">
        <v>16388000</v>
      </c>
      <c r="W24" s="174">
        <f>16388000+2445118+11416424</f>
        <v>30249542</v>
      </c>
      <c r="X24" s="174">
        <v>16388000</v>
      </c>
      <c r="Y24" s="174">
        <f>16388000+11416424</f>
        <v>27804424</v>
      </c>
      <c r="Z24" s="174">
        <v>16388000</v>
      </c>
      <c r="AA24" s="174">
        <f>16388000+11416424</f>
        <v>27804424</v>
      </c>
      <c r="AB24" s="174">
        <v>32776000</v>
      </c>
      <c r="AC24" s="174">
        <f>SUM(Q24:AB24)</f>
        <v>246249501</v>
      </c>
      <c r="AD24" s="182"/>
      <c r="AE24" s="3"/>
      <c r="AF24" s="3"/>
    </row>
    <row r="25" spans="1:41" ht="32.1" customHeight="1" x14ac:dyDescent="0.25">
      <c r="A25" s="385" t="s">
        <v>46</v>
      </c>
      <c r="B25" s="448"/>
      <c r="C25" s="175">
        <v>543840</v>
      </c>
      <c r="D25" s="175">
        <v>18760518</v>
      </c>
      <c r="E25" s="175" t="s">
        <v>47</v>
      </c>
      <c r="F25" s="176"/>
      <c r="G25" s="176"/>
      <c r="H25" s="176"/>
      <c r="I25" s="176"/>
      <c r="J25" s="176"/>
      <c r="K25" s="176"/>
      <c r="L25" s="176"/>
      <c r="M25" s="176"/>
      <c r="N25" s="176"/>
      <c r="O25" s="176">
        <f>SUM(C25:N25)</f>
        <v>19304358</v>
      </c>
      <c r="P25" s="181">
        <f>+O25/O24</f>
        <v>0.77690339310610834</v>
      </c>
      <c r="Q25" s="179" t="s">
        <v>90</v>
      </c>
      <c r="R25" s="179">
        <v>1078933</v>
      </c>
      <c r="S25" s="179">
        <v>7823734</v>
      </c>
      <c r="T25" s="176"/>
      <c r="U25" s="176"/>
      <c r="V25" s="176"/>
      <c r="W25" s="176"/>
      <c r="X25" s="176"/>
      <c r="Y25" s="176"/>
      <c r="Z25" s="176"/>
      <c r="AA25" s="176"/>
      <c r="AB25" s="176"/>
      <c r="AC25" s="176">
        <f>SUM(Q25:AB25)</f>
        <v>8902667</v>
      </c>
      <c r="AD25" s="183">
        <f>+AC25/AC23</f>
        <v>4.8484718537859677E-2</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thickBot="1" x14ac:dyDescent="0.3">
      <c r="A30" s="85" t="s">
        <v>91</v>
      </c>
      <c r="B30" s="423"/>
      <c r="C30" s="424"/>
      <c r="D30" s="89"/>
      <c r="E30" s="89"/>
      <c r="F30" s="320"/>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3.1" customHeight="1" x14ac:dyDescent="0.25">
      <c r="A32" s="430" t="s">
        <v>56</v>
      </c>
      <c r="B32" s="386" t="s">
        <v>57</v>
      </c>
      <c r="C32" s="386" t="s">
        <v>51</v>
      </c>
      <c r="D32" s="386" t="s">
        <v>58</v>
      </c>
      <c r="E32" s="386"/>
      <c r="F32" s="386"/>
      <c r="G32" s="386"/>
      <c r="H32" s="386"/>
      <c r="I32" s="386"/>
      <c r="J32" s="386"/>
      <c r="K32" s="386"/>
      <c r="L32" s="386"/>
      <c r="M32" s="386"/>
      <c r="N32" s="386"/>
      <c r="O32" s="386"/>
      <c r="P32" s="386"/>
      <c r="Q32" s="386"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385"/>
      <c r="B33" s="387"/>
      <c r="C33" s="536"/>
      <c r="D33" s="277" t="s">
        <v>30</v>
      </c>
      <c r="E33" s="277" t="s">
        <v>31</v>
      </c>
      <c r="F33" s="277" t="s">
        <v>8</v>
      </c>
      <c r="G33" s="277" t="s">
        <v>32</v>
      </c>
      <c r="H33" s="277" t="s">
        <v>33</v>
      </c>
      <c r="I33" s="277" t="s">
        <v>34</v>
      </c>
      <c r="J33" s="277" t="s">
        <v>35</v>
      </c>
      <c r="K33" s="277" t="s">
        <v>36</v>
      </c>
      <c r="L33" s="277" t="s">
        <v>37</v>
      </c>
      <c r="M33" s="277" t="s">
        <v>38</v>
      </c>
      <c r="N33" s="277" t="s">
        <v>39</v>
      </c>
      <c r="O33" s="277" t="s">
        <v>40</v>
      </c>
      <c r="P33" s="277" t="s">
        <v>41</v>
      </c>
      <c r="Q33" s="387" t="s">
        <v>60</v>
      </c>
      <c r="R33" s="387"/>
      <c r="S33" s="387"/>
      <c r="T33" s="387" t="s">
        <v>61</v>
      </c>
      <c r="U33" s="387"/>
      <c r="V33" s="387"/>
      <c r="W33" s="537" t="s">
        <v>92</v>
      </c>
      <c r="X33" s="473"/>
      <c r="Y33" s="473"/>
      <c r="Z33" s="538"/>
      <c r="AA33" s="537" t="s">
        <v>63</v>
      </c>
      <c r="AB33" s="473"/>
      <c r="AC33" s="473"/>
      <c r="AD33" s="474"/>
      <c r="AG33" s="87"/>
      <c r="AH33" s="87"/>
      <c r="AI33" s="87"/>
      <c r="AJ33" s="87"/>
      <c r="AK33" s="87"/>
      <c r="AL33" s="87"/>
      <c r="AM33" s="87"/>
      <c r="AN33" s="87"/>
      <c r="AO33" s="87"/>
    </row>
    <row r="34" spans="1:41" ht="126" customHeight="1" x14ac:dyDescent="0.25">
      <c r="A34" s="548" t="s">
        <v>91</v>
      </c>
      <c r="B34" s="549">
        <v>0.15</v>
      </c>
      <c r="C34" s="90" t="s">
        <v>64</v>
      </c>
      <c r="D34" s="328">
        <v>13</v>
      </c>
      <c r="E34" s="238">
        <v>13</v>
      </c>
      <c r="F34" s="238">
        <v>13</v>
      </c>
      <c r="G34" s="238">
        <v>13</v>
      </c>
      <c r="H34" s="238">
        <v>13</v>
      </c>
      <c r="I34" s="238">
        <v>13</v>
      </c>
      <c r="J34" s="238">
        <v>13</v>
      </c>
      <c r="K34" s="238">
        <v>13</v>
      </c>
      <c r="L34" s="238">
        <v>13</v>
      </c>
      <c r="M34" s="238">
        <v>13</v>
      </c>
      <c r="N34" s="238">
        <v>13</v>
      </c>
      <c r="O34" s="238">
        <v>13</v>
      </c>
      <c r="P34" s="297">
        <v>13</v>
      </c>
      <c r="Q34" s="539" t="s">
        <v>518</v>
      </c>
      <c r="R34" s="540"/>
      <c r="S34" s="551"/>
      <c r="T34" s="540" t="s">
        <v>540</v>
      </c>
      <c r="U34" s="540"/>
      <c r="V34" s="551"/>
      <c r="W34" s="552" t="s">
        <v>542</v>
      </c>
      <c r="X34" s="553"/>
      <c r="Y34" s="553"/>
      <c r="Z34" s="554"/>
      <c r="AA34" s="539" t="s">
        <v>93</v>
      </c>
      <c r="AB34" s="540"/>
      <c r="AC34" s="540"/>
      <c r="AD34" s="541"/>
      <c r="AG34" s="323"/>
      <c r="AH34" s="323"/>
      <c r="AI34" s="323"/>
      <c r="AJ34" s="87"/>
      <c r="AK34" s="87"/>
      <c r="AL34" s="87"/>
      <c r="AM34" s="87"/>
      <c r="AN34" s="87"/>
      <c r="AO34" s="87"/>
    </row>
    <row r="35" spans="1:41" ht="144.75" customHeight="1" thickBot="1" x14ac:dyDescent="0.3">
      <c r="A35" s="548"/>
      <c r="B35" s="550"/>
      <c r="C35" s="273" t="s">
        <v>65</v>
      </c>
      <c r="D35" s="329">
        <v>13</v>
      </c>
      <c r="E35" s="329">
        <v>13</v>
      </c>
      <c r="F35" s="329">
        <v>13</v>
      </c>
      <c r="G35" s="329">
        <v>13</v>
      </c>
      <c r="H35" s="329">
        <v>13</v>
      </c>
      <c r="I35" s="329">
        <v>13</v>
      </c>
      <c r="J35" s="329">
        <v>13</v>
      </c>
      <c r="K35" s="329">
        <v>13</v>
      </c>
      <c r="L35" s="329">
        <v>13</v>
      </c>
      <c r="M35" s="329">
        <v>13</v>
      </c>
      <c r="N35" s="329">
        <v>13</v>
      </c>
      <c r="O35" s="329">
        <v>13</v>
      </c>
      <c r="P35" s="329">
        <v>13</v>
      </c>
      <c r="Q35" s="539"/>
      <c r="R35" s="540"/>
      <c r="S35" s="551"/>
      <c r="T35" s="540"/>
      <c r="U35" s="540"/>
      <c r="V35" s="551"/>
      <c r="W35" s="552"/>
      <c r="X35" s="553"/>
      <c r="Y35" s="553"/>
      <c r="Z35" s="554"/>
      <c r="AA35" s="539"/>
      <c r="AB35" s="540"/>
      <c r="AC35" s="540"/>
      <c r="AD35" s="541"/>
      <c r="AE35" s="49"/>
      <c r="AG35" s="323"/>
      <c r="AH35" s="323"/>
      <c r="AI35" s="323"/>
      <c r="AJ35" s="87"/>
      <c r="AK35" s="87"/>
      <c r="AL35" s="87"/>
      <c r="AM35" s="87"/>
      <c r="AN35" s="87"/>
      <c r="AO35" s="87"/>
    </row>
    <row r="36" spans="1:41" ht="26.1" customHeight="1" x14ac:dyDescent="0.25">
      <c r="A36" s="430" t="s">
        <v>66</v>
      </c>
      <c r="B36" s="386" t="s">
        <v>67</v>
      </c>
      <c r="C36" s="433" t="s">
        <v>68</v>
      </c>
      <c r="D36" s="386"/>
      <c r="E36" s="386"/>
      <c r="F36" s="386"/>
      <c r="G36" s="386"/>
      <c r="H36" s="386"/>
      <c r="I36" s="386"/>
      <c r="J36" s="386"/>
      <c r="K36" s="386"/>
      <c r="L36" s="386"/>
      <c r="M36" s="386"/>
      <c r="N36" s="386"/>
      <c r="O36" s="386"/>
      <c r="P36" s="386"/>
      <c r="Q36" s="542"/>
      <c r="R36" s="543"/>
      <c r="S36" s="543"/>
      <c r="T36" s="543"/>
      <c r="U36" s="543"/>
      <c r="V36" s="543"/>
      <c r="W36" s="543"/>
      <c r="X36" s="543"/>
      <c r="Y36" s="543"/>
      <c r="Z36" s="543"/>
      <c r="AA36" s="543"/>
      <c r="AB36" s="543"/>
      <c r="AC36" s="543"/>
      <c r="AD36" s="544"/>
      <c r="AG36" s="323"/>
      <c r="AH36" s="323"/>
      <c r="AI36" s="323"/>
      <c r="AJ36" s="87"/>
      <c r="AK36" s="87"/>
      <c r="AL36" s="87"/>
      <c r="AM36" s="87"/>
      <c r="AN36" s="87"/>
      <c r="AO36" s="87"/>
    </row>
    <row r="37" spans="1:41" ht="26.1" customHeight="1" x14ac:dyDescent="0.25">
      <c r="A37" s="431"/>
      <c r="B37" s="416"/>
      <c r="C37" s="232" t="s">
        <v>70</v>
      </c>
      <c r="D37" s="88" t="s">
        <v>71</v>
      </c>
      <c r="E37" s="88" t="s">
        <v>72</v>
      </c>
      <c r="F37" s="88" t="s">
        <v>73</v>
      </c>
      <c r="G37" s="88" t="s">
        <v>74</v>
      </c>
      <c r="H37" s="88" t="s">
        <v>75</v>
      </c>
      <c r="I37" s="88" t="s">
        <v>76</v>
      </c>
      <c r="J37" s="88" t="s">
        <v>77</v>
      </c>
      <c r="K37" s="88" t="s">
        <v>78</v>
      </c>
      <c r="L37" s="88" t="s">
        <v>79</v>
      </c>
      <c r="M37" s="88" t="s">
        <v>80</v>
      </c>
      <c r="N37" s="88" t="s">
        <v>81</v>
      </c>
      <c r="O37" s="88" t="s">
        <v>82</v>
      </c>
      <c r="P37" s="88" t="s">
        <v>83</v>
      </c>
      <c r="Q37" s="545" t="s">
        <v>84</v>
      </c>
      <c r="R37" s="546"/>
      <c r="S37" s="546"/>
      <c r="T37" s="546"/>
      <c r="U37" s="546"/>
      <c r="V37" s="546"/>
      <c r="W37" s="546"/>
      <c r="X37" s="546"/>
      <c r="Y37" s="546"/>
      <c r="Z37" s="546"/>
      <c r="AA37" s="546"/>
      <c r="AB37" s="546"/>
      <c r="AC37" s="546"/>
      <c r="AD37" s="547"/>
      <c r="AG37" s="94"/>
      <c r="AH37" s="94"/>
      <c r="AI37" s="94"/>
      <c r="AJ37" s="94"/>
      <c r="AK37" s="94"/>
      <c r="AL37" s="94"/>
      <c r="AM37" s="94"/>
      <c r="AN37" s="94"/>
      <c r="AO37" s="94"/>
    </row>
    <row r="38" spans="1:41" ht="45" customHeight="1" x14ac:dyDescent="0.25">
      <c r="A38" s="563" t="s">
        <v>94</v>
      </c>
      <c r="B38" s="376">
        <v>0.05</v>
      </c>
      <c r="C38" s="235" t="s">
        <v>64</v>
      </c>
      <c r="D38" s="304">
        <v>0</v>
      </c>
      <c r="E38" s="304">
        <v>0.25</v>
      </c>
      <c r="F38" s="95">
        <v>0</v>
      </c>
      <c r="G38" s="95">
        <v>0</v>
      </c>
      <c r="H38" s="95">
        <v>0.25</v>
      </c>
      <c r="I38" s="95">
        <v>0</v>
      </c>
      <c r="J38" s="95">
        <v>0</v>
      </c>
      <c r="K38" s="95">
        <v>0.25</v>
      </c>
      <c r="L38" s="95">
        <v>0</v>
      </c>
      <c r="M38" s="95">
        <v>0</v>
      </c>
      <c r="N38" s="95">
        <v>0.25</v>
      </c>
      <c r="O38" s="95">
        <v>0</v>
      </c>
      <c r="P38" s="96">
        <f t="shared" ref="P38:P43" si="0">SUM(D38:O38)</f>
        <v>1</v>
      </c>
      <c r="Q38" s="557" t="s">
        <v>551</v>
      </c>
      <c r="R38" s="558"/>
      <c r="S38" s="558"/>
      <c r="T38" s="558"/>
      <c r="U38" s="558"/>
      <c r="V38" s="558"/>
      <c r="W38" s="558"/>
      <c r="X38" s="558"/>
      <c r="Y38" s="558"/>
      <c r="Z38" s="558"/>
      <c r="AA38" s="558"/>
      <c r="AB38" s="558"/>
      <c r="AC38" s="558"/>
      <c r="AD38" s="559"/>
      <c r="AE38" s="324"/>
      <c r="AG38" s="98"/>
      <c r="AH38" s="98"/>
      <c r="AI38" s="98"/>
      <c r="AJ38" s="98"/>
      <c r="AK38" s="98"/>
      <c r="AL38" s="98"/>
      <c r="AM38" s="98"/>
      <c r="AN38" s="98"/>
      <c r="AO38" s="98"/>
    </row>
    <row r="39" spans="1:41" ht="186.75" customHeight="1" x14ac:dyDescent="0.25">
      <c r="A39" s="564"/>
      <c r="B39" s="398"/>
      <c r="C39" s="236" t="s">
        <v>65</v>
      </c>
      <c r="D39" s="302">
        <v>0</v>
      </c>
      <c r="E39" s="302">
        <v>0.25</v>
      </c>
      <c r="F39" s="100">
        <v>0</v>
      </c>
      <c r="G39" s="100"/>
      <c r="H39" s="100"/>
      <c r="I39" s="100"/>
      <c r="J39" s="100"/>
      <c r="K39" s="100"/>
      <c r="L39" s="100"/>
      <c r="M39" s="100"/>
      <c r="N39" s="100"/>
      <c r="O39" s="100"/>
      <c r="P39" s="101">
        <f t="shared" si="0"/>
        <v>0.25</v>
      </c>
      <c r="Q39" s="565"/>
      <c r="R39" s="566"/>
      <c r="S39" s="566"/>
      <c r="T39" s="566"/>
      <c r="U39" s="566"/>
      <c r="V39" s="566"/>
      <c r="W39" s="566"/>
      <c r="X39" s="566"/>
      <c r="Y39" s="566"/>
      <c r="Z39" s="566"/>
      <c r="AA39" s="566"/>
      <c r="AB39" s="566"/>
      <c r="AC39" s="566"/>
      <c r="AD39" s="567"/>
      <c r="AE39" s="324"/>
    </row>
    <row r="40" spans="1:41" ht="67.5" customHeight="1" x14ac:dyDescent="0.25">
      <c r="A40" s="563" t="s">
        <v>95</v>
      </c>
      <c r="B40" s="376">
        <v>0.05</v>
      </c>
      <c r="C40" s="237" t="s">
        <v>64</v>
      </c>
      <c r="D40" s="305">
        <v>0</v>
      </c>
      <c r="E40" s="305">
        <v>0.17</v>
      </c>
      <c r="F40" s="103">
        <v>0</v>
      </c>
      <c r="G40" s="103">
        <v>0.16600000000000001</v>
      </c>
      <c r="H40" s="103">
        <v>0</v>
      </c>
      <c r="I40" s="103">
        <v>0.16600000000000001</v>
      </c>
      <c r="J40" s="103">
        <v>0</v>
      </c>
      <c r="K40" s="103">
        <v>0.16600000000000001</v>
      </c>
      <c r="L40" s="103">
        <v>0</v>
      </c>
      <c r="M40" s="103">
        <v>0.16600000000000001</v>
      </c>
      <c r="N40" s="103">
        <v>0</v>
      </c>
      <c r="O40" s="103">
        <v>0.16600000000000001</v>
      </c>
      <c r="P40" s="101">
        <f t="shared" si="0"/>
        <v>1</v>
      </c>
      <c r="Q40" s="557" t="s">
        <v>552</v>
      </c>
      <c r="R40" s="558"/>
      <c r="S40" s="558"/>
      <c r="T40" s="558"/>
      <c r="U40" s="558"/>
      <c r="V40" s="558"/>
      <c r="W40" s="558"/>
      <c r="X40" s="558"/>
      <c r="Y40" s="558"/>
      <c r="Z40" s="558"/>
      <c r="AA40" s="558"/>
      <c r="AB40" s="558"/>
      <c r="AC40" s="558"/>
      <c r="AD40" s="559"/>
      <c r="AE40" s="97"/>
    </row>
    <row r="41" spans="1:41" ht="45" customHeight="1" x14ac:dyDescent="0.25">
      <c r="A41" s="564"/>
      <c r="B41" s="398"/>
      <c r="C41" s="236" t="s">
        <v>65</v>
      </c>
      <c r="D41" s="302">
        <v>0</v>
      </c>
      <c r="E41" s="302">
        <v>0.17</v>
      </c>
      <c r="F41" s="322">
        <v>0.17</v>
      </c>
      <c r="G41" s="100"/>
      <c r="H41" s="100"/>
      <c r="I41" s="100"/>
      <c r="J41" s="100"/>
      <c r="K41" s="100"/>
      <c r="L41" s="104"/>
      <c r="M41" s="104"/>
      <c r="N41" s="104"/>
      <c r="O41" s="104"/>
      <c r="P41" s="101">
        <f t="shared" si="0"/>
        <v>0.34</v>
      </c>
      <c r="Q41" s="565"/>
      <c r="R41" s="566"/>
      <c r="S41" s="566"/>
      <c r="T41" s="566"/>
      <c r="U41" s="566"/>
      <c r="V41" s="566"/>
      <c r="W41" s="566"/>
      <c r="X41" s="566"/>
      <c r="Y41" s="566"/>
      <c r="Z41" s="566"/>
      <c r="AA41" s="566"/>
      <c r="AB41" s="566"/>
      <c r="AC41" s="566"/>
      <c r="AD41" s="567"/>
      <c r="AE41" s="97"/>
    </row>
    <row r="42" spans="1:41" ht="45" customHeight="1" x14ac:dyDescent="0.25">
      <c r="A42" s="555" t="s">
        <v>96</v>
      </c>
      <c r="B42" s="397">
        <v>0.05</v>
      </c>
      <c r="C42" s="102" t="s">
        <v>64</v>
      </c>
      <c r="D42" s="305">
        <v>0</v>
      </c>
      <c r="E42" s="305">
        <v>0</v>
      </c>
      <c r="F42" s="103">
        <v>0.5</v>
      </c>
      <c r="G42" s="103">
        <v>0</v>
      </c>
      <c r="H42" s="103">
        <v>0</v>
      </c>
      <c r="I42" s="103">
        <v>0</v>
      </c>
      <c r="J42" s="103" t="s">
        <v>97</v>
      </c>
      <c r="K42" s="103">
        <v>0</v>
      </c>
      <c r="L42" s="103">
        <v>0.5</v>
      </c>
      <c r="M42" s="103">
        <v>0</v>
      </c>
      <c r="N42" s="103">
        <v>0</v>
      </c>
      <c r="O42" s="103">
        <v>0</v>
      </c>
      <c r="P42" s="101">
        <f t="shared" si="0"/>
        <v>1</v>
      </c>
      <c r="Q42" s="557" t="s">
        <v>553</v>
      </c>
      <c r="R42" s="558"/>
      <c r="S42" s="558"/>
      <c r="T42" s="558"/>
      <c r="U42" s="558"/>
      <c r="V42" s="558"/>
      <c r="W42" s="558"/>
      <c r="X42" s="558"/>
      <c r="Y42" s="558"/>
      <c r="Z42" s="558"/>
      <c r="AA42" s="558"/>
      <c r="AB42" s="558"/>
      <c r="AC42" s="558"/>
      <c r="AD42" s="559"/>
      <c r="AE42" s="97"/>
    </row>
    <row r="43" spans="1:41" ht="45" customHeight="1" thickBot="1" x14ac:dyDescent="0.3">
      <c r="A43" s="556"/>
      <c r="B43" s="377"/>
      <c r="C43" s="91" t="s">
        <v>65</v>
      </c>
      <c r="D43" s="303">
        <v>0</v>
      </c>
      <c r="E43" s="303">
        <v>0.1</v>
      </c>
      <c r="F43" s="105">
        <v>0.4</v>
      </c>
      <c r="G43" s="105"/>
      <c r="H43" s="105"/>
      <c r="I43" s="105"/>
      <c r="J43" s="105"/>
      <c r="K43" s="105"/>
      <c r="L43" s="106"/>
      <c r="M43" s="106"/>
      <c r="N43" s="106"/>
      <c r="O43" s="106"/>
      <c r="P43" s="107">
        <f t="shared" si="0"/>
        <v>0.5</v>
      </c>
      <c r="Q43" s="560"/>
      <c r="R43" s="561"/>
      <c r="S43" s="561"/>
      <c r="T43" s="561"/>
      <c r="U43" s="561"/>
      <c r="V43" s="561"/>
      <c r="W43" s="561"/>
      <c r="X43" s="561"/>
      <c r="Y43" s="561"/>
      <c r="Z43" s="561"/>
      <c r="AA43" s="561"/>
      <c r="AB43" s="561"/>
      <c r="AC43" s="561"/>
      <c r="AD43" s="562"/>
      <c r="AE43" s="97"/>
    </row>
    <row r="44" spans="1:41" x14ac:dyDescent="0.25">
      <c r="A44" s="50" t="s">
        <v>87</v>
      </c>
    </row>
  </sheetData>
  <mergeCells count="79">
    <mergeCell ref="A42:A43"/>
    <mergeCell ref="B42:B43"/>
    <mergeCell ref="Q42:AD43"/>
    <mergeCell ref="A38:A39"/>
    <mergeCell ref="B38:B39"/>
    <mergeCell ref="Q38:AD39"/>
    <mergeCell ref="A40:A41"/>
    <mergeCell ref="B40:B41"/>
    <mergeCell ref="Q40:AD41"/>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4:B24"/>
    <mergeCell ref="A25:B25"/>
    <mergeCell ref="A27:AD27"/>
    <mergeCell ref="A28:A29"/>
    <mergeCell ref="B28:C29"/>
    <mergeCell ref="D28:O28"/>
    <mergeCell ref="P28:P29"/>
    <mergeCell ref="Q28:AD29"/>
    <mergeCell ref="A19:AD19"/>
    <mergeCell ref="C20:P20"/>
    <mergeCell ref="Q20:AD20"/>
    <mergeCell ref="A22:B22"/>
    <mergeCell ref="A23:B23"/>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1:B13"/>
    <mergeCell ref="C11:AD13"/>
    <mergeCell ref="A7:B9"/>
    <mergeCell ref="C7:C9"/>
    <mergeCell ref="D7:H9"/>
    <mergeCell ref="I7:J9"/>
    <mergeCell ref="K7:L9"/>
    <mergeCell ref="M7:N7"/>
    <mergeCell ref="M9:N9"/>
    <mergeCell ref="O9:P9"/>
    <mergeCell ref="AB1:AD1"/>
    <mergeCell ref="B2:AA2"/>
    <mergeCell ref="AB2:AD2"/>
    <mergeCell ref="B3:AA4"/>
    <mergeCell ref="AB3:AD3"/>
    <mergeCell ref="AB4:AD4"/>
    <mergeCell ref="A1:A4"/>
    <mergeCell ref="B1:AA1"/>
    <mergeCell ref="O7:P7"/>
    <mergeCell ref="M8:N8"/>
    <mergeCell ref="O8:P8"/>
  </mergeCells>
  <dataValidations count="3">
    <dataValidation type="list" allowBlank="1" showInputMessage="1" showErrorMessage="1" sqref="C7:C9" xr:uid="{3C515B34-9A2A-4895-87CF-63C53EE7B2C2}">
      <formula1>$C$21:$N$21</formula1>
    </dataValidation>
    <dataValidation type="textLength" operator="lessThanOrEqual" allowBlank="1" showInputMessage="1" showErrorMessage="1" errorTitle="Máximo 2.000 caracteres" error="Máximo 2.000 caracteres" promptTitle="2.000 caracteres" sqref="Q30:AD30" xr:uid="{00000000-0002-0000-0100-000001000000}">
      <formula1>2000</formula1>
    </dataValidation>
    <dataValidation type="textLength" operator="lessThanOrEqual" allowBlank="1" showInputMessage="1" showErrorMessage="1" errorTitle="Máximo 2.000 caracteres" error="Máximo 2.000 caracteres" sqref="AA34 Q34 W34 Q38:AD43" xr:uid="{00000000-0002-0000-0100-000002000000}">
      <formula1>2000</formula1>
    </dataValidation>
  </dataValidations>
  <pageMargins left="0.25" right="0.25" top="0.75" bottom="0.75" header="0.3" footer="0.3"/>
  <pageSetup scale="20" orientation="landscape"/>
  <customProperties>
    <customPr name="_pios_id" r:id="rId1"/>
  </customPropertie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O98"/>
  <sheetViews>
    <sheetView showGridLines="0" zoomScale="64" zoomScaleNormal="64" workbookViewId="0">
      <selection activeCell="A7" sqref="A7:P9"/>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21.42578125" style="50" customWidth="1"/>
    <col min="16" max="16" width="18.140625" style="50" customWidth="1"/>
    <col min="17" max="17" width="20.28515625" style="50" customWidth="1"/>
    <col min="18"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859"/>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864"/>
      <c r="F8" s="864"/>
      <c r="G8" s="864"/>
      <c r="H8" s="481"/>
      <c r="I8" s="860"/>
      <c r="J8" s="861"/>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862"/>
      <c r="J9" s="863"/>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98</v>
      </c>
      <c r="D17" s="456"/>
      <c r="E17" s="456"/>
      <c r="F17" s="456"/>
      <c r="G17" s="456"/>
      <c r="H17" s="456"/>
      <c r="I17" s="456"/>
      <c r="J17" s="456"/>
      <c r="K17" s="456"/>
      <c r="L17" s="456"/>
      <c r="M17" s="456"/>
      <c r="N17" s="456"/>
      <c r="O17" s="456"/>
      <c r="P17" s="456"/>
      <c r="Q17" s="457"/>
      <c r="R17" s="458" t="s">
        <v>25</v>
      </c>
      <c r="S17" s="459"/>
      <c r="T17" s="459"/>
      <c r="U17" s="459"/>
      <c r="V17" s="460"/>
      <c r="W17" s="568">
        <v>0.25</v>
      </c>
      <c r="X17" s="569"/>
      <c r="Y17" s="459" t="s">
        <v>26</v>
      </c>
      <c r="Z17" s="459"/>
      <c r="AA17" s="459"/>
      <c r="AB17" s="460"/>
      <c r="AC17" s="476">
        <v>0.15</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v>2721220256</v>
      </c>
      <c r="R22" s="177"/>
      <c r="S22" s="177">
        <f>19186926+10126938+6986000</f>
        <v>36299864</v>
      </c>
      <c r="T22" s="177">
        <f>35000000+22500000+24639441</f>
        <v>82139441</v>
      </c>
      <c r="U22" s="177"/>
      <c r="V22" s="177">
        <f>2139478+39142026</f>
        <v>41281504</v>
      </c>
      <c r="W22" s="177">
        <v>11893445</v>
      </c>
      <c r="X22" s="177"/>
      <c r="Y22" s="177"/>
      <c r="Z22" s="177"/>
      <c r="AA22" s="177"/>
      <c r="AB22" s="177"/>
      <c r="AC22" s="177">
        <f>SUM(Q22:AB22)</f>
        <v>2892834510</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1095524494</v>
      </c>
      <c r="R23" s="179">
        <v>1268876251</v>
      </c>
      <c r="S23" s="179">
        <v>167072463</v>
      </c>
      <c r="T23" s="174"/>
      <c r="U23" s="174"/>
      <c r="V23" s="174"/>
      <c r="W23" s="174"/>
      <c r="X23" s="174"/>
      <c r="Y23" s="174"/>
      <c r="Z23" s="174"/>
      <c r="AA23" s="174"/>
      <c r="AB23" s="174"/>
      <c r="AC23" s="174">
        <f>SUM(Q23:AB23)</f>
        <v>2531473208</v>
      </c>
      <c r="AD23" s="182">
        <f>+AC23/AC22</f>
        <v>0.87508400471895642</v>
      </c>
      <c r="AE23" s="3"/>
      <c r="AF23" s="3"/>
    </row>
    <row r="24" spans="1:41" ht="32.1" customHeight="1" x14ac:dyDescent="0.25">
      <c r="A24" s="431" t="s">
        <v>45</v>
      </c>
      <c r="B24" s="441"/>
      <c r="C24" s="175">
        <f>25110243+698600+1646343+2010000+1804187+22062331</f>
        <v>53331704</v>
      </c>
      <c r="D24" s="174">
        <f>1749516+3375000+698600+1646343+2400000+500000+3750000+461423+1+735420+1420164+309000+1081500+735420+772500+772500+432600+475860+5148623</f>
        <v>26464470</v>
      </c>
      <c r="E24" s="174">
        <f>698600+1646343+2400000+500000+4956875</f>
        <v>10201818</v>
      </c>
      <c r="F24" s="174">
        <f>698600+1646343+2387790+500000+5038625</f>
        <v>10271358</v>
      </c>
      <c r="G24" s="174">
        <f>548900+1646343</f>
        <v>2195243</v>
      </c>
      <c r="H24" s="174">
        <v>1646343</v>
      </c>
      <c r="I24" s="174">
        <v>1049769</v>
      </c>
      <c r="J24" s="174"/>
      <c r="K24" s="174"/>
      <c r="L24" s="174"/>
      <c r="M24" s="174"/>
      <c r="N24" s="174">
        <v>3719997</v>
      </c>
      <c r="O24" s="218">
        <f>SUM(C24:N24)</f>
        <v>108880702</v>
      </c>
      <c r="P24" s="178"/>
      <c r="Q24" s="175"/>
      <c r="R24" s="174">
        <v>111139916</v>
      </c>
      <c r="S24" s="174">
        <v>224170940</v>
      </c>
      <c r="T24" s="174">
        <f>229320940+1918693+1646343+776223</f>
        <v>233662199</v>
      </c>
      <c r="U24" s="174">
        <f>229320940+1918693+3888889+2500000+1646343+24639441+776223</f>
        <v>264690529</v>
      </c>
      <c r="V24" s="174">
        <f>229320940+1918693+3888889+2500000+1646343+776222</f>
        <v>240051087</v>
      </c>
      <c r="W24" s="174">
        <f>229320940+1918693+2139478+3888889+2500000+741130+13047342+776222</f>
        <v>254332694</v>
      </c>
      <c r="X24" s="174">
        <f>244770940+1918693+3888889+2500000+741130+11893445+776222</f>
        <v>266489319</v>
      </c>
      <c r="Y24" s="174">
        <f>244770940+1918693+3888889+2500000+741130+13047342+776222</f>
        <v>267643216</v>
      </c>
      <c r="Z24" s="174">
        <f>244770940+1918692+3888889+2500000+741130+776222</f>
        <v>254595873</v>
      </c>
      <c r="AA24" s="174">
        <f>244770940+1918692+3888889+2500000+741130+13047342+776222</f>
        <v>267643215</v>
      </c>
      <c r="AB24" s="174">
        <f>489541880+3837384+7777777+5000000+1482259+776222</f>
        <v>508415522</v>
      </c>
      <c r="AC24" s="174">
        <f>SUM(Q24:AB24)</f>
        <v>2892834510</v>
      </c>
      <c r="AD24" s="182"/>
      <c r="AE24" s="3"/>
      <c r="AF24" s="3"/>
    </row>
    <row r="25" spans="1:41" ht="32.1" customHeight="1" x14ac:dyDescent="0.25">
      <c r="A25" s="385" t="s">
        <v>46</v>
      </c>
      <c r="B25" s="448"/>
      <c r="C25" s="175">
        <v>12332011</v>
      </c>
      <c r="D25" s="175">
        <v>39266779</v>
      </c>
      <c r="E25" s="175">
        <v>27153750</v>
      </c>
      <c r="F25" s="176"/>
      <c r="G25" s="176"/>
      <c r="H25" s="176"/>
      <c r="I25" s="176"/>
      <c r="J25" s="176"/>
      <c r="K25" s="176"/>
      <c r="L25" s="176"/>
      <c r="M25" s="176"/>
      <c r="N25" s="176"/>
      <c r="O25" s="176">
        <f>SUM(C25:N25)</f>
        <v>78752540</v>
      </c>
      <c r="P25" s="181">
        <f>+O25/O24</f>
        <v>0.72329199347006412</v>
      </c>
      <c r="Q25" s="179" t="s">
        <v>90</v>
      </c>
      <c r="R25" s="179">
        <v>18557067</v>
      </c>
      <c r="S25" s="179">
        <v>123898287</v>
      </c>
      <c r="T25" s="176"/>
      <c r="U25" s="176"/>
      <c r="V25" s="176"/>
      <c r="W25" s="176"/>
      <c r="X25" s="176"/>
      <c r="Y25" s="176"/>
      <c r="Z25" s="176"/>
      <c r="AA25" s="176"/>
      <c r="AB25" s="176"/>
      <c r="AC25" s="176">
        <f>SUM(Q25:AB25)</f>
        <v>142455354</v>
      </c>
      <c r="AD25" s="183">
        <f>+AC25/AC23</f>
        <v>5.6273696103047992E-2</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thickBot="1" x14ac:dyDescent="0.3">
      <c r="A30" s="85" t="s">
        <v>99</v>
      </c>
      <c r="B30" s="423"/>
      <c r="C30" s="424"/>
      <c r="D30" s="89"/>
      <c r="E30" s="89"/>
      <c r="F30" s="89"/>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3.1" customHeight="1" x14ac:dyDescent="0.25">
      <c r="A32" s="430" t="s">
        <v>56</v>
      </c>
      <c r="B32" s="386" t="s">
        <v>57</v>
      </c>
      <c r="C32" s="389" t="s">
        <v>51</v>
      </c>
      <c r="D32" s="433" t="s">
        <v>58</v>
      </c>
      <c r="E32" s="386"/>
      <c r="F32" s="386"/>
      <c r="G32" s="386"/>
      <c r="H32" s="386"/>
      <c r="I32" s="386"/>
      <c r="J32" s="386"/>
      <c r="K32" s="386"/>
      <c r="L32" s="386"/>
      <c r="M32" s="386"/>
      <c r="N32" s="386"/>
      <c r="O32" s="386"/>
      <c r="P32" s="389"/>
      <c r="Q32" s="430"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x14ac:dyDescent="0.25">
      <c r="A33" s="431"/>
      <c r="B33" s="416"/>
      <c r="C33" s="432"/>
      <c r="D33" s="290"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570" t="s">
        <v>60</v>
      </c>
      <c r="R33" s="571"/>
      <c r="S33" s="571"/>
      <c r="T33" s="571" t="s">
        <v>61</v>
      </c>
      <c r="U33" s="571"/>
      <c r="V33" s="571"/>
      <c r="W33" s="572" t="s">
        <v>92</v>
      </c>
      <c r="X33" s="470"/>
      <c r="Y33" s="470"/>
      <c r="Z33" s="573"/>
      <c r="AA33" s="572" t="s">
        <v>63</v>
      </c>
      <c r="AB33" s="470"/>
      <c r="AC33" s="470"/>
      <c r="AD33" s="471"/>
      <c r="AG33" s="87"/>
      <c r="AH33" s="87"/>
      <c r="AI33" s="87"/>
      <c r="AJ33" s="87"/>
      <c r="AK33" s="87"/>
      <c r="AL33" s="87"/>
      <c r="AM33" s="87"/>
      <c r="AN33" s="87"/>
      <c r="AO33" s="87"/>
    </row>
    <row r="34" spans="1:41" ht="45" customHeight="1" x14ac:dyDescent="0.25">
      <c r="A34" s="580" t="s">
        <v>99</v>
      </c>
      <c r="B34" s="404">
        <v>0.15</v>
      </c>
      <c r="C34" s="294" t="s">
        <v>64</v>
      </c>
      <c r="D34" s="283">
        <f>D69</f>
        <v>0</v>
      </c>
      <c r="E34" s="284">
        <f t="shared" ref="E34:O34" si="0">E69</f>
        <v>3.2466048137689933E-2</v>
      </c>
      <c r="F34" s="284">
        <f t="shared" si="0"/>
        <v>3.2126529514589219E-2</v>
      </c>
      <c r="G34" s="284">
        <f t="shared" si="0"/>
        <v>3.2126529514589219E-2</v>
      </c>
      <c r="H34" s="284">
        <f t="shared" si="0"/>
        <v>1.5459862847922553E-2</v>
      </c>
      <c r="I34" s="284">
        <f t="shared" si="0"/>
        <v>1.5459862847922553E-2</v>
      </c>
      <c r="J34" s="284">
        <f t="shared" si="0"/>
        <v>3.2126529514589219E-2</v>
      </c>
      <c r="K34" s="284">
        <f t="shared" si="0"/>
        <v>1.5459862847922553E-2</v>
      </c>
      <c r="L34" s="284">
        <f t="shared" si="0"/>
        <v>3.2126529514589219E-2</v>
      </c>
      <c r="M34" s="284">
        <f t="shared" si="0"/>
        <v>1.5459862847922553E-2</v>
      </c>
      <c r="N34" s="284">
        <f t="shared" si="0"/>
        <v>1.5459862847922553E-2</v>
      </c>
      <c r="O34" s="285">
        <f t="shared" si="0"/>
        <v>1.1728519564340463E-2</v>
      </c>
      <c r="P34" s="318">
        <f>SUM(D34:O34)</f>
        <v>0.25000000000000006</v>
      </c>
      <c r="Q34" s="582" t="s">
        <v>100</v>
      </c>
      <c r="R34" s="583"/>
      <c r="S34" s="583"/>
      <c r="T34" s="586" t="s">
        <v>519</v>
      </c>
      <c r="U34" s="574"/>
      <c r="V34" s="574"/>
      <c r="W34" s="587" t="s">
        <v>541</v>
      </c>
      <c r="X34" s="587"/>
      <c r="Y34" s="587"/>
      <c r="Z34" s="587"/>
      <c r="AA34" s="574" t="s">
        <v>103</v>
      </c>
      <c r="AB34" s="574"/>
      <c r="AC34" s="574"/>
      <c r="AD34" s="575"/>
      <c r="AG34" s="87"/>
      <c r="AH34" s="87"/>
      <c r="AI34" s="87"/>
      <c r="AJ34" s="87"/>
      <c r="AK34" s="87"/>
      <c r="AL34" s="87"/>
      <c r="AM34" s="87"/>
      <c r="AN34" s="87"/>
      <c r="AO34" s="87"/>
    </row>
    <row r="35" spans="1:41" ht="71.25" customHeight="1" x14ac:dyDescent="0.25">
      <c r="A35" s="581"/>
      <c r="B35" s="405"/>
      <c r="C35" s="282" t="s">
        <v>65</v>
      </c>
      <c r="D35" s="281">
        <f>D66</f>
        <v>0</v>
      </c>
      <c r="E35" s="271">
        <f t="shared" ref="E35:O35" si="1">E66</f>
        <v>3.2466048137689933E-2</v>
      </c>
      <c r="F35" s="271">
        <f t="shared" si="1"/>
        <v>3.2126529514589219E-2</v>
      </c>
      <c r="G35" s="271">
        <f t="shared" si="1"/>
        <v>0</v>
      </c>
      <c r="H35" s="271">
        <f t="shared" si="1"/>
        <v>0</v>
      </c>
      <c r="I35" s="271">
        <f t="shared" si="1"/>
        <v>0</v>
      </c>
      <c r="J35" s="271">
        <f t="shared" si="1"/>
        <v>0</v>
      </c>
      <c r="K35" s="271">
        <f t="shared" si="1"/>
        <v>0</v>
      </c>
      <c r="L35" s="271">
        <f t="shared" si="1"/>
        <v>0</v>
      </c>
      <c r="M35" s="271">
        <f t="shared" si="1"/>
        <v>0</v>
      </c>
      <c r="N35" s="271">
        <f t="shared" si="1"/>
        <v>0</v>
      </c>
      <c r="O35" s="272">
        <f t="shared" si="1"/>
        <v>0</v>
      </c>
      <c r="P35" s="319">
        <f>SUM(D35:O35)</f>
        <v>6.4592577652279159E-2</v>
      </c>
      <c r="Q35" s="584"/>
      <c r="R35" s="585"/>
      <c r="S35" s="585"/>
      <c r="T35" s="576"/>
      <c r="U35" s="576"/>
      <c r="V35" s="576"/>
      <c r="W35" s="588"/>
      <c r="X35" s="588"/>
      <c r="Y35" s="588"/>
      <c r="Z35" s="588"/>
      <c r="AA35" s="576"/>
      <c r="AB35" s="576"/>
      <c r="AC35" s="576"/>
      <c r="AD35" s="577"/>
      <c r="AE35" s="49"/>
      <c r="AG35" s="87"/>
      <c r="AH35" s="87"/>
      <c r="AI35" s="87"/>
      <c r="AJ35" s="87"/>
      <c r="AK35" s="87"/>
      <c r="AL35" s="87"/>
      <c r="AM35" s="87"/>
      <c r="AN35" s="87"/>
      <c r="AO35" s="87"/>
    </row>
    <row r="36" spans="1:41" ht="26.1" customHeight="1" x14ac:dyDescent="0.25">
      <c r="A36" s="384" t="s">
        <v>66</v>
      </c>
      <c r="B36" s="578" t="s">
        <v>67</v>
      </c>
      <c r="C36" s="388" t="s">
        <v>68</v>
      </c>
      <c r="D36" s="386"/>
      <c r="E36" s="386"/>
      <c r="F36" s="386"/>
      <c r="G36" s="386"/>
      <c r="H36" s="386"/>
      <c r="I36" s="386"/>
      <c r="J36" s="386"/>
      <c r="K36" s="386"/>
      <c r="L36" s="386"/>
      <c r="M36" s="386"/>
      <c r="N36" s="386"/>
      <c r="O36" s="386"/>
      <c r="P36" s="389"/>
      <c r="Q36" s="438" t="s">
        <v>69</v>
      </c>
      <c r="R36" s="435"/>
      <c r="S36" s="435"/>
      <c r="T36" s="435"/>
      <c r="U36" s="435"/>
      <c r="V36" s="435"/>
      <c r="W36" s="435"/>
      <c r="X36" s="435"/>
      <c r="Y36" s="435"/>
      <c r="Z36" s="435"/>
      <c r="AA36" s="435"/>
      <c r="AB36" s="435"/>
      <c r="AC36" s="435"/>
      <c r="AD36" s="436"/>
      <c r="AG36" s="87"/>
      <c r="AH36" s="87"/>
      <c r="AI36" s="87"/>
      <c r="AJ36" s="87"/>
      <c r="AK36" s="87"/>
      <c r="AL36" s="87"/>
      <c r="AM36" s="87"/>
      <c r="AN36" s="87"/>
      <c r="AO36" s="87"/>
    </row>
    <row r="37" spans="1:41" ht="26.1" customHeight="1" x14ac:dyDescent="0.25">
      <c r="A37" s="385"/>
      <c r="B37" s="579"/>
      <c r="C37" s="290" t="s">
        <v>70</v>
      </c>
      <c r="D37" s="277" t="s">
        <v>71</v>
      </c>
      <c r="E37" s="277" t="s">
        <v>72</v>
      </c>
      <c r="F37" s="277" t="s">
        <v>73</v>
      </c>
      <c r="G37" s="277" t="s">
        <v>74</v>
      </c>
      <c r="H37" s="277" t="s">
        <v>75</v>
      </c>
      <c r="I37" s="277" t="s">
        <v>76</v>
      </c>
      <c r="J37" s="277" t="s">
        <v>77</v>
      </c>
      <c r="K37" s="277" t="s">
        <v>78</v>
      </c>
      <c r="L37" s="277" t="s">
        <v>79</v>
      </c>
      <c r="M37" s="277" t="s">
        <v>80</v>
      </c>
      <c r="N37" s="277" t="s">
        <v>81</v>
      </c>
      <c r="O37" s="277" t="s">
        <v>82</v>
      </c>
      <c r="P37" s="278" t="s">
        <v>83</v>
      </c>
      <c r="Q37" s="393" t="s">
        <v>84</v>
      </c>
      <c r="R37" s="394"/>
      <c r="S37" s="394"/>
      <c r="T37" s="394"/>
      <c r="U37" s="394"/>
      <c r="V37" s="394"/>
      <c r="W37" s="394"/>
      <c r="X37" s="394"/>
      <c r="Y37" s="394"/>
      <c r="Z37" s="394"/>
      <c r="AA37" s="394"/>
      <c r="AB37" s="394"/>
      <c r="AC37" s="394"/>
      <c r="AD37" s="395"/>
      <c r="AG37" s="94"/>
      <c r="AH37" s="94"/>
      <c r="AI37" s="94"/>
      <c r="AJ37" s="94"/>
      <c r="AK37" s="94"/>
      <c r="AL37" s="94"/>
      <c r="AM37" s="94"/>
      <c r="AN37" s="94"/>
      <c r="AO37" s="94"/>
    </row>
    <row r="38" spans="1:41" ht="35.25" customHeight="1" x14ac:dyDescent="0.25">
      <c r="A38" s="595" t="s">
        <v>104</v>
      </c>
      <c r="B38" s="597">
        <v>0.05</v>
      </c>
      <c r="C38" s="235" t="s">
        <v>64</v>
      </c>
      <c r="D38" s="301">
        <v>0</v>
      </c>
      <c r="E38" s="301">
        <v>0.1</v>
      </c>
      <c r="F38" s="325">
        <v>9.5000000000000001E-2</v>
      </c>
      <c r="G38" s="206">
        <v>9.5000000000000001E-2</v>
      </c>
      <c r="H38" s="206">
        <v>9.5000000000000001E-2</v>
      </c>
      <c r="I38" s="206">
        <v>9.5000000000000001E-2</v>
      </c>
      <c r="J38" s="206">
        <v>9.5000000000000001E-2</v>
      </c>
      <c r="K38" s="206">
        <v>9.5000000000000001E-2</v>
      </c>
      <c r="L38" s="206">
        <v>9.5000000000000001E-2</v>
      </c>
      <c r="M38" s="206">
        <v>9.5000000000000001E-2</v>
      </c>
      <c r="N38" s="206">
        <v>9.5000000000000001E-2</v>
      </c>
      <c r="O38" s="206">
        <v>0.05</v>
      </c>
      <c r="P38" s="274">
        <f t="shared" ref="P38:P43" si="2">SUM(D38:O38)</f>
        <v>1.0049999999999999</v>
      </c>
      <c r="Q38" s="598" t="s">
        <v>554</v>
      </c>
      <c r="R38" s="599"/>
      <c r="S38" s="599"/>
      <c r="T38" s="599"/>
      <c r="U38" s="599"/>
      <c r="V38" s="599"/>
      <c r="W38" s="599"/>
      <c r="X38" s="599"/>
      <c r="Y38" s="599"/>
      <c r="Z38" s="599"/>
      <c r="AA38" s="599"/>
      <c r="AB38" s="599"/>
      <c r="AC38" s="599"/>
      <c r="AD38" s="600"/>
      <c r="AE38" s="97"/>
      <c r="AG38" s="98"/>
      <c r="AH38" s="98"/>
      <c r="AI38" s="98"/>
      <c r="AJ38" s="98"/>
      <c r="AK38" s="98"/>
      <c r="AL38" s="98"/>
      <c r="AM38" s="98"/>
      <c r="AN38" s="98"/>
      <c r="AO38" s="98"/>
    </row>
    <row r="39" spans="1:41" ht="35.25" customHeight="1" x14ac:dyDescent="0.25">
      <c r="A39" s="596"/>
      <c r="B39" s="398"/>
      <c r="C39" s="236" t="s">
        <v>65</v>
      </c>
      <c r="D39" s="306"/>
      <c r="E39" s="302">
        <v>0.1</v>
      </c>
      <c r="F39" s="302">
        <v>9.5000000000000001E-2</v>
      </c>
      <c r="G39" s="207"/>
      <c r="H39" s="207"/>
      <c r="I39" s="207"/>
      <c r="J39" s="207"/>
      <c r="K39" s="207"/>
      <c r="L39" s="207"/>
      <c r="M39" s="207"/>
      <c r="N39" s="207"/>
      <c r="O39" s="207"/>
      <c r="P39" s="275">
        <f t="shared" si="2"/>
        <v>0.19500000000000001</v>
      </c>
      <c r="Q39" s="601"/>
      <c r="R39" s="593"/>
      <c r="S39" s="593"/>
      <c r="T39" s="593"/>
      <c r="U39" s="593"/>
      <c r="V39" s="593"/>
      <c r="W39" s="593"/>
      <c r="X39" s="593"/>
      <c r="Y39" s="593"/>
      <c r="Z39" s="593"/>
      <c r="AA39" s="593"/>
      <c r="AB39" s="593"/>
      <c r="AC39" s="593"/>
      <c r="AD39" s="594"/>
      <c r="AE39" s="97"/>
    </row>
    <row r="40" spans="1:41" ht="35.25" customHeight="1" x14ac:dyDescent="0.25">
      <c r="A40" s="602" t="s">
        <v>105</v>
      </c>
      <c r="B40" s="376">
        <v>0.05</v>
      </c>
      <c r="C40" s="237" t="s">
        <v>64</v>
      </c>
      <c r="D40" s="307">
        <v>0</v>
      </c>
      <c r="E40" s="307">
        <v>0.2</v>
      </c>
      <c r="F40" s="326">
        <v>0.2</v>
      </c>
      <c r="G40" s="230">
        <v>0.2</v>
      </c>
      <c r="H40" s="230">
        <v>0</v>
      </c>
      <c r="I40" s="230">
        <v>0</v>
      </c>
      <c r="J40" s="230">
        <v>0.2</v>
      </c>
      <c r="K40" s="230">
        <v>0</v>
      </c>
      <c r="L40" s="230">
        <v>0.2</v>
      </c>
      <c r="M40" s="230">
        <v>0</v>
      </c>
      <c r="N40" s="230">
        <v>0</v>
      </c>
      <c r="O40" s="230">
        <v>0</v>
      </c>
      <c r="P40" s="275">
        <f t="shared" si="2"/>
        <v>1</v>
      </c>
      <c r="Q40" s="603" t="s">
        <v>555</v>
      </c>
      <c r="R40" s="591"/>
      <c r="S40" s="591"/>
      <c r="T40" s="591"/>
      <c r="U40" s="591"/>
      <c r="V40" s="591"/>
      <c r="W40" s="591"/>
      <c r="X40" s="591"/>
      <c r="Y40" s="591"/>
      <c r="Z40" s="591"/>
      <c r="AA40" s="591"/>
      <c r="AB40" s="591"/>
      <c r="AC40" s="591"/>
      <c r="AD40" s="592"/>
      <c r="AE40" s="97"/>
    </row>
    <row r="41" spans="1:41" ht="35.25" customHeight="1" x14ac:dyDescent="0.25">
      <c r="A41" s="596"/>
      <c r="B41" s="398"/>
      <c r="C41" s="236" t="s">
        <v>65</v>
      </c>
      <c r="D41" s="306"/>
      <c r="E41" s="302">
        <v>0.2</v>
      </c>
      <c r="F41" s="302">
        <v>0.2</v>
      </c>
      <c r="G41" s="100"/>
      <c r="H41" s="100"/>
      <c r="I41" s="100"/>
      <c r="J41" s="100"/>
      <c r="K41" s="100"/>
      <c r="L41" s="104"/>
      <c r="M41" s="104"/>
      <c r="N41" s="104"/>
      <c r="O41" s="104"/>
      <c r="P41" s="275">
        <f t="shared" si="2"/>
        <v>0.4</v>
      </c>
      <c r="Q41" s="601"/>
      <c r="R41" s="593"/>
      <c r="S41" s="593"/>
      <c r="T41" s="593"/>
      <c r="U41" s="593"/>
      <c r="V41" s="593"/>
      <c r="W41" s="593"/>
      <c r="X41" s="593"/>
      <c r="Y41" s="593"/>
      <c r="Z41" s="593"/>
      <c r="AA41" s="593"/>
      <c r="AB41" s="593"/>
      <c r="AC41" s="593"/>
      <c r="AD41" s="594"/>
      <c r="AE41" s="97"/>
    </row>
    <row r="42" spans="1:41" ht="35.25" customHeight="1" x14ac:dyDescent="0.25">
      <c r="A42" s="589" t="s">
        <v>106</v>
      </c>
      <c r="B42" s="397">
        <v>0.05</v>
      </c>
      <c r="C42" s="291" t="s">
        <v>64</v>
      </c>
      <c r="D42" s="308">
        <v>0</v>
      </c>
      <c r="E42" s="308">
        <v>0.09</v>
      </c>
      <c r="F42" s="327">
        <v>9.0899999999999995E-2</v>
      </c>
      <c r="G42" s="289">
        <v>9.0899999999999995E-2</v>
      </c>
      <c r="H42" s="289">
        <v>9.0899999999999995E-2</v>
      </c>
      <c r="I42" s="289">
        <v>9.0899999999999995E-2</v>
      </c>
      <c r="J42" s="289">
        <v>9.0899999999999995E-2</v>
      </c>
      <c r="K42" s="289">
        <v>9.0899999999999995E-2</v>
      </c>
      <c r="L42" s="289">
        <v>9.0899999999999995E-2</v>
      </c>
      <c r="M42" s="289">
        <v>9.0899999999999995E-2</v>
      </c>
      <c r="N42" s="289">
        <v>9.0899999999999995E-2</v>
      </c>
      <c r="O42" s="289">
        <v>9.0899999999999995E-2</v>
      </c>
      <c r="P42" s="276">
        <f>SUM(D42:O42)</f>
        <v>0.99899999999999989</v>
      </c>
      <c r="Q42" s="591" t="s">
        <v>556</v>
      </c>
      <c r="R42" s="591"/>
      <c r="S42" s="591"/>
      <c r="T42" s="591"/>
      <c r="U42" s="591"/>
      <c r="V42" s="591"/>
      <c r="W42" s="591"/>
      <c r="X42" s="591"/>
      <c r="Y42" s="591"/>
      <c r="Z42" s="591"/>
      <c r="AA42" s="591"/>
      <c r="AB42" s="591"/>
      <c r="AC42" s="591"/>
      <c r="AD42" s="592"/>
      <c r="AE42" s="97"/>
    </row>
    <row r="43" spans="1:41" ht="35.25" customHeight="1" x14ac:dyDescent="0.25">
      <c r="A43" s="590"/>
      <c r="B43" s="377"/>
      <c r="C43" s="292" t="s">
        <v>65</v>
      </c>
      <c r="D43" s="309"/>
      <c r="E43" s="310">
        <v>0.09</v>
      </c>
      <c r="F43" s="302">
        <v>9.0899999999999995E-2</v>
      </c>
      <c r="G43" s="286"/>
      <c r="H43" s="286"/>
      <c r="I43" s="286"/>
      <c r="J43" s="286"/>
      <c r="K43" s="286"/>
      <c r="L43" s="287"/>
      <c r="M43" s="287"/>
      <c r="N43" s="287"/>
      <c r="O43" s="287"/>
      <c r="P43" s="288">
        <f t="shared" si="2"/>
        <v>0.18090000000000001</v>
      </c>
      <c r="Q43" s="593"/>
      <c r="R43" s="593"/>
      <c r="S43" s="593"/>
      <c r="T43" s="593"/>
      <c r="U43" s="593"/>
      <c r="V43" s="593"/>
      <c r="W43" s="593"/>
      <c r="X43" s="593"/>
      <c r="Y43" s="593"/>
      <c r="Z43" s="593"/>
      <c r="AA43" s="593"/>
      <c r="AB43" s="593"/>
      <c r="AC43" s="593"/>
      <c r="AD43" s="594"/>
      <c r="AE43" s="97"/>
    </row>
    <row r="44" spans="1:41" x14ac:dyDescent="0.25">
      <c r="A44"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 xml:space="preserve">6. Implementar actividades de difusión del programa de Sistema de Cuidado con ciudadanía y actores territoriales </v>
      </c>
      <c r="B57" s="369">
        <f>B38</f>
        <v>0.05</v>
      </c>
      <c r="C57" s="242" t="s">
        <v>64</v>
      </c>
      <c r="D57" s="243">
        <f>D38*$B$38/$P$38</f>
        <v>0</v>
      </c>
      <c r="E57" s="243">
        <f t="shared" ref="D57:O58" si="3">E38*$B$38/$P$38</f>
        <v>4.9751243781094544E-3</v>
      </c>
      <c r="F57" s="243">
        <f t="shared" si="3"/>
        <v>4.7263681592039815E-3</v>
      </c>
      <c r="G57" s="243">
        <f t="shared" si="3"/>
        <v>4.7263681592039815E-3</v>
      </c>
      <c r="H57" s="243">
        <f t="shared" si="3"/>
        <v>4.7263681592039815E-3</v>
      </c>
      <c r="I57" s="243">
        <f t="shared" si="3"/>
        <v>4.7263681592039815E-3</v>
      </c>
      <c r="J57" s="243">
        <f t="shared" si="3"/>
        <v>4.7263681592039815E-3</v>
      </c>
      <c r="K57" s="243">
        <f t="shared" si="3"/>
        <v>4.7263681592039815E-3</v>
      </c>
      <c r="L57" s="243">
        <f t="shared" si="3"/>
        <v>4.7263681592039815E-3</v>
      </c>
      <c r="M57" s="243">
        <f t="shared" si="3"/>
        <v>4.7263681592039815E-3</v>
      </c>
      <c r="N57" s="243">
        <f t="shared" si="3"/>
        <v>4.7263681592039815E-3</v>
      </c>
      <c r="O57" s="243">
        <f t="shared" si="3"/>
        <v>2.4875621890547272E-3</v>
      </c>
      <c r="P57" s="244">
        <f t="shared" ref="P57:P62" si="4">SUM(D57:O57)</f>
        <v>0.05</v>
      </c>
      <c r="Q57" s="245">
        <v>0.05</v>
      </c>
      <c r="R57" s="246">
        <f t="shared" ref="R57:R65" si="5">+P57-Q57</f>
        <v>0</v>
      </c>
      <c r="S57" s="240"/>
      <c r="T57" s="240"/>
      <c r="U57" s="240"/>
      <c r="V57" s="240"/>
      <c r="W57" s="240"/>
      <c r="X57" s="240"/>
      <c r="Y57" s="240"/>
      <c r="Z57" s="240"/>
      <c r="AA57" s="240"/>
      <c r="AB57" s="240"/>
      <c r="AC57" s="240"/>
      <c r="AD57" s="240"/>
    </row>
    <row r="58" spans="1:30" x14ac:dyDescent="0.25">
      <c r="A58" s="368"/>
      <c r="B58" s="370"/>
      <c r="C58" s="247" t="s">
        <v>65</v>
      </c>
      <c r="D58" s="248">
        <f t="shared" si="3"/>
        <v>0</v>
      </c>
      <c r="E58" s="248">
        <f t="shared" si="3"/>
        <v>4.9751243781094544E-3</v>
      </c>
      <c r="F58" s="248">
        <f t="shared" si="3"/>
        <v>4.7263681592039815E-3</v>
      </c>
      <c r="G58" s="248">
        <f t="shared" si="3"/>
        <v>0</v>
      </c>
      <c r="H58" s="248">
        <f t="shared" si="3"/>
        <v>0</v>
      </c>
      <c r="I58" s="248">
        <f t="shared" si="3"/>
        <v>0</v>
      </c>
      <c r="J58" s="248">
        <f t="shared" si="3"/>
        <v>0</v>
      </c>
      <c r="K58" s="248">
        <f t="shared" si="3"/>
        <v>0</v>
      </c>
      <c r="L58" s="248">
        <f t="shared" si="3"/>
        <v>0</v>
      </c>
      <c r="M58" s="248">
        <f t="shared" si="3"/>
        <v>0</v>
      </c>
      <c r="N58" s="248">
        <f t="shared" si="3"/>
        <v>0</v>
      </c>
      <c r="O58" s="248">
        <f t="shared" si="3"/>
        <v>0</v>
      </c>
      <c r="P58" s="249">
        <f t="shared" si="4"/>
        <v>9.7014925373134359E-3</v>
      </c>
      <c r="Q58" s="250">
        <f>+P58</f>
        <v>9.7014925373134359E-3</v>
      </c>
      <c r="R58" s="246">
        <f t="shared" si="5"/>
        <v>0</v>
      </c>
      <c r="S58" s="240"/>
      <c r="T58" s="240"/>
      <c r="U58" s="240"/>
      <c r="V58" s="240"/>
      <c r="W58" s="240"/>
      <c r="X58" s="240"/>
      <c r="Y58" s="240"/>
      <c r="Z58" s="240"/>
      <c r="AA58" s="240"/>
      <c r="AB58" s="240"/>
      <c r="AC58" s="240"/>
      <c r="AD58" s="240"/>
    </row>
    <row r="59" spans="1:30" x14ac:dyDescent="0.25">
      <c r="A59" s="367" t="str">
        <f>A40</f>
        <v>7. Articular las acciones intersectoriales para la puesta en operación de cinco (5) manzanas del cuidado</v>
      </c>
      <c r="B59" s="372">
        <f>B40</f>
        <v>0.05</v>
      </c>
      <c r="C59" s="242" t="s">
        <v>64</v>
      </c>
      <c r="D59" s="243">
        <f t="shared" ref="D59:O60" si="6">D40*$B$40/$P$40</f>
        <v>0</v>
      </c>
      <c r="E59" s="243">
        <f t="shared" si="6"/>
        <v>1.0000000000000002E-2</v>
      </c>
      <c r="F59" s="243">
        <f t="shared" si="6"/>
        <v>1.0000000000000002E-2</v>
      </c>
      <c r="G59" s="243">
        <f t="shared" si="6"/>
        <v>1.0000000000000002E-2</v>
      </c>
      <c r="H59" s="243">
        <f t="shared" si="6"/>
        <v>0</v>
      </c>
      <c r="I59" s="243">
        <f t="shared" si="6"/>
        <v>0</v>
      </c>
      <c r="J59" s="243">
        <f t="shared" si="6"/>
        <v>1.0000000000000002E-2</v>
      </c>
      <c r="K59" s="243">
        <f t="shared" si="6"/>
        <v>0</v>
      </c>
      <c r="L59" s="243">
        <f t="shared" si="6"/>
        <v>1.0000000000000002E-2</v>
      </c>
      <c r="M59" s="243">
        <f t="shared" si="6"/>
        <v>0</v>
      </c>
      <c r="N59" s="243">
        <f t="shared" si="6"/>
        <v>0</v>
      </c>
      <c r="O59" s="243">
        <f t="shared" si="6"/>
        <v>0</v>
      </c>
      <c r="P59" s="244">
        <f t="shared" si="4"/>
        <v>5.000000000000001E-2</v>
      </c>
      <c r="Q59" s="245">
        <v>2.5000000000000001E-2</v>
      </c>
      <c r="R59" s="246">
        <f t="shared" si="5"/>
        <v>2.5000000000000008E-2</v>
      </c>
      <c r="S59" s="240"/>
      <c r="T59" s="240"/>
      <c r="U59" s="240"/>
      <c r="V59" s="240"/>
      <c r="W59" s="240"/>
      <c r="X59" s="240"/>
      <c r="Y59" s="240"/>
      <c r="Z59" s="240"/>
      <c r="AA59" s="240"/>
      <c r="AB59" s="240"/>
      <c r="AC59" s="240"/>
      <c r="AD59" s="240"/>
    </row>
    <row r="60" spans="1:30" x14ac:dyDescent="0.25">
      <c r="A60" s="371"/>
      <c r="B60" s="373"/>
      <c r="C60" s="247" t="s">
        <v>65</v>
      </c>
      <c r="D60" s="248">
        <f t="shared" si="6"/>
        <v>0</v>
      </c>
      <c r="E60" s="248">
        <f t="shared" si="6"/>
        <v>1.0000000000000002E-2</v>
      </c>
      <c r="F60" s="248">
        <f t="shared" si="6"/>
        <v>1.0000000000000002E-2</v>
      </c>
      <c r="G60" s="248">
        <f t="shared" si="6"/>
        <v>0</v>
      </c>
      <c r="H60" s="248">
        <f t="shared" si="6"/>
        <v>0</v>
      </c>
      <c r="I60" s="248">
        <f t="shared" si="6"/>
        <v>0</v>
      </c>
      <c r="J60" s="248">
        <f t="shared" si="6"/>
        <v>0</v>
      </c>
      <c r="K60" s="248">
        <f t="shared" si="6"/>
        <v>0</v>
      </c>
      <c r="L60" s="248">
        <f t="shared" si="6"/>
        <v>0</v>
      </c>
      <c r="M60" s="248">
        <f t="shared" si="6"/>
        <v>0</v>
      </c>
      <c r="N60" s="248">
        <f t="shared" si="6"/>
        <v>0</v>
      </c>
      <c r="O60" s="248">
        <f t="shared" si="6"/>
        <v>0</v>
      </c>
      <c r="P60" s="249">
        <f t="shared" si="4"/>
        <v>2.0000000000000004E-2</v>
      </c>
      <c r="Q60" s="250">
        <f>+P60</f>
        <v>2.0000000000000004E-2</v>
      </c>
      <c r="R60" s="246">
        <f t="shared" si="5"/>
        <v>0</v>
      </c>
      <c r="S60" s="240"/>
      <c r="T60" s="240"/>
      <c r="U60" s="240"/>
      <c r="V60" s="240"/>
      <c r="W60" s="240"/>
      <c r="X60" s="240"/>
      <c r="Y60" s="240"/>
      <c r="Z60" s="240"/>
      <c r="AA60" s="240"/>
      <c r="AB60" s="240"/>
      <c r="AC60" s="240"/>
      <c r="AD60" s="240"/>
    </row>
    <row r="61" spans="1:30" x14ac:dyDescent="0.25">
      <c r="A61" s="367" t="str">
        <f>A42</f>
        <v>8. Convocar y gestionar las sesiones de las Mesas Locales de las Manzanas del Cuidado que se encuentran en funcionamiento</v>
      </c>
      <c r="B61" s="372">
        <f>B42</f>
        <v>0.05</v>
      </c>
      <c r="C61" s="242" t="s">
        <v>64</v>
      </c>
      <c r="D61" s="243">
        <f t="shared" ref="D61:O62" si="7">D42*$B$42/$P$42</f>
        <v>0</v>
      </c>
      <c r="E61" s="243">
        <f t="shared" si="7"/>
        <v>4.5045045045045045E-3</v>
      </c>
      <c r="F61" s="243">
        <f t="shared" si="7"/>
        <v>4.5495495495495499E-3</v>
      </c>
      <c r="G61" s="243">
        <f t="shared" si="7"/>
        <v>4.5495495495495499E-3</v>
      </c>
      <c r="H61" s="243">
        <f t="shared" si="7"/>
        <v>4.5495495495495499E-3</v>
      </c>
      <c r="I61" s="243">
        <f t="shared" si="7"/>
        <v>4.5495495495495499E-3</v>
      </c>
      <c r="J61" s="243">
        <f t="shared" si="7"/>
        <v>4.5495495495495499E-3</v>
      </c>
      <c r="K61" s="243">
        <f t="shared" si="7"/>
        <v>4.5495495495495499E-3</v>
      </c>
      <c r="L61" s="243">
        <f t="shared" si="7"/>
        <v>4.5495495495495499E-3</v>
      </c>
      <c r="M61" s="243">
        <f t="shared" si="7"/>
        <v>4.5495495495495499E-3</v>
      </c>
      <c r="N61" s="243">
        <f t="shared" si="7"/>
        <v>4.5495495495495499E-3</v>
      </c>
      <c r="O61" s="243">
        <f t="shared" si="7"/>
        <v>4.5495495495495499E-3</v>
      </c>
      <c r="P61" s="244">
        <f t="shared" si="4"/>
        <v>5.0000000000000017E-2</v>
      </c>
      <c r="Q61" s="245">
        <v>2.5000000000000001E-2</v>
      </c>
      <c r="R61" s="246">
        <f t="shared" si="5"/>
        <v>2.5000000000000015E-2</v>
      </c>
      <c r="S61" s="240"/>
      <c r="T61" s="240"/>
      <c r="U61" s="240"/>
      <c r="V61" s="240"/>
      <c r="W61" s="240"/>
      <c r="X61" s="240"/>
      <c r="Y61" s="240"/>
      <c r="Z61" s="240"/>
      <c r="AA61" s="240"/>
      <c r="AB61" s="240"/>
      <c r="AC61" s="240"/>
      <c r="AD61" s="240"/>
    </row>
    <row r="62" spans="1:30" x14ac:dyDescent="0.25">
      <c r="A62" s="371"/>
      <c r="B62" s="373"/>
      <c r="C62" s="247" t="s">
        <v>65</v>
      </c>
      <c r="D62" s="248">
        <f t="shared" si="7"/>
        <v>0</v>
      </c>
      <c r="E62" s="248">
        <f t="shared" si="7"/>
        <v>4.5045045045045045E-3</v>
      </c>
      <c r="F62" s="248">
        <f t="shared" si="7"/>
        <v>4.5495495495495499E-3</v>
      </c>
      <c r="G62" s="248">
        <f t="shared" si="7"/>
        <v>0</v>
      </c>
      <c r="H62" s="248">
        <f t="shared" si="7"/>
        <v>0</v>
      </c>
      <c r="I62" s="248">
        <f t="shared" si="7"/>
        <v>0</v>
      </c>
      <c r="J62" s="248">
        <f t="shared" si="7"/>
        <v>0</v>
      </c>
      <c r="K62" s="248">
        <f t="shared" si="7"/>
        <v>0</v>
      </c>
      <c r="L62" s="248">
        <f t="shared" si="7"/>
        <v>0</v>
      </c>
      <c r="M62" s="248">
        <f t="shared" si="7"/>
        <v>0</v>
      </c>
      <c r="N62" s="248">
        <f t="shared" si="7"/>
        <v>0</v>
      </c>
      <c r="O62" s="248">
        <f t="shared" si="7"/>
        <v>0</v>
      </c>
      <c r="P62" s="249">
        <f t="shared" si="4"/>
        <v>9.0540540540540553E-3</v>
      </c>
      <c r="Q62" s="250">
        <f>+P62</f>
        <v>9.0540540540540553E-3</v>
      </c>
      <c r="R62" s="246">
        <f t="shared" si="5"/>
        <v>0</v>
      </c>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D58+D60+D62</f>
        <v>0</v>
      </c>
      <c r="E65" s="261">
        <f t="shared" ref="E65:O65" si="8">E58+E60+E62</f>
        <v>1.947962888261396E-2</v>
      </c>
      <c r="F65" s="261">
        <f t="shared" si="8"/>
        <v>1.9275917708753532E-2</v>
      </c>
      <c r="G65" s="261">
        <f t="shared" si="8"/>
        <v>0</v>
      </c>
      <c r="H65" s="261">
        <f t="shared" si="8"/>
        <v>0</v>
      </c>
      <c r="I65" s="261">
        <f t="shared" si="8"/>
        <v>0</v>
      </c>
      <c r="J65" s="261">
        <f t="shared" si="8"/>
        <v>0</v>
      </c>
      <c r="K65" s="261">
        <f t="shared" si="8"/>
        <v>0</v>
      </c>
      <c r="L65" s="261">
        <f t="shared" si="8"/>
        <v>0</v>
      </c>
      <c r="M65" s="261">
        <f t="shared" si="8"/>
        <v>0</v>
      </c>
      <c r="N65" s="261">
        <f t="shared" si="8"/>
        <v>0</v>
      </c>
      <c r="O65" s="261">
        <f t="shared" si="8"/>
        <v>0</v>
      </c>
      <c r="P65" s="261">
        <f>P58+P60+P62</f>
        <v>3.8755546591367498E-2</v>
      </c>
      <c r="Q65" s="239"/>
      <c r="R65" s="246">
        <f t="shared" si="5"/>
        <v>3.8755546591367498E-2</v>
      </c>
      <c r="S65" s="240"/>
      <c r="T65" s="240"/>
      <c r="U65" s="240"/>
      <c r="V65" s="240"/>
      <c r="W65" s="240"/>
      <c r="X65" s="240"/>
      <c r="Y65" s="240"/>
      <c r="Z65" s="240"/>
      <c r="AA65" s="240"/>
      <c r="AB65" s="240"/>
      <c r="AC65" s="240"/>
      <c r="AD65" s="240"/>
    </row>
    <row r="66" spans="1:30" x14ac:dyDescent="0.25">
      <c r="A66" s="239"/>
      <c r="B66" s="262"/>
      <c r="C66" s="263" t="s">
        <v>65</v>
      </c>
      <c r="D66" s="264">
        <f>D65*$W$17/$B$34</f>
        <v>0</v>
      </c>
      <c r="E66" s="264">
        <f t="shared" ref="E66:O66" si="9">E65*$W$17/$B$34</f>
        <v>3.2466048137689933E-2</v>
      </c>
      <c r="F66" s="264">
        <f t="shared" si="9"/>
        <v>3.2126529514589219E-2</v>
      </c>
      <c r="G66" s="264">
        <f t="shared" si="9"/>
        <v>0</v>
      </c>
      <c r="H66" s="264">
        <f t="shared" si="9"/>
        <v>0</v>
      </c>
      <c r="I66" s="264">
        <f t="shared" si="9"/>
        <v>0</v>
      </c>
      <c r="J66" s="264">
        <f t="shared" si="9"/>
        <v>0</v>
      </c>
      <c r="K66" s="264">
        <f t="shared" si="9"/>
        <v>0</v>
      </c>
      <c r="L66" s="264">
        <f t="shared" si="9"/>
        <v>0</v>
      </c>
      <c r="M66" s="264">
        <f t="shared" si="9"/>
        <v>0</v>
      </c>
      <c r="N66" s="264">
        <f t="shared" si="9"/>
        <v>0</v>
      </c>
      <c r="O66" s="264">
        <f t="shared" si="9"/>
        <v>0</v>
      </c>
      <c r="P66" s="265">
        <f>SUM(D66:O66)</f>
        <v>6.4592577652279159E-2</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 t="shared" ref="D68:P68" si="10">+D57+D59+D61</f>
        <v>0</v>
      </c>
      <c r="E68" s="261">
        <f t="shared" si="10"/>
        <v>1.947962888261396E-2</v>
      </c>
      <c r="F68" s="261">
        <f t="shared" si="10"/>
        <v>1.9275917708753532E-2</v>
      </c>
      <c r="G68" s="261">
        <f t="shared" si="10"/>
        <v>1.9275917708753532E-2</v>
      </c>
      <c r="H68" s="261">
        <f t="shared" si="10"/>
        <v>9.2759177087535314E-3</v>
      </c>
      <c r="I68" s="261">
        <f t="shared" si="10"/>
        <v>9.2759177087535314E-3</v>
      </c>
      <c r="J68" s="261">
        <f t="shared" si="10"/>
        <v>1.9275917708753532E-2</v>
      </c>
      <c r="K68" s="261">
        <f t="shared" si="10"/>
        <v>9.2759177087535314E-3</v>
      </c>
      <c r="L68" s="261">
        <f t="shared" si="10"/>
        <v>1.9275917708753532E-2</v>
      </c>
      <c r="M68" s="261">
        <f t="shared" si="10"/>
        <v>9.2759177087535314E-3</v>
      </c>
      <c r="N68" s="261">
        <f t="shared" si="10"/>
        <v>9.2759177087535314E-3</v>
      </c>
      <c r="O68" s="261">
        <f t="shared" si="10"/>
        <v>7.0371117386042771E-3</v>
      </c>
      <c r="P68" s="261">
        <f t="shared" si="10"/>
        <v>0.15000000000000002</v>
      </c>
      <c r="Q68" s="245"/>
      <c r="R68" s="245"/>
      <c r="S68" s="240"/>
      <c r="T68" s="240"/>
      <c r="U68" s="240"/>
      <c r="V68" s="240"/>
      <c r="W68" s="240"/>
      <c r="X68" s="240"/>
      <c r="Y68" s="240"/>
      <c r="Z68" s="240"/>
      <c r="AA68" s="240"/>
      <c r="AB68" s="240"/>
      <c r="AC68" s="240"/>
      <c r="AD68" s="240"/>
    </row>
    <row r="69" spans="1:30" x14ac:dyDescent="0.25">
      <c r="A69" s="245"/>
      <c r="B69" s="108"/>
      <c r="C69" s="263" t="s">
        <v>64</v>
      </c>
      <c r="D69" s="264">
        <f t="shared" ref="D69:O69" si="11">D68*$W$17/$B$34</f>
        <v>0</v>
      </c>
      <c r="E69" s="264">
        <f t="shared" si="11"/>
        <v>3.2466048137689933E-2</v>
      </c>
      <c r="F69" s="264">
        <f t="shared" si="11"/>
        <v>3.2126529514589219E-2</v>
      </c>
      <c r="G69" s="264">
        <f t="shared" si="11"/>
        <v>3.2126529514589219E-2</v>
      </c>
      <c r="H69" s="264">
        <f t="shared" si="11"/>
        <v>1.5459862847922553E-2</v>
      </c>
      <c r="I69" s="264">
        <f t="shared" si="11"/>
        <v>1.5459862847922553E-2</v>
      </c>
      <c r="J69" s="264">
        <f t="shared" si="11"/>
        <v>3.2126529514589219E-2</v>
      </c>
      <c r="K69" s="264">
        <f t="shared" si="11"/>
        <v>1.5459862847922553E-2</v>
      </c>
      <c r="L69" s="264">
        <f t="shared" si="11"/>
        <v>3.2126529514589219E-2</v>
      </c>
      <c r="M69" s="264">
        <f t="shared" si="11"/>
        <v>1.5459862847922553E-2</v>
      </c>
      <c r="N69" s="264">
        <f t="shared" si="11"/>
        <v>1.5459862847922553E-2</v>
      </c>
      <c r="O69" s="264">
        <f t="shared" si="11"/>
        <v>1.1728519564340463E-2</v>
      </c>
      <c r="P69" s="265">
        <f>SUM(D69:O69)</f>
        <v>0.25000000000000006</v>
      </c>
      <c r="Q69" s="245"/>
      <c r="R69" s="245"/>
      <c r="S69" s="240"/>
      <c r="T69" s="240"/>
      <c r="U69" s="240"/>
      <c r="V69" s="240"/>
      <c r="W69" s="240"/>
      <c r="X69" s="240"/>
      <c r="Y69" s="240"/>
      <c r="Z69" s="240"/>
      <c r="AA69" s="240"/>
      <c r="AB69" s="240"/>
      <c r="AC69" s="240"/>
      <c r="AD69" s="240"/>
    </row>
    <row r="70" spans="1:30" x14ac:dyDescent="0.25">
      <c r="A70" s="240"/>
      <c r="Q70" s="240"/>
      <c r="R70" s="240"/>
      <c r="S70" s="240"/>
      <c r="T70" s="240"/>
      <c r="U70" s="240"/>
      <c r="V70" s="240"/>
      <c r="W70" s="240"/>
      <c r="X70" s="240"/>
      <c r="Y70" s="240"/>
      <c r="Z70" s="240"/>
      <c r="AA70" s="240"/>
      <c r="AB70" s="240"/>
      <c r="AC70" s="240"/>
      <c r="AD70" s="240"/>
    </row>
    <row r="71" spans="1:30" x14ac:dyDescent="0.25">
      <c r="A71" s="240"/>
      <c r="Q71" s="240"/>
      <c r="R71" s="240"/>
      <c r="S71" s="240"/>
      <c r="T71" s="240"/>
      <c r="U71" s="240"/>
      <c r="V71" s="240"/>
      <c r="W71" s="240"/>
      <c r="X71" s="240"/>
      <c r="Y71" s="240"/>
      <c r="Z71" s="240"/>
      <c r="AA71" s="240"/>
      <c r="AB71" s="240"/>
      <c r="AC71" s="240"/>
      <c r="AD71" s="240"/>
    </row>
    <row r="72" spans="1:30" x14ac:dyDescent="0.25">
      <c r="A72" s="240"/>
      <c r="Q72" s="240"/>
      <c r="R72" s="240"/>
      <c r="S72" s="240"/>
      <c r="T72" s="240"/>
      <c r="U72" s="240"/>
      <c r="V72" s="240"/>
      <c r="W72" s="240"/>
      <c r="X72" s="240"/>
      <c r="Y72" s="240"/>
      <c r="Z72" s="240"/>
      <c r="AA72" s="240"/>
      <c r="AB72" s="240"/>
      <c r="AC72" s="240"/>
      <c r="AD72" s="240"/>
    </row>
    <row r="73" spans="1:30" x14ac:dyDescent="0.25">
      <c r="A73" s="240"/>
      <c r="Q73" s="240"/>
      <c r="R73" s="240"/>
      <c r="S73" s="240"/>
      <c r="T73" s="240"/>
      <c r="U73" s="240"/>
      <c r="V73" s="240"/>
      <c r="W73" s="240"/>
      <c r="X73" s="240"/>
      <c r="Y73" s="240"/>
      <c r="Z73" s="240"/>
      <c r="AA73" s="240"/>
      <c r="AB73" s="240"/>
      <c r="AC73" s="240"/>
      <c r="AD73" s="240"/>
    </row>
    <row r="74" spans="1:30" x14ac:dyDescent="0.25">
      <c r="A74" s="240"/>
      <c r="Q74" s="240"/>
      <c r="R74" s="240"/>
      <c r="S74" s="240"/>
      <c r="T74" s="240"/>
      <c r="U74" s="240"/>
      <c r="V74" s="240"/>
      <c r="W74" s="240"/>
      <c r="X74" s="240"/>
      <c r="Y74" s="240"/>
      <c r="Z74" s="240"/>
      <c r="AA74" s="240"/>
      <c r="AB74" s="240"/>
      <c r="AC74" s="240"/>
      <c r="AD74" s="240"/>
    </row>
    <row r="75" spans="1:30" x14ac:dyDescent="0.25">
      <c r="A75" s="240"/>
      <c r="Q75" s="240"/>
      <c r="R75" s="240"/>
      <c r="S75" s="240"/>
      <c r="T75" s="240"/>
      <c r="U75" s="240"/>
      <c r="V75" s="240"/>
      <c r="W75" s="240"/>
      <c r="X75" s="240"/>
      <c r="Y75" s="240"/>
      <c r="Z75" s="240"/>
      <c r="AA75" s="240"/>
      <c r="AB75" s="240"/>
      <c r="AC75" s="240"/>
      <c r="AD75" s="240"/>
    </row>
    <row r="76" spans="1:30" x14ac:dyDescent="0.25">
      <c r="A76" s="240"/>
      <c r="Q76" s="240"/>
      <c r="R76" s="240"/>
      <c r="S76" s="240"/>
      <c r="T76" s="240"/>
      <c r="U76" s="240"/>
      <c r="V76" s="240"/>
      <c r="W76" s="240"/>
      <c r="X76" s="240"/>
      <c r="Y76" s="240"/>
      <c r="Z76" s="240"/>
      <c r="AA76" s="240"/>
      <c r="AB76" s="240"/>
      <c r="AC76" s="240"/>
      <c r="AD76" s="240"/>
    </row>
    <row r="77" spans="1:30" x14ac:dyDescent="0.25">
      <c r="A77" s="240"/>
      <c r="Q77" s="240"/>
      <c r="R77" s="240"/>
      <c r="S77" s="240"/>
      <c r="T77" s="240"/>
      <c r="U77" s="240"/>
      <c r="V77" s="240"/>
      <c r="W77" s="240"/>
      <c r="X77" s="240"/>
      <c r="Y77" s="240"/>
      <c r="Z77" s="240"/>
      <c r="AA77" s="240"/>
      <c r="AB77" s="240"/>
      <c r="AC77" s="240"/>
      <c r="AD77" s="240"/>
    </row>
    <row r="78" spans="1:30" x14ac:dyDescent="0.25">
      <c r="A78" s="240"/>
      <c r="Q78" s="240"/>
      <c r="R78" s="240"/>
      <c r="S78" s="240"/>
      <c r="T78" s="240"/>
      <c r="U78" s="240"/>
      <c r="V78" s="240"/>
      <c r="W78" s="240"/>
      <c r="X78" s="240"/>
      <c r="Y78" s="240"/>
      <c r="Z78" s="240"/>
      <c r="AA78" s="240"/>
      <c r="AB78" s="240"/>
      <c r="AC78" s="240"/>
      <c r="AD78" s="240"/>
    </row>
    <row r="79" spans="1:30" x14ac:dyDescent="0.25">
      <c r="A79" s="240"/>
      <c r="Q79" s="240"/>
      <c r="R79" s="240"/>
      <c r="S79" s="240"/>
      <c r="T79" s="240"/>
      <c r="U79" s="240"/>
      <c r="V79" s="240"/>
      <c r="W79" s="240"/>
      <c r="X79" s="240"/>
      <c r="Y79" s="240"/>
      <c r="Z79" s="240"/>
      <c r="AA79" s="240"/>
      <c r="AB79" s="240"/>
      <c r="AC79" s="240"/>
      <c r="AD79" s="240"/>
    </row>
    <row r="80" spans="1:30" x14ac:dyDescent="0.25">
      <c r="A80" s="240"/>
      <c r="Q80" s="240"/>
      <c r="R80" s="240"/>
      <c r="S80" s="240"/>
      <c r="T80" s="240"/>
      <c r="U80" s="240"/>
      <c r="V80" s="240"/>
      <c r="W80" s="240"/>
      <c r="X80" s="240"/>
      <c r="Y80" s="240"/>
      <c r="Z80" s="240"/>
      <c r="AA80" s="240"/>
      <c r="AB80" s="240"/>
      <c r="AC80" s="240"/>
      <c r="AD80" s="240"/>
    </row>
    <row r="81" spans="1:30" x14ac:dyDescent="0.25">
      <c r="A81" s="240"/>
      <c r="Q81" s="240"/>
      <c r="R81" s="240"/>
      <c r="S81" s="240"/>
      <c r="T81" s="240"/>
      <c r="U81" s="240"/>
      <c r="V81" s="240"/>
      <c r="W81" s="240"/>
      <c r="X81" s="240"/>
      <c r="Y81" s="240"/>
      <c r="Z81" s="240"/>
      <c r="AA81" s="240"/>
      <c r="AB81" s="240"/>
      <c r="AC81" s="240"/>
      <c r="AD81" s="240"/>
    </row>
    <row r="82" spans="1:30" x14ac:dyDescent="0.25">
      <c r="A82" s="240"/>
      <c r="Q82" s="240"/>
      <c r="R82" s="240"/>
      <c r="S82" s="240"/>
      <c r="T82" s="240"/>
      <c r="U82" s="240"/>
      <c r="V82" s="240"/>
      <c r="W82" s="240"/>
      <c r="X82" s="240"/>
      <c r="Y82" s="240"/>
      <c r="Z82" s="240"/>
      <c r="AA82" s="240"/>
      <c r="AB82" s="240"/>
      <c r="AC82" s="240"/>
      <c r="AD82" s="240"/>
    </row>
    <row r="83" spans="1:30" x14ac:dyDescent="0.25">
      <c r="A83" s="240"/>
      <c r="Q83" s="240"/>
      <c r="R83" s="240"/>
      <c r="S83" s="240"/>
      <c r="T83" s="240"/>
      <c r="U83" s="240"/>
      <c r="V83" s="240"/>
      <c r="W83" s="240"/>
      <c r="X83" s="240"/>
      <c r="Y83" s="240"/>
      <c r="Z83" s="240"/>
      <c r="AA83" s="240"/>
      <c r="AB83" s="240"/>
      <c r="AC83" s="240"/>
      <c r="AD83" s="240"/>
    </row>
    <row r="84" spans="1:30" x14ac:dyDescent="0.25">
      <c r="A84" s="240"/>
      <c r="Q84" s="240"/>
      <c r="R84" s="240"/>
      <c r="S84" s="240"/>
      <c r="T84" s="240"/>
      <c r="U84" s="240"/>
      <c r="V84" s="240"/>
      <c r="W84" s="240"/>
      <c r="X84" s="240"/>
      <c r="Y84" s="240"/>
      <c r="Z84" s="240"/>
      <c r="AA84" s="240"/>
      <c r="AB84" s="240"/>
      <c r="AC84" s="240"/>
      <c r="AD84" s="240"/>
    </row>
    <row r="85" spans="1:30" x14ac:dyDescent="0.25">
      <c r="A85" s="240"/>
      <c r="Q85" s="240"/>
      <c r="R85" s="240"/>
      <c r="S85" s="240"/>
      <c r="T85" s="240"/>
      <c r="U85" s="240"/>
      <c r="V85" s="240"/>
      <c r="W85" s="240"/>
      <c r="X85" s="240"/>
      <c r="Y85" s="240"/>
      <c r="Z85" s="240"/>
      <c r="AA85" s="240"/>
      <c r="AB85" s="240"/>
      <c r="AC85" s="240"/>
      <c r="AD85" s="240"/>
    </row>
    <row r="86" spans="1:30" x14ac:dyDescent="0.25">
      <c r="A86" s="240"/>
      <c r="Q86" s="240"/>
      <c r="R86" s="240"/>
      <c r="S86" s="240"/>
      <c r="T86" s="240"/>
      <c r="U86" s="240"/>
      <c r="V86" s="240"/>
      <c r="W86" s="240"/>
      <c r="X86" s="240"/>
      <c r="Y86" s="240"/>
      <c r="Z86" s="240"/>
      <c r="AA86" s="240"/>
      <c r="AB86" s="240"/>
      <c r="AC86" s="240"/>
      <c r="AD86" s="240"/>
    </row>
    <row r="87" spans="1:30" x14ac:dyDescent="0.25">
      <c r="A87" s="240"/>
      <c r="Q87" s="240"/>
      <c r="R87" s="240"/>
      <c r="S87" s="240"/>
      <c r="T87" s="240"/>
      <c r="U87" s="240"/>
      <c r="V87" s="240"/>
      <c r="W87" s="240"/>
      <c r="X87" s="240"/>
      <c r="Y87" s="240"/>
      <c r="Z87" s="240"/>
      <c r="AA87" s="240"/>
      <c r="AB87" s="240"/>
      <c r="AC87" s="240"/>
      <c r="AD87" s="240"/>
    </row>
    <row r="88" spans="1:30" x14ac:dyDescent="0.25">
      <c r="A88" s="240"/>
      <c r="Q88" s="240"/>
      <c r="R88" s="240"/>
      <c r="S88" s="240"/>
      <c r="T88" s="240"/>
      <c r="U88" s="240"/>
      <c r="V88" s="240"/>
      <c r="W88" s="240"/>
      <c r="X88" s="240"/>
      <c r="Y88" s="240"/>
      <c r="Z88" s="240"/>
      <c r="AA88" s="240"/>
      <c r="AB88" s="240"/>
      <c r="AC88" s="240"/>
      <c r="AD88" s="240"/>
    </row>
    <row r="89" spans="1:30" x14ac:dyDescent="0.25">
      <c r="A89" s="240"/>
      <c r="Q89" s="240"/>
      <c r="R89" s="240"/>
      <c r="S89" s="240"/>
      <c r="T89" s="240"/>
      <c r="U89" s="240"/>
      <c r="V89" s="240"/>
      <c r="W89" s="240"/>
      <c r="X89" s="240"/>
      <c r="Y89" s="240"/>
      <c r="Z89" s="240"/>
      <c r="AA89" s="240"/>
      <c r="AB89" s="240"/>
      <c r="AC89" s="240"/>
      <c r="AD89" s="240"/>
    </row>
    <row r="90" spans="1:30" x14ac:dyDescent="0.25">
      <c r="A90" s="240"/>
      <c r="Q90" s="240"/>
      <c r="R90" s="240"/>
      <c r="S90" s="240"/>
      <c r="T90" s="240"/>
      <c r="U90" s="240"/>
      <c r="V90" s="240"/>
      <c r="W90" s="240"/>
      <c r="X90" s="240"/>
      <c r="Y90" s="240"/>
      <c r="Z90" s="240"/>
      <c r="AA90" s="240"/>
      <c r="AB90" s="240"/>
      <c r="AC90" s="240"/>
      <c r="AD90" s="240"/>
    </row>
    <row r="91" spans="1:30" x14ac:dyDescent="0.25">
      <c r="A91" s="240"/>
      <c r="Q91" s="240"/>
      <c r="R91" s="240"/>
      <c r="S91" s="240"/>
      <c r="T91" s="240"/>
      <c r="U91" s="240"/>
      <c r="V91" s="240"/>
      <c r="W91" s="240"/>
      <c r="X91" s="240"/>
      <c r="Y91" s="240"/>
      <c r="Z91" s="240"/>
      <c r="AA91" s="240"/>
      <c r="AB91" s="240"/>
      <c r="AC91" s="240"/>
      <c r="AD91" s="240"/>
    </row>
    <row r="92" spans="1:30" x14ac:dyDescent="0.25">
      <c r="A92" s="240"/>
      <c r="Q92" s="240"/>
      <c r="R92" s="240"/>
      <c r="S92" s="240"/>
      <c r="T92" s="240"/>
      <c r="U92" s="240"/>
      <c r="V92" s="240"/>
      <c r="W92" s="240"/>
      <c r="X92" s="240"/>
      <c r="Y92" s="240"/>
      <c r="Z92" s="240"/>
      <c r="AA92" s="240"/>
      <c r="AB92" s="240"/>
      <c r="AC92" s="240"/>
      <c r="AD92" s="240"/>
    </row>
    <row r="93" spans="1:30" x14ac:dyDescent="0.25">
      <c r="A93" s="240"/>
      <c r="Q93" s="240"/>
      <c r="R93" s="240"/>
      <c r="S93" s="240"/>
      <c r="T93" s="240"/>
      <c r="U93" s="240"/>
      <c r="V93" s="240"/>
      <c r="W93" s="240"/>
      <c r="X93" s="240"/>
      <c r="Y93" s="240"/>
      <c r="Z93" s="240"/>
      <c r="AA93" s="240"/>
      <c r="AB93" s="240"/>
      <c r="AC93" s="240"/>
      <c r="AD93" s="240"/>
    </row>
    <row r="94" spans="1:30" x14ac:dyDescent="0.25">
      <c r="A94" s="240"/>
      <c r="Q94" s="240"/>
      <c r="R94" s="240"/>
      <c r="S94" s="240"/>
      <c r="T94" s="240"/>
      <c r="U94" s="240"/>
      <c r="V94" s="240"/>
      <c r="W94" s="240"/>
      <c r="X94" s="240"/>
      <c r="Y94" s="240"/>
      <c r="Z94" s="240"/>
      <c r="AA94" s="240"/>
      <c r="AB94" s="240"/>
      <c r="AC94" s="240"/>
      <c r="AD94" s="240"/>
    </row>
    <row r="95" spans="1:30" x14ac:dyDescent="0.25">
      <c r="A95" s="240"/>
      <c r="Q95" s="240"/>
      <c r="R95" s="240"/>
      <c r="S95" s="240"/>
      <c r="T95" s="240"/>
      <c r="U95" s="240"/>
      <c r="V95" s="240"/>
      <c r="W95" s="240"/>
      <c r="X95" s="240"/>
      <c r="Y95" s="240"/>
      <c r="Z95" s="240"/>
      <c r="AA95" s="240"/>
      <c r="AB95" s="240"/>
      <c r="AC95" s="240"/>
      <c r="AD95" s="240"/>
    </row>
    <row r="96" spans="1:30" x14ac:dyDescent="0.25">
      <c r="A96" s="240"/>
      <c r="Q96" s="240"/>
      <c r="R96" s="240"/>
      <c r="S96" s="240"/>
      <c r="T96" s="240"/>
      <c r="U96" s="240"/>
      <c r="V96" s="240"/>
      <c r="W96" s="240"/>
      <c r="X96" s="240"/>
      <c r="Y96" s="240"/>
      <c r="Z96" s="240"/>
      <c r="AA96" s="240"/>
      <c r="AB96" s="240"/>
      <c r="AC96" s="240"/>
      <c r="AD96" s="240"/>
    </row>
    <row r="97" spans="1:30" x14ac:dyDescent="0.25">
      <c r="A97" s="240"/>
      <c r="Q97" s="240"/>
      <c r="R97" s="240"/>
      <c r="S97" s="240"/>
      <c r="T97" s="240"/>
      <c r="U97" s="240"/>
      <c r="V97" s="240"/>
      <c r="W97" s="240"/>
      <c r="X97" s="240"/>
      <c r="Y97" s="240"/>
      <c r="Z97" s="240"/>
      <c r="AA97" s="240"/>
      <c r="AB97" s="240"/>
      <c r="AC97" s="240"/>
      <c r="AD97" s="240"/>
    </row>
    <row r="98" spans="1:30" x14ac:dyDescent="0.25">
      <c r="A98" s="240"/>
      <c r="Q98" s="240"/>
      <c r="R98" s="240"/>
      <c r="S98" s="240"/>
      <c r="T98" s="240"/>
      <c r="U98" s="240"/>
      <c r="V98" s="240"/>
      <c r="W98" s="240"/>
      <c r="X98" s="240"/>
      <c r="Y98" s="240"/>
      <c r="Z98" s="240"/>
      <c r="AA98" s="240"/>
      <c r="AB98" s="240"/>
      <c r="AC98" s="240"/>
      <c r="AD98" s="240"/>
    </row>
  </sheetData>
  <mergeCells count="88">
    <mergeCell ref="A42:A43"/>
    <mergeCell ref="B42:B43"/>
    <mergeCell ref="Q42:AD43"/>
    <mergeCell ref="A38:A39"/>
    <mergeCell ref="B38:B39"/>
    <mergeCell ref="Q38:AD39"/>
    <mergeCell ref="A40:A41"/>
    <mergeCell ref="B40:B41"/>
    <mergeCell ref="Q40:AD41"/>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4:B24"/>
    <mergeCell ref="A25:B25"/>
    <mergeCell ref="A27:AD27"/>
    <mergeCell ref="A28:A29"/>
    <mergeCell ref="B28:C29"/>
    <mergeCell ref="D28:O28"/>
    <mergeCell ref="P28:P29"/>
    <mergeCell ref="Q28:AD29"/>
    <mergeCell ref="A19:AD19"/>
    <mergeCell ref="C20:P20"/>
    <mergeCell ref="Q20:AD20"/>
    <mergeCell ref="A22:B22"/>
    <mergeCell ref="A23:B23"/>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1:B13"/>
    <mergeCell ref="C11:AD13"/>
    <mergeCell ref="A7:B9"/>
    <mergeCell ref="C7:C9"/>
    <mergeCell ref="D7:H9"/>
    <mergeCell ref="I7:J9"/>
    <mergeCell ref="K7:L9"/>
    <mergeCell ref="M7:N7"/>
    <mergeCell ref="M9:N9"/>
    <mergeCell ref="O9:P9"/>
    <mergeCell ref="AB1:AD1"/>
    <mergeCell ref="B2:AA2"/>
    <mergeCell ref="AB2:AD2"/>
    <mergeCell ref="B3:AA4"/>
    <mergeCell ref="AB3:AD3"/>
    <mergeCell ref="AB4:AD4"/>
    <mergeCell ref="A1:A4"/>
    <mergeCell ref="B1:AA1"/>
    <mergeCell ref="O7:P7"/>
    <mergeCell ref="M8:N8"/>
    <mergeCell ref="O8:P8"/>
    <mergeCell ref="A61:A62"/>
    <mergeCell ref="B61:B62"/>
    <mergeCell ref="A55:A56"/>
    <mergeCell ref="B55:B56"/>
    <mergeCell ref="C55:P55"/>
    <mergeCell ref="A57:A58"/>
    <mergeCell ref="B57:B58"/>
    <mergeCell ref="A59:A60"/>
    <mergeCell ref="B59:B60"/>
  </mergeCells>
  <dataValidations count="2">
    <dataValidation type="list" allowBlank="1" showInputMessage="1" showErrorMessage="1" sqref="C7:C9" xr:uid="{EE3DD9B5-4B99-47DE-9229-09F594625D02}">
      <formula1>$C$21:$N$21</formula1>
    </dataValidation>
    <dataValidation type="textLength" operator="lessThanOrEqual" allowBlank="1" showInputMessage="1" showErrorMessage="1" errorTitle="Máximo 2.000 caracteres" error="Máximo 2.000 caracteres" promptTitle="2.000 caracteres" sqref="Q30:AD30" xr:uid="{00000000-0002-0000-0200-000001000000}">
      <formula1>2000</formula1>
    </dataValidation>
  </dataValidations>
  <pageMargins left="0.25" right="0.25" top="0.75" bottom="0.75" header="0.3" footer="0.3"/>
  <pageSetup scale="20" orientation="landscape" r:id="rId1"/>
  <customProperties>
    <customPr name="_pios_id" r:id="rId2"/>
  </customPropertie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O69"/>
  <sheetViews>
    <sheetView showGridLines="0" zoomScale="64" zoomScaleNormal="64" workbookViewId="0">
      <selection activeCell="A19" sqref="A19:AD19"/>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18" width="18.140625" style="50" customWidth="1"/>
    <col min="19" max="19" width="46" style="50" customWidth="1"/>
    <col min="20" max="21" width="18.140625" style="50" customWidth="1"/>
    <col min="22" max="22" width="47.85546875" style="50" customWidth="1"/>
    <col min="23"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488"/>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485"/>
      <c r="F8" s="485"/>
      <c r="G8" s="485"/>
      <c r="H8" s="481"/>
      <c r="I8" s="489"/>
      <c r="J8" s="490"/>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491"/>
      <c r="J9" s="492"/>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107</v>
      </c>
      <c r="D17" s="456"/>
      <c r="E17" s="456"/>
      <c r="F17" s="456"/>
      <c r="G17" s="456"/>
      <c r="H17" s="456"/>
      <c r="I17" s="456"/>
      <c r="J17" s="456"/>
      <c r="K17" s="456"/>
      <c r="L17" s="456"/>
      <c r="M17" s="456"/>
      <c r="N17" s="456"/>
      <c r="O17" s="456"/>
      <c r="P17" s="456"/>
      <c r="Q17" s="457"/>
      <c r="R17" s="458" t="s">
        <v>25</v>
      </c>
      <c r="S17" s="459"/>
      <c r="T17" s="459"/>
      <c r="U17" s="459"/>
      <c r="V17" s="460"/>
      <c r="W17" s="568">
        <v>0.24</v>
      </c>
      <c r="X17" s="569"/>
      <c r="Y17" s="459" t="s">
        <v>26</v>
      </c>
      <c r="Z17" s="459"/>
      <c r="AA17" s="459"/>
      <c r="AB17" s="460"/>
      <c r="AC17" s="476">
        <v>0.15</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v>1788742712</v>
      </c>
      <c r="R22" s="177"/>
      <c r="S22" s="177">
        <f>19186926+10126937+6986000</f>
        <v>36299863</v>
      </c>
      <c r="T22" s="177">
        <f>35000000+21559511</f>
        <v>56559511</v>
      </c>
      <c r="U22" s="177"/>
      <c r="V22" s="177">
        <f>2139478+34249272</f>
        <v>36388750</v>
      </c>
      <c r="W22" s="177"/>
      <c r="X22" s="177"/>
      <c r="Y22" s="177"/>
      <c r="Z22" s="177"/>
      <c r="AA22" s="177"/>
      <c r="AB22" s="177"/>
      <c r="AC22" s="177">
        <f>SUM(Q22:AB22)</f>
        <v>1917990836</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84263629</v>
      </c>
      <c r="R23" s="179">
        <v>1319717051</v>
      </c>
      <c r="S23" s="179">
        <v>198188775</v>
      </c>
      <c r="T23" s="174"/>
      <c r="U23" s="174"/>
      <c r="V23" s="174"/>
      <c r="W23" s="174"/>
      <c r="X23" s="174"/>
      <c r="Y23" s="174"/>
      <c r="Z23" s="174"/>
      <c r="AA23" s="174"/>
      <c r="AB23" s="174"/>
      <c r="AC23" s="174">
        <f>SUM(Q23:AB23)</f>
        <v>1602169455</v>
      </c>
      <c r="AD23" s="182">
        <f>+AC23/AC22</f>
        <v>0.83533738792065848</v>
      </c>
      <c r="AE23" s="3"/>
      <c r="AF23" s="3"/>
    </row>
    <row r="24" spans="1:41" ht="32.1" customHeight="1" x14ac:dyDescent="0.25">
      <c r="A24" s="431" t="s">
        <v>45</v>
      </c>
      <c r="B24" s="441"/>
      <c r="C24" s="175">
        <f>25110243+698600+1646344+1804187+19304533</f>
        <v>48563907</v>
      </c>
      <c r="D24" s="174">
        <f>1749516+3375000+698600+1646344+3750000+461423+840000+713790+713790+1545000+1545000+432600+475860+4505045</f>
        <v>22451968</v>
      </c>
      <c r="E24" s="174">
        <f>698600+1646344+4956875</f>
        <v>7301819</v>
      </c>
      <c r="F24" s="174">
        <f>698600+1646344+5038625</f>
        <v>7383569</v>
      </c>
      <c r="G24" s="174">
        <f>548900+1646344</f>
        <v>2195244</v>
      </c>
      <c r="H24" s="174">
        <v>1646344</v>
      </c>
      <c r="I24" s="174">
        <v>1049770</v>
      </c>
      <c r="J24" s="174"/>
      <c r="K24" s="174"/>
      <c r="L24" s="174"/>
      <c r="M24" s="174"/>
      <c r="N24" s="174"/>
      <c r="O24" s="218">
        <f>SUM(C24:N24)</f>
        <v>90592621</v>
      </c>
      <c r="P24" s="178"/>
      <c r="Q24" s="175"/>
      <c r="R24" s="174">
        <v>76648064</v>
      </c>
      <c r="S24" s="174">
        <v>155644968</v>
      </c>
      <c r="T24" s="174">
        <f>155644968+1918693+1646342+776223</f>
        <v>159986226</v>
      </c>
      <c r="U24" s="174">
        <f>155644968+1918693+3888889+1646342+21559511+776223</f>
        <v>185434626</v>
      </c>
      <c r="V24" s="174">
        <f>155644968+1918693+3888889+1646342+776222</f>
        <v>163875114</v>
      </c>
      <c r="W24" s="174">
        <f>155644968+1918693+2139478+3888889+741130+11416424+776222</f>
        <v>176525804</v>
      </c>
      <c r="X24" s="174">
        <f>155644968+1918693+3888889+741130+776222</f>
        <v>162969902</v>
      </c>
      <c r="Y24" s="174">
        <f>155644968+1918693+3888889+741130+11416424+776222</f>
        <v>174386326</v>
      </c>
      <c r="Z24" s="174">
        <f>155644968+1918692+3888889+741130+776222</f>
        <v>162969901</v>
      </c>
      <c r="AA24" s="174">
        <f>155644968+1918692+3888889+741130+11416424+776222</f>
        <v>174386325</v>
      </c>
      <c r="AB24" s="174">
        <f>311289936+3837384+7777777+1482261+776222</f>
        <v>325163580</v>
      </c>
      <c r="AC24" s="174">
        <f>SUM(Q24:AB24)</f>
        <v>1917990836</v>
      </c>
      <c r="AD24" s="182"/>
      <c r="AE24" s="3"/>
      <c r="AF24" s="3"/>
    </row>
    <row r="25" spans="1:41" ht="32.1" customHeight="1" x14ac:dyDescent="0.25">
      <c r="A25" s="385" t="s">
        <v>46</v>
      </c>
      <c r="B25" s="448"/>
      <c r="C25" s="175">
        <v>9139172</v>
      </c>
      <c r="D25" s="175">
        <v>34332596</v>
      </c>
      <c r="E25" s="175">
        <v>24384979</v>
      </c>
      <c r="F25" s="176"/>
      <c r="G25" s="176"/>
      <c r="H25" s="176"/>
      <c r="I25" s="176"/>
      <c r="J25" s="176"/>
      <c r="K25" s="176"/>
      <c r="L25" s="176"/>
      <c r="M25" s="176"/>
      <c r="N25" s="176"/>
      <c r="O25" s="176">
        <f>SUM(C25:N25)</f>
        <v>67856747</v>
      </c>
      <c r="P25" s="181">
        <f>+O25/O24</f>
        <v>0.74903172301417353</v>
      </c>
      <c r="Q25" s="179" t="s">
        <v>90</v>
      </c>
      <c r="R25" s="179">
        <v>944067</v>
      </c>
      <c r="S25" s="179">
        <v>49626360</v>
      </c>
      <c r="T25" s="176"/>
      <c r="U25" s="176"/>
      <c r="V25" s="176"/>
      <c r="W25" s="176"/>
      <c r="X25" s="176"/>
      <c r="Y25" s="176"/>
      <c r="Z25" s="176"/>
      <c r="AA25" s="176"/>
      <c r="AB25" s="176"/>
      <c r="AC25" s="176">
        <f>SUM(Q25:AB25)</f>
        <v>50570427</v>
      </c>
      <c r="AD25" s="183">
        <f>+AC25/AC23</f>
        <v>3.156371933204781E-2</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thickBot="1" x14ac:dyDescent="0.3">
      <c r="A30" s="85" t="s">
        <v>108</v>
      </c>
      <c r="B30" s="423"/>
      <c r="C30" s="424"/>
      <c r="D30" s="89"/>
      <c r="E30" s="89"/>
      <c r="F30" s="89"/>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0.25" customHeight="1" x14ac:dyDescent="0.25">
      <c r="A32" s="430" t="s">
        <v>56</v>
      </c>
      <c r="B32" s="386" t="s">
        <v>57</v>
      </c>
      <c r="C32" s="386" t="s">
        <v>51</v>
      </c>
      <c r="D32" s="433" t="s">
        <v>58</v>
      </c>
      <c r="E32" s="386"/>
      <c r="F32" s="386"/>
      <c r="G32" s="386"/>
      <c r="H32" s="386"/>
      <c r="I32" s="386"/>
      <c r="J32" s="386"/>
      <c r="K32" s="386"/>
      <c r="L32" s="386"/>
      <c r="M32" s="386"/>
      <c r="N32" s="386"/>
      <c r="O32" s="386"/>
      <c r="P32" s="389"/>
      <c r="Q32" s="430"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431"/>
      <c r="B33" s="416"/>
      <c r="C33" s="604"/>
      <c r="D33" s="290"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385" t="s">
        <v>60</v>
      </c>
      <c r="R33" s="387"/>
      <c r="S33" s="387"/>
      <c r="T33" s="387" t="s">
        <v>61</v>
      </c>
      <c r="U33" s="387"/>
      <c r="V33" s="387"/>
      <c r="W33" s="537" t="s">
        <v>92</v>
      </c>
      <c r="X33" s="473"/>
      <c r="Y33" s="473"/>
      <c r="Z33" s="538"/>
      <c r="AA33" s="537" t="s">
        <v>63</v>
      </c>
      <c r="AB33" s="473"/>
      <c r="AC33" s="473"/>
      <c r="AD33" s="474"/>
      <c r="AG33" s="87"/>
      <c r="AH33" s="87"/>
      <c r="AI33" s="87"/>
      <c r="AJ33" s="87"/>
      <c r="AK33" s="87"/>
      <c r="AL33" s="87"/>
      <c r="AM33" s="87"/>
      <c r="AN33" s="87"/>
      <c r="AO33" s="87"/>
    </row>
    <row r="34" spans="1:41" ht="45" customHeight="1" x14ac:dyDescent="0.25">
      <c r="A34" s="580" t="s">
        <v>108</v>
      </c>
      <c r="B34" s="404">
        <v>0.15</v>
      </c>
      <c r="C34" s="102" t="s">
        <v>64</v>
      </c>
      <c r="D34" s="283">
        <f>D69</f>
        <v>6.4451158106747222E-3</v>
      </c>
      <c r="E34" s="284">
        <f t="shared" ref="E34:O34" si="0">E69</f>
        <v>2.2365513820624974E-2</v>
      </c>
      <c r="F34" s="284">
        <f t="shared" si="0"/>
        <v>2.1835354947317795E-2</v>
      </c>
      <c r="G34" s="284">
        <f t="shared" si="0"/>
        <v>2.1835354947317795E-2</v>
      </c>
      <c r="H34" s="284">
        <f t="shared" si="0"/>
        <v>2.1835354947317795E-2</v>
      </c>
      <c r="I34" s="284">
        <f t="shared" si="0"/>
        <v>2.1835354947317795E-2</v>
      </c>
      <c r="J34" s="284">
        <f t="shared" si="0"/>
        <v>2.1835354947317795E-2</v>
      </c>
      <c r="K34" s="284">
        <f t="shared" si="0"/>
        <v>2.1835354947317795E-2</v>
      </c>
      <c r="L34" s="284">
        <f t="shared" si="0"/>
        <v>2.1835354947317795E-2</v>
      </c>
      <c r="M34" s="284">
        <f t="shared" si="0"/>
        <v>2.1835354947317795E-2</v>
      </c>
      <c r="N34" s="284">
        <f t="shared" si="0"/>
        <v>2.1835354947317795E-2</v>
      </c>
      <c r="O34" s="285">
        <f t="shared" si="0"/>
        <v>1.4671175842840181E-2</v>
      </c>
      <c r="P34" s="279">
        <f>SUM(D34:O34)</f>
        <v>0.24000000000000005</v>
      </c>
      <c r="Q34" s="609" t="s">
        <v>528</v>
      </c>
      <c r="R34" s="610"/>
      <c r="S34" s="611"/>
      <c r="T34" s="615" t="s">
        <v>557</v>
      </c>
      <c r="U34" s="616"/>
      <c r="V34" s="617"/>
      <c r="W34" s="621" t="s">
        <v>543</v>
      </c>
      <c r="X34" s="621"/>
      <c r="Y34" s="621"/>
      <c r="Z34" s="621"/>
      <c r="AA34" s="605" t="s">
        <v>529</v>
      </c>
      <c r="AB34" s="606"/>
      <c r="AC34" s="606"/>
      <c r="AD34" s="607"/>
      <c r="AG34" s="87"/>
      <c r="AH34" s="87"/>
      <c r="AI34" s="87"/>
      <c r="AJ34" s="87"/>
      <c r="AK34" s="87"/>
      <c r="AL34" s="87"/>
      <c r="AM34" s="87"/>
      <c r="AN34" s="87"/>
      <c r="AO34" s="87"/>
    </row>
    <row r="35" spans="1:41" ht="291" customHeight="1" thickBot="1" x14ac:dyDescent="0.3">
      <c r="A35" s="581"/>
      <c r="B35" s="405"/>
      <c r="C35" s="91" t="s">
        <v>65</v>
      </c>
      <c r="D35" s="281">
        <f>D66</f>
        <v>6.4451158106747222E-3</v>
      </c>
      <c r="E35" s="271">
        <f t="shared" ref="E35:O35" si="1">E66</f>
        <v>1.8385414318137411E-2</v>
      </c>
      <c r="F35" s="271">
        <f t="shared" si="1"/>
        <v>2.1835354947317795E-2</v>
      </c>
      <c r="G35" s="271">
        <f t="shared" si="1"/>
        <v>0</v>
      </c>
      <c r="H35" s="271">
        <f t="shared" si="1"/>
        <v>0</v>
      </c>
      <c r="I35" s="271">
        <f t="shared" si="1"/>
        <v>0</v>
      </c>
      <c r="J35" s="271">
        <f t="shared" si="1"/>
        <v>0</v>
      </c>
      <c r="K35" s="271">
        <f t="shared" si="1"/>
        <v>0</v>
      </c>
      <c r="L35" s="271">
        <f t="shared" si="1"/>
        <v>0</v>
      </c>
      <c r="M35" s="271">
        <f t="shared" si="1"/>
        <v>0</v>
      </c>
      <c r="N35" s="271">
        <f t="shared" si="1"/>
        <v>0</v>
      </c>
      <c r="O35" s="272">
        <f t="shared" si="1"/>
        <v>0</v>
      </c>
      <c r="P35" s="280">
        <f>SUM(D35:O35)</f>
        <v>4.6665885076129926E-2</v>
      </c>
      <c r="Q35" s="612"/>
      <c r="R35" s="613"/>
      <c r="S35" s="614"/>
      <c r="T35" s="618"/>
      <c r="U35" s="619"/>
      <c r="V35" s="620"/>
      <c r="W35" s="622"/>
      <c r="X35" s="622"/>
      <c r="Y35" s="622"/>
      <c r="Z35" s="622"/>
      <c r="AA35" s="412"/>
      <c r="AB35" s="413"/>
      <c r="AC35" s="413"/>
      <c r="AD35" s="414"/>
      <c r="AE35" s="49"/>
      <c r="AG35" s="87"/>
      <c r="AH35" s="87"/>
      <c r="AI35" s="87"/>
      <c r="AJ35" s="87"/>
      <c r="AK35" s="87"/>
      <c r="AL35" s="87"/>
      <c r="AM35" s="87"/>
      <c r="AN35" s="87"/>
      <c r="AO35" s="87"/>
    </row>
    <row r="36" spans="1:41" ht="26.1" customHeight="1" x14ac:dyDescent="0.25">
      <c r="A36" s="384" t="s">
        <v>66</v>
      </c>
      <c r="B36" s="608" t="s">
        <v>67</v>
      </c>
      <c r="C36" s="388" t="s">
        <v>68</v>
      </c>
      <c r="D36" s="608"/>
      <c r="E36" s="608"/>
      <c r="F36" s="608"/>
      <c r="G36" s="608"/>
      <c r="H36" s="608"/>
      <c r="I36" s="608"/>
      <c r="J36" s="608"/>
      <c r="K36" s="608"/>
      <c r="L36" s="608"/>
      <c r="M36" s="608"/>
      <c r="N36" s="608"/>
      <c r="O36" s="608"/>
      <c r="P36" s="578"/>
      <c r="Q36" s="390" t="s">
        <v>69</v>
      </c>
      <c r="R36" s="391"/>
      <c r="S36" s="391"/>
      <c r="T36" s="391"/>
      <c r="U36" s="391"/>
      <c r="V36" s="391"/>
      <c r="W36" s="391"/>
      <c r="X36" s="391"/>
      <c r="Y36" s="391"/>
      <c r="Z36" s="391"/>
      <c r="AA36" s="391"/>
      <c r="AB36" s="391"/>
      <c r="AC36" s="391"/>
      <c r="AD36" s="392"/>
      <c r="AG36" s="87"/>
      <c r="AH36" s="87"/>
      <c r="AI36" s="87"/>
      <c r="AJ36" s="87"/>
      <c r="AK36" s="87"/>
      <c r="AL36" s="87"/>
      <c r="AM36" s="87"/>
      <c r="AN36" s="87"/>
      <c r="AO36" s="87"/>
    </row>
    <row r="37" spans="1:41" ht="26.1" customHeight="1" x14ac:dyDescent="0.25">
      <c r="A37" s="385"/>
      <c r="B37" s="387"/>
      <c r="C37" s="290" t="s">
        <v>70</v>
      </c>
      <c r="D37" s="277" t="s">
        <v>71</v>
      </c>
      <c r="E37" s="277" t="s">
        <v>72</v>
      </c>
      <c r="F37" s="277" t="s">
        <v>73</v>
      </c>
      <c r="G37" s="277" t="s">
        <v>74</v>
      </c>
      <c r="H37" s="277" t="s">
        <v>75</v>
      </c>
      <c r="I37" s="277" t="s">
        <v>76</v>
      </c>
      <c r="J37" s="277" t="s">
        <v>77</v>
      </c>
      <c r="K37" s="277" t="s">
        <v>78</v>
      </c>
      <c r="L37" s="277" t="s">
        <v>79</v>
      </c>
      <c r="M37" s="277" t="s">
        <v>80</v>
      </c>
      <c r="N37" s="277" t="s">
        <v>81</v>
      </c>
      <c r="O37" s="277" t="s">
        <v>82</v>
      </c>
      <c r="P37" s="278" t="s">
        <v>83</v>
      </c>
      <c r="Q37" s="393" t="s">
        <v>84</v>
      </c>
      <c r="R37" s="394"/>
      <c r="S37" s="394"/>
      <c r="T37" s="394"/>
      <c r="U37" s="394"/>
      <c r="V37" s="394"/>
      <c r="W37" s="394"/>
      <c r="X37" s="394"/>
      <c r="Y37" s="394"/>
      <c r="Z37" s="394"/>
      <c r="AA37" s="394"/>
      <c r="AB37" s="394"/>
      <c r="AC37" s="394"/>
      <c r="AD37" s="395"/>
      <c r="AG37" s="94"/>
      <c r="AH37" s="94"/>
      <c r="AI37" s="94"/>
      <c r="AJ37" s="94"/>
      <c r="AK37" s="94"/>
      <c r="AL37" s="94"/>
      <c r="AM37" s="94"/>
      <c r="AN37" s="94"/>
      <c r="AO37" s="94"/>
    </row>
    <row r="38" spans="1:41" ht="35.25" customHeight="1" x14ac:dyDescent="0.25">
      <c r="A38" s="595" t="s">
        <v>109</v>
      </c>
      <c r="B38" s="397">
        <v>0.05</v>
      </c>
      <c r="C38" s="235" t="s">
        <v>64</v>
      </c>
      <c r="D38" s="301">
        <v>0</v>
      </c>
      <c r="E38" s="301">
        <v>0.1</v>
      </c>
      <c r="F38" s="206">
        <v>9.5000000000000001E-2</v>
      </c>
      <c r="G38" s="206">
        <v>9.5000000000000001E-2</v>
      </c>
      <c r="H38" s="206">
        <v>9.5000000000000001E-2</v>
      </c>
      <c r="I38" s="206">
        <v>9.5000000000000001E-2</v>
      </c>
      <c r="J38" s="206">
        <v>9.5000000000000001E-2</v>
      </c>
      <c r="K38" s="206">
        <v>9.5000000000000001E-2</v>
      </c>
      <c r="L38" s="206">
        <v>9.5000000000000001E-2</v>
      </c>
      <c r="M38" s="206">
        <v>9.5000000000000001E-2</v>
      </c>
      <c r="N38" s="206">
        <v>9.5000000000000001E-2</v>
      </c>
      <c r="O38" s="206">
        <v>0.05</v>
      </c>
      <c r="P38" s="274">
        <f t="shared" ref="P38:P43" si="2">SUM(D38:O38)</f>
        <v>1.0049999999999999</v>
      </c>
      <c r="Q38" s="625" t="s">
        <v>558</v>
      </c>
      <c r="R38" s="626"/>
      <c r="S38" s="626"/>
      <c r="T38" s="626"/>
      <c r="U38" s="626"/>
      <c r="V38" s="626"/>
      <c r="W38" s="626"/>
      <c r="X38" s="626"/>
      <c r="Y38" s="626"/>
      <c r="Z38" s="626"/>
      <c r="AA38" s="626"/>
      <c r="AB38" s="626"/>
      <c r="AC38" s="626"/>
      <c r="AD38" s="627"/>
      <c r="AE38" s="97"/>
      <c r="AG38" s="98"/>
      <c r="AH38" s="98"/>
      <c r="AI38" s="98"/>
      <c r="AJ38" s="98"/>
      <c r="AK38" s="98"/>
      <c r="AL38" s="98"/>
      <c r="AM38" s="98"/>
      <c r="AN38" s="98"/>
      <c r="AO38" s="98"/>
    </row>
    <row r="39" spans="1:41" ht="94.5" customHeight="1" x14ac:dyDescent="0.25">
      <c r="A39" s="596"/>
      <c r="B39" s="398"/>
      <c r="C39" s="236" t="s">
        <v>65</v>
      </c>
      <c r="D39" s="302">
        <v>0</v>
      </c>
      <c r="E39" s="302">
        <v>0.05</v>
      </c>
      <c r="F39" s="302">
        <v>9.5000000000000001E-2</v>
      </c>
      <c r="G39" s="100"/>
      <c r="H39" s="100"/>
      <c r="I39" s="100"/>
      <c r="J39" s="100"/>
      <c r="K39" s="100"/>
      <c r="L39" s="100"/>
      <c r="M39" s="100"/>
      <c r="N39" s="100"/>
      <c r="O39" s="100"/>
      <c r="P39" s="275">
        <f t="shared" si="2"/>
        <v>0.14500000000000002</v>
      </c>
      <c r="Q39" s="628"/>
      <c r="R39" s="629"/>
      <c r="S39" s="629"/>
      <c r="T39" s="629"/>
      <c r="U39" s="629"/>
      <c r="V39" s="629"/>
      <c r="W39" s="629"/>
      <c r="X39" s="629"/>
      <c r="Y39" s="629"/>
      <c r="Z39" s="629"/>
      <c r="AA39" s="629"/>
      <c r="AB39" s="629"/>
      <c r="AC39" s="629"/>
      <c r="AD39" s="630"/>
      <c r="AE39" s="97"/>
    </row>
    <row r="40" spans="1:41" ht="35.25" customHeight="1" x14ac:dyDescent="0.25">
      <c r="A40" s="602" t="s">
        <v>110</v>
      </c>
      <c r="B40" s="376">
        <v>0.05</v>
      </c>
      <c r="C40" s="237" t="s">
        <v>64</v>
      </c>
      <c r="D40" s="307">
        <v>0</v>
      </c>
      <c r="E40" s="307">
        <v>0.1</v>
      </c>
      <c r="F40" s="326">
        <v>9.5000000000000001E-2</v>
      </c>
      <c r="G40" s="230">
        <v>9.5000000000000001E-2</v>
      </c>
      <c r="H40" s="230">
        <v>9.5000000000000001E-2</v>
      </c>
      <c r="I40" s="230">
        <v>9.5000000000000001E-2</v>
      </c>
      <c r="J40" s="230">
        <v>9.5000000000000001E-2</v>
      </c>
      <c r="K40" s="230">
        <v>9.5000000000000001E-2</v>
      </c>
      <c r="L40" s="230">
        <v>9.5000000000000001E-2</v>
      </c>
      <c r="M40" s="230">
        <v>9.5000000000000001E-2</v>
      </c>
      <c r="N40" s="230">
        <v>9.5000000000000001E-2</v>
      </c>
      <c r="O40" s="230">
        <v>0.05</v>
      </c>
      <c r="P40" s="275">
        <f t="shared" si="2"/>
        <v>1.0049999999999999</v>
      </c>
      <c r="Q40" s="631" t="s">
        <v>559</v>
      </c>
      <c r="R40" s="631"/>
      <c r="S40" s="631"/>
      <c r="T40" s="631"/>
      <c r="U40" s="631"/>
      <c r="V40" s="631"/>
      <c r="W40" s="631"/>
      <c r="X40" s="631"/>
      <c r="Y40" s="631"/>
      <c r="Z40" s="631"/>
      <c r="AA40" s="631"/>
      <c r="AB40" s="631"/>
      <c r="AC40" s="631"/>
      <c r="AD40" s="632"/>
      <c r="AE40" s="97"/>
    </row>
    <row r="41" spans="1:41" ht="35.25" customHeight="1" x14ac:dyDescent="0.25">
      <c r="A41" s="596"/>
      <c r="B41" s="398"/>
      <c r="C41" s="236" t="s">
        <v>65</v>
      </c>
      <c r="D41" s="306"/>
      <c r="E41" s="302">
        <v>0.1</v>
      </c>
      <c r="F41" s="302">
        <v>9.5000000000000001E-2</v>
      </c>
      <c r="G41" s="100"/>
      <c r="H41" s="100"/>
      <c r="I41" s="100"/>
      <c r="J41" s="100"/>
      <c r="K41" s="100"/>
      <c r="L41" s="100"/>
      <c r="M41" s="100"/>
      <c r="N41" s="100"/>
      <c r="O41" s="100"/>
      <c r="P41" s="275">
        <f t="shared" si="2"/>
        <v>0.19500000000000001</v>
      </c>
      <c r="Q41" s="633"/>
      <c r="R41" s="633"/>
      <c r="S41" s="633"/>
      <c r="T41" s="633"/>
      <c r="U41" s="633"/>
      <c r="V41" s="633"/>
      <c r="W41" s="633"/>
      <c r="X41" s="633"/>
      <c r="Y41" s="633"/>
      <c r="Z41" s="633"/>
      <c r="AA41" s="633"/>
      <c r="AB41" s="633"/>
      <c r="AC41" s="633"/>
      <c r="AD41" s="634"/>
      <c r="AE41" s="97"/>
    </row>
    <row r="42" spans="1:41" ht="35.25" customHeight="1" x14ac:dyDescent="0.25">
      <c r="A42" s="589" t="s">
        <v>111</v>
      </c>
      <c r="B42" s="397">
        <v>0.05</v>
      </c>
      <c r="C42" s="237" t="s">
        <v>64</v>
      </c>
      <c r="D42" s="307">
        <v>0.08</v>
      </c>
      <c r="E42" s="307">
        <v>0.08</v>
      </c>
      <c r="F42" s="326">
        <v>8.3299999999999999E-2</v>
      </c>
      <c r="G42" s="230">
        <v>8.3299999999999999E-2</v>
      </c>
      <c r="H42" s="230">
        <v>8.3299999999999999E-2</v>
      </c>
      <c r="I42" s="230">
        <v>8.3299999999999999E-2</v>
      </c>
      <c r="J42" s="230">
        <v>8.3299999999999999E-2</v>
      </c>
      <c r="K42" s="230">
        <v>8.3299999999999999E-2</v>
      </c>
      <c r="L42" s="230">
        <v>8.3299999999999999E-2</v>
      </c>
      <c r="M42" s="230">
        <v>8.3299999999999999E-2</v>
      </c>
      <c r="N42" s="230">
        <v>8.3299999999999999E-2</v>
      </c>
      <c r="O42" s="230">
        <v>8.3299999999999999E-2</v>
      </c>
      <c r="P42" s="275">
        <f t="shared" si="2"/>
        <v>0.99300000000000022</v>
      </c>
      <c r="Q42" s="623" t="s">
        <v>560</v>
      </c>
      <c r="R42" s="558"/>
      <c r="S42" s="558"/>
      <c r="T42" s="558"/>
      <c r="U42" s="558"/>
      <c r="V42" s="558"/>
      <c r="W42" s="558"/>
      <c r="X42" s="558"/>
      <c r="Y42" s="558"/>
      <c r="Z42" s="558"/>
      <c r="AA42" s="558"/>
      <c r="AB42" s="558"/>
      <c r="AC42" s="558"/>
      <c r="AD42" s="559"/>
      <c r="AE42" s="97"/>
    </row>
    <row r="43" spans="1:41" ht="125.25" customHeight="1" x14ac:dyDescent="0.25">
      <c r="A43" s="590"/>
      <c r="B43" s="377"/>
      <c r="C43" s="299" t="s">
        <v>65</v>
      </c>
      <c r="D43" s="303">
        <v>0.08</v>
      </c>
      <c r="E43" s="303">
        <v>0.08</v>
      </c>
      <c r="F43" s="302">
        <v>8.3299999999999999E-2</v>
      </c>
      <c r="G43" s="105"/>
      <c r="H43" s="105"/>
      <c r="I43" s="105"/>
      <c r="J43" s="105"/>
      <c r="K43" s="105"/>
      <c r="L43" s="105"/>
      <c r="M43" s="105"/>
      <c r="N43" s="105"/>
      <c r="O43" s="105"/>
      <c r="P43" s="276">
        <f t="shared" si="2"/>
        <v>0.24330000000000002</v>
      </c>
      <c r="Q43" s="624"/>
      <c r="R43" s="561"/>
      <c r="S43" s="561"/>
      <c r="T43" s="561"/>
      <c r="U43" s="561"/>
      <c r="V43" s="561"/>
      <c r="W43" s="561"/>
      <c r="X43" s="561"/>
      <c r="Y43" s="561"/>
      <c r="Z43" s="561"/>
      <c r="AA43" s="561"/>
      <c r="AB43" s="561"/>
      <c r="AC43" s="561"/>
      <c r="AD43" s="562"/>
      <c r="AE43" s="97"/>
    </row>
    <row r="44" spans="1:41" x14ac:dyDescent="0.25">
      <c r="A44"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9. Implementar el componente de formación para cuidadoras</v>
      </c>
      <c r="B57" s="369">
        <f>B38</f>
        <v>0.05</v>
      </c>
      <c r="C57" s="242" t="s">
        <v>64</v>
      </c>
      <c r="D57" s="243">
        <f>D38*$B$38/$P$38</f>
        <v>0</v>
      </c>
      <c r="E57" s="243">
        <f t="shared" ref="D57:O58" si="3">E38*$B$38/$P$38</f>
        <v>4.9751243781094544E-3</v>
      </c>
      <c r="F57" s="243">
        <f t="shared" si="3"/>
        <v>4.7263681592039815E-3</v>
      </c>
      <c r="G57" s="243">
        <f t="shared" si="3"/>
        <v>4.7263681592039815E-3</v>
      </c>
      <c r="H57" s="243">
        <f t="shared" si="3"/>
        <v>4.7263681592039815E-3</v>
      </c>
      <c r="I57" s="243">
        <f t="shared" si="3"/>
        <v>4.7263681592039815E-3</v>
      </c>
      <c r="J57" s="243">
        <f t="shared" si="3"/>
        <v>4.7263681592039815E-3</v>
      </c>
      <c r="K57" s="243">
        <f t="shared" si="3"/>
        <v>4.7263681592039815E-3</v>
      </c>
      <c r="L57" s="243">
        <f t="shared" si="3"/>
        <v>4.7263681592039815E-3</v>
      </c>
      <c r="M57" s="243">
        <f t="shared" si="3"/>
        <v>4.7263681592039815E-3</v>
      </c>
      <c r="N57" s="243">
        <f t="shared" si="3"/>
        <v>4.7263681592039815E-3</v>
      </c>
      <c r="O57" s="243">
        <f t="shared" si="3"/>
        <v>2.4875621890547272E-3</v>
      </c>
      <c r="P57" s="244">
        <f t="shared" ref="P57:P62" si="4">SUM(D57:O57)</f>
        <v>0.05</v>
      </c>
      <c r="Q57" s="245">
        <v>0.05</v>
      </c>
      <c r="R57" s="246">
        <f t="shared" ref="R57:R65" si="5">+P57-Q57</f>
        <v>0</v>
      </c>
      <c r="S57" s="240"/>
      <c r="T57" s="240"/>
      <c r="U57" s="240"/>
      <c r="V57" s="240"/>
      <c r="W57" s="240"/>
      <c r="X57" s="240"/>
      <c r="Y57" s="240"/>
      <c r="Z57" s="240"/>
      <c r="AA57" s="240"/>
      <c r="AB57" s="240"/>
      <c r="AC57" s="240"/>
      <c r="AD57" s="240"/>
    </row>
    <row r="58" spans="1:30" x14ac:dyDescent="0.25">
      <c r="A58" s="368"/>
      <c r="B58" s="370"/>
      <c r="C58" s="247" t="s">
        <v>65</v>
      </c>
      <c r="D58" s="248">
        <f t="shared" si="3"/>
        <v>0</v>
      </c>
      <c r="E58" s="248">
        <f t="shared" si="3"/>
        <v>2.4875621890547272E-3</v>
      </c>
      <c r="F58" s="248">
        <f t="shared" si="3"/>
        <v>4.7263681592039815E-3</v>
      </c>
      <c r="G58" s="248">
        <f t="shared" si="3"/>
        <v>0</v>
      </c>
      <c r="H58" s="248">
        <f t="shared" si="3"/>
        <v>0</v>
      </c>
      <c r="I58" s="248">
        <f t="shared" si="3"/>
        <v>0</v>
      </c>
      <c r="J58" s="248">
        <f t="shared" si="3"/>
        <v>0</v>
      </c>
      <c r="K58" s="248">
        <f t="shared" si="3"/>
        <v>0</v>
      </c>
      <c r="L58" s="248">
        <f t="shared" si="3"/>
        <v>0</v>
      </c>
      <c r="M58" s="248">
        <f t="shared" si="3"/>
        <v>0</v>
      </c>
      <c r="N58" s="248">
        <f t="shared" si="3"/>
        <v>0</v>
      </c>
      <c r="O58" s="248">
        <f t="shared" si="3"/>
        <v>0</v>
      </c>
      <c r="P58" s="249">
        <f t="shared" si="4"/>
        <v>7.2139303482587087E-3</v>
      </c>
      <c r="Q58" s="250">
        <f>+P58</f>
        <v>7.2139303482587087E-3</v>
      </c>
      <c r="R58" s="246">
        <f t="shared" si="5"/>
        <v>0</v>
      </c>
      <c r="S58" s="240"/>
      <c r="T58" s="240"/>
      <c r="U58" s="240"/>
      <c r="V58" s="240"/>
      <c r="W58" s="240"/>
      <c r="X58" s="240"/>
      <c r="Y58" s="240"/>
      <c r="Z58" s="240"/>
      <c r="AA58" s="240"/>
      <c r="AB58" s="240"/>
      <c r="AC58" s="240"/>
      <c r="AD58" s="240"/>
    </row>
    <row r="59" spans="1:30" x14ac:dyDescent="0.25">
      <c r="A59" s="367" t="str">
        <f>A40</f>
        <v xml:space="preserve">10. Implementar el componente de orientación psicojurídica para cuidadoras </v>
      </c>
      <c r="B59" s="372">
        <f>B40</f>
        <v>0.05</v>
      </c>
      <c r="C59" s="242" t="s">
        <v>64</v>
      </c>
      <c r="D59" s="243">
        <f t="shared" ref="D59:O60" si="6">D40*$B$40/$P$40</f>
        <v>0</v>
      </c>
      <c r="E59" s="243">
        <f t="shared" si="6"/>
        <v>4.9751243781094544E-3</v>
      </c>
      <c r="F59" s="243">
        <f t="shared" si="6"/>
        <v>4.7263681592039815E-3</v>
      </c>
      <c r="G59" s="243">
        <f t="shared" si="6"/>
        <v>4.7263681592039815E-3</v>
      </c>
      <c r="H59" s="243">
        <f t="shared" si="6"/>
        <v>4.7263681592039815E-3</v>
      </c>
      <c r="I59" s="243">
        <f t="shared" si="6"/>
        <v>4.7263681592039815E-3</v>
      </c>
      <c r="J59" s="243">
        <f t="shared" si="6"/>
        <v>4.7263681592039815E-3</v>
      </c>
      <c r="K59" s="243">
        <f t="shared" si="6"/>
        <v>4.7263681592039815E-3</v>
      </c>
      <c r="L59" s="243">
        <f t="shared" si="6"/>
        <v>4.7263681592039815E-3</v>
      </c>
      <c r="M59" s="243">
        <f t="shared" si="6"/>
        <v>4.7263681592039815E-3</v>
      </c>
      <c r="N59" s="243">
        <f t="shared" si="6"/>
        <v>4.7263681592039815E-3</v>
      </c>
      <c r="O59" s="243">
        <f t="shared" si="6"/>
        <v>2.4875621890547272E-3</v>
      </c>
      <c r="P59" s="244">
        <f t="shared" si="4"/>
        <v>0.05</v>
      </c>
      <c r="Q59" s="245">
        <v>2.5000000000000001E-2</v>
      </c>
      <c r="R59" s="246">
        <f t="shared" si="5"/>
        <v>2.5000000000000001E-2</v>
      </c>
      <c r="S59" s="240"/>
      <c r="T59" s="240"/>
      <c r="U59" s="240"/>
      <c r="V59" s="240"/>
      <c r="W59" s="240"/>
      <c r="X59" s="240"/>
      <c r="Y59" s="240"/>
      <c r="Z59" s="240"/>
      <c r="AA59" s="240"/>
      <c r="AB59" s="240"/>
      <c r="AC59" s="240"/>
      <c r="AD59" s="240"/>
    </row>
    <row r="60" spans="1:30" x14ac:dyDescent="0.25">
      <c r="A60" s="371"/>
      <c r="B60" s="373"/>
      <c r="C60" s="247" t="s">
        <v>65</v>
      </c>
      <c r="D60" s="248">
        <f t="shared" si="6"/>
        <v>0</v>
      </c>
      <c r="E60" s="248">
        <f t="shared" si="6"/>
        <v>4.9751243781094544E-3</v>
      </c>
      <c r="F60" s="248">
        <f t="shared" si="6"/>
        <v>4.7263681592039815E-3</v>
      </c>
      <c r="G60" s="248">
        <f t="shared" si="6"/>
        <v>0</v>
      </c>
      <c r="H60" s="248">
        <f t="shared" si="6"/>
        <v>0</v>
      </c>
      <c r="I60" s="248">
        <f t="shared" si="6"/>
        <v>0</v>
      </c>
      <c r="J60" s="248">
        <f t="shared" si="6"/>
        <v>0</v>
      </c>
      <c r="K60" s="248">
        <f t="shared" si="6"/>
        <v>0</v>
      </c>
      <c r="L60" s="248">
        <f t="shared" si="6"/>
        <v>0</v>
      </c>
      <c r="M60" s="248">
        <f t="shared" si="6"/>
        <v>0</v>
      </c>
      <c r="N60" s="248">
        <f t="shared" si="6"/>
        <v>0</v>
      </c>
      <c r="O60" s="248">
        <f t="shared" si="6"/>
        <v>0</v>
      </c>
      <c r="P60" s="249">
        <f t="shared" si="4"/>
        <v>9.7014925373134359E-3</v>
      </c>
      <c r="Q60" s="250">
        <f>+P60</f>
        <v>9.7014925373134359E-3</v>
      </c>
      <c r="R60" s="246">
        <f t="shared" si="5"/>
        <v>0</v>
      </c>
      <c r="S60" s="240"/>
      <c r="T60" s="240"/>
      <c r="U60" s="240"/>
      <c r="V60" s="240"/>
      <c r="W60" s="240"/>
      <c r="X60" s="240"/>
      <c r="Y60" s="240"/>
      <c r="Z60" s="240"/>
      <c r="AA60" s="240"/>
      <c r="AB60" s="240"/>
      <c r="AC60" s="240"/>
      <c r="AD60" s="240"/>
    </row>
    <row r="61" spans="1:30" x14ac:dyDescent="0.25">
      <c r="A61" s="367" t="str">
        <f>A42</f>
        <v xml:space="preserve">11. Implementar, monitorear y hacer seguimiento al Plan Integral de Acciones Afirmativas </v>
      </c>
      <c r="B61" s="372">
        <f>B42</f>
        <v>0.05</v>
      </c>
      <c r="C61" s="242" t="s">
        <v>64</v>
      </c>
      <c r="D61" s="243">
        <f t="shared" ref="D61:O62" si="7">D42*$B$42/$P$42</f>
        <v>4.028197381671701E-3</v>
      </c>
      <c r="E61" s="243">
        <f t="shared" si="7"/>
        <v>4.028197381671701E-3</v>
      </c>
      <c r="F61" s="243">
        <f t="shared" si="7"/>
        <v>4.1943605236656589E-3</v>
      </c>
      <c r="G61" s="243">
        <f t="shared" si="7"/>
        <v>4.1943605236656589E-3</v>
      </c>
      <c r="H61" s="243">
        <f t="shared" si="7"/>
        <v>4.1943605236656589E-3</v>
      </c>
      <c r="I61" s="243">
        <f t="shared" si="7"/>
        <v>4.1943605236656589E-3</v>
      </c>
      <c r="J61" s="243">
        <f t="shared" si="7"/>
        <v>4.1943605236656589E-3</v>
      </c>
      <c r="K61" s="243">
        <f t="shared" si="7"/>
        <v>4.1943605236656589E-3</v>
      </c>
      <c r="L61" s="243">
        <f t="shared" si="7"/>
        <v>4.1943605236656589E-3</v>
      </c>
      <c r="M61" s="243">
        <f t="shared" si="7"/>
        <v>4.1943605236656589E-3</v>
      </c>
      <c r="N61" s="243">
        <f t="shared" si="7"/>
        <v>4.1943605236656589E-3</v>
      </c>
      <c r="O61" s="243">
        <f t="shared" si="7"/>
        <v>4.1943605236656589E-3</v>
      </c>
      <c r="P61" s="244">
        <f t="shared" si="4"/>
        <v>0.05</v>
      </c>
      <c r="Q61" s="245">
        <v>2.5000000000000001E-2</v>
      </c>
      <c r="R61" s="246">
        <f t="shared" si="5"/>
        <v>2.5000000000000001E-2</v>
      </c>
      <c r="S61" s="240"/>
      <c r="T61" s="240"/>
      <c r="U61" s="240"/>
      <c r="V61" s="240"/>
      <c r="W61" s="240"/>
      <c r="X61" s="240"/>
      <c r="Y61" s="240"/>
      <c r="Z61" s="240"/>
      <c r="AA61" s="240"/>
      <c r="AB61" s="240"/>
      <c r="AC61" s="240"/>
      <c r="AD61" s="240"/>
    </row>
    <row r="62" spans="1:30" x14ac:dyDescent="0.25">
      <c r="A62" s="371"/>
      <c r="B62" s="373"/>
      <c r="C62" s="247" t="s">
        <v>65</v>
      </c>
      <c r="D62" s="248">
        <f t="shared" si="7"/>
        <v>4.028197381671701E-3</v>
      </c>
      <c r="E62" s="248">
        <f t="shared" si="7"/>
        <v>4.028197381671701E-3</v>
      </c>
      <c r="F62" s="248">
        <f t="shared" si="7"/>
        <v>4.1943605236656589E-3</v>
      </c>
      <c r="G62" s="248">
        <f t="shared" si="7"/>
        <v>0</v>
      </c>
      <c r="H62" s="248">
        <f t="shared" si="7"/>
        <v>0</v>
      </c>
      <c r="I62" s="248">
        <f t="shared" si="7"/>
        <v>0</v>
      </c>
      <c r="J62" s="248">
        <f t="shared" si="7"/>
        <v>0</v>
      </c>
      <c r="K62" s="248">
        <f t="shared" si="7"/>
        <v>0</v>
      </c>
      <c r="L62" s="248">
        <f t="shared" si="7"/>
        <v>0</v>
      </c>
      <c r="M62" s="248">
        <f t="shared" si="7"/>
        <v>0</v>
      </c>
      <c r="N62" s="248">
        <f t="shared" si="7"/>
        <v>0</v>
      </c>
      <c r="O62" s="248">
        <f t="shared" si="7"/>
        <v>0</v>
      </c>
      <c r="P62" s="249">
        <f t="shared" si="4"/>
        <v>1.2250755287009061E-2</v>
      </c>
      <c r="Q62" s="250">
        <f>+P62</f>
        <v>1.2250755287009061E-2</v>
      </c>
      <c r="R62" s="246">
        <f t="shared" si="5"/>
        <v>0</v>
      </c>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D58+D60+D62</f>
        <v>4.028197381671701E-3</v>
      </c>
      <c r="E65" s="261">
        <f t="shared" ref="E65:O65" si="8">E58+E60+E62</f>
        <v>1.1490883948835882E-2</v>
      </c>
      <c r="F65" s="261">
        <f t="shared" si="8"/>
        <v>1.3647096842073622E-2</v>
      </c>
      <c r="G65" s="261">
        <f t="shared" si="8"/>
        <v>0</v>
      </c>
      <c r="H65" s="261">
        <f t="shared" si="8"/>
        <v>0</v>
      </c>
      <c r="I65" s="261">
        <f t="shared" si="8"/>
        <v>0</v>
      </c>
      <c r="J65" s="261">
        <f t="shared" si="8"/>
        <v>0</v>
      </c>
      <c r="K65" s="261">
        <f t="shared" si="8"/>
        <v>0</v>
      </c>
      <c r="L65" s="261">
        <f t="shared" si="8"/>
        <v>0</v>
      </c>
      <c r="M65" s="261">
        <f t="shared" si="8"/>
        <v>0</v>
      </c>
      <c r="N65" s="261">
        <f t="shared" si="8"/>
        <v>0</v>
      </c>
      <c r="O65" s="261">
        <f t="shared" si="8"/>
        <v>0</v>
      </c>
      <c r="P65" s="261">
        <f>P58+P60+P62</f>
        <v>2.9166178172581204E-2</v>
      </c>
      <c r="Q65" s="239"/>
      <c r="R65" s="246">
        <f t="shared" si="5"/>
        <v>2.9166178172581204E-2</v>
      </c>
      <c r="S65" s="240"/>
      <c r="T65" s="240"/>
      <c r="U65" s="240"/>
      <c r="V65" s="240"/>
      <c r="W65" s="240"/>
      <c r="X65" s="240"/>
      <c r="Y65" s="240"/>
      <c r="Z65" s="240"/>
      <c r="AA65" s="240"/>
      <c r="AB65" s="240"/>
      <c r="AC65" s="240"/>
      <c r="AD65" s="240"/>
    </row>
    <row r="66" spans="1:30" x14ac:dyDescent="0.25">
      <c r="A66" s="239"/>
      <c r="B66" s="262"/>
      <c r="C66" s="263" t="s">
        <v>65</v>
      </c>
      <c r="D66" s="264">
        <f>D65*$W$17/$B$34</f>
        <v>6.4451158106747222E-3</v>
      </c>
      <c r="E66" s="264">
        <f t="shared" ref="E66:O66" si="9">E65*$W$17/$B$34</f>
        <v>1.8385414318137411E-2</v>
      </c>
      <c r="F66" s="264">
        <f t="shared" si="9"/>
        <v>2.1835354947317795E-2</v>
      </c>
      <c r="G66" s="264">
        <f t="shared" si="9"/>
        <v>0</v>
      </c>
      <c r="H66" s="264">
        <f t="shared" si="9"/>
        <v>0</v>
      </c>
      <c r="I66" s="264">
        <f t="shared" si="9"/>
        <v>0</v>
      </c>
      <c r="J66" s="264">
        <f t="shared" si="9"/>
        <v>0</v>
      </c>
      <c r="K66" s="264">
        <f t="shared" si="9"/>
        <v>0</v>
      </c>
      <c r="L66" s="264">
        <f t="shared" si="9"/>
        <v>0</v>
      </c>
      <c r="M66" s="264">
        <f t="shared" si="9"/>
        <v>0</v>
      </c>
      <c r="N66" s="264">
        <f t="shared" si="9"/>
        <v>0</v>
      </c>
      <c r="O66" s="264">
        <f t="shared" si="9"/>
        <v>0</v>
      </c>
      <c r="P66" s="265">
        <f>SUM(D66:O66)</f>
        <v>4.6665885076129926E-2</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 t="shared" ref="D68:P68" si="10">+D57+D59+D61</f>
        <v>4.028197381671701E-3</v>
      </c>
      <c r="E68" s="261">
        <f t="shared" si="10"/>
        <v>1.3978446137890611E-2</v>
      </c>
      <c r="F68" s="261">
        <f t="shared" si="10"/>
        <v>1.3647096842073622E-2</v>
      </c>
      <c r="G68" s="261">
        <f t="shared" si="10"/>
        <v>1.3647096842073622E-2</v>
      </c>
      <c r="H68" s="261">
        <f t="shared" si="10"/>
        <v>1.3647096842073622E-2</v>
      </c>
      <c r="I68" s="261">
        <f t="shared" si="10"/>
        <v>1.3647096842073622E-2</v>
      </c>
      <c r="J68" s="261">
        <f t="shared" si="10"/>
        <v>1.3647096842073622E-2</v>
      </c>
      <c r="K68" s="261">
        <f t="shared" si="10"/>
        <v>1.3647096842073622E-2</v>
      </c>
      <c r="L68" s="261">
        <f t="shared" si="10"/>
        <v>1.3647096842073622E-2</v>
      </c>
      <c r="M68" s="261">
        <f t="shared" si="10"/>
        <v>1.3647096842073622E-2</v>
      </c>
      <c r="N68" s="261">
        <f t="shared" si="10"/>
        <v>1.3647096842073622E-2</v>
      </c>
      <c r="O68" s="261">
        <f t="shared" si="10"/>
        <v>9.1694849017751132E-3</v>
      </c>
      <c r="P68" s="261">
        <f t="shared" si="10"/>
        <v>0.15000000000000002</v>
      </c>
      <c r="Q68" s="245"/>
      <c r="R68" s="245"/>
      <c r="S68" s="240"/>
      <c r="T68" s="240"/>
      <c r="U68" s="240"/>
      <c r="V68" s="240"/>
      <c r="W68" s="240"/>
      <c r="X68" s="240"/>
      <c r="Y68" s="240"/>
      <c r="Z68" s="240"/>
      <c r="AA68" s="240"/>
      <c r="AB68" s="240"/>
      <c r="AC68" s="240"/>
      <c r="AD68" s="240"/>
    </row>
    <row r="69" spans="1:30" x14ac:dyDescent="0.25">
      <c r="A69" s="245"/>
      <c r="B69" s="108"/>
      <c r="C69" s="263" t="s">
        <v>64</v>
      </c>
      <c r="D69" s="264">
        <f t="shared" ref="D69:O69" si="11">D68*$W$17/$B$34</f>
        <v>6.4451158106747222E-3</v>
      </c>
      <c r="E69" s="264">
        <f t="shared" si="11"/>
        <v>2.2365513820624974E-2</v>
      </c>
      <c r="F69" s="264">
        <f t="shared" si="11"/>
        <v>2.1835354947317795E-2</v>
      </c>
      <c r="G69" s="264">
        <f t="shared" si="11"/>
        <v>2.1835354947317795E-2</v>
      </c>
      <c r="H69" s="264">
        <f t="shared" si="11"/>
        <v>2.1835354947317795E-2</v>
      </c>
      <c r="I69" s="264">
        <f t="shared" si="11"/>
        <v>2.1835354947317795E-2</v>
      </c>
      <c r="J69" s="264">
        <f t="shared" si="11"/>
        <v>2.1835354947317795E-2</v>
      </c>
      <c r="K69" s="264">
        <f t="shared" si="11"/>
        <v>2.1835354947317795E-2</v>
      </c>
      <c r="L69" s="264">
        <f t="shared" si="11"/>
        <v>2.1835354947317795E-2</v>
      </c>
      <c r="M69" s="264">
        <f t="shared" si="11"/>
        <v>2.1835354947317795E-2</v>
      </c>
      <c r="N69" s="264">
        <f t="shared" si="11"/>
        <v>2.1835354947317795E-2</v>
      </c>
      <c r="O69" s="264">
        <f t="shared" si="11"/>
        <v>1.4671175842840181E-2</v>
      </c>
      <c r="P69" s="265">
        <f>SUM(D69:O69)</f>
        <v>0.24000000000000005</v>
      </c>
      <c r="Q69" s="245"/>
      <c r="R69" s="245"/>
      <c r="S69" s="240"/>
      <c r="T69" s="240"/>
      <c r="U69" s="240"/>
      <c r="V69" s="240"/>
      <c r="W69" s="240"/>
      <c r="X69" s="240"/>
      <c r="Y69" s="240"/>
      <c r="Z69" s="240"/>
      <c r="AA69" s="240"/>
      <c r="AB69" s="240"/>
      <c r="AC69" s="240"/>
      <c r="AD69" s="240"/>
    </row>
  </sheetData>
  <mergeCells count="88">
    <mergeCell ref="A42:A43"/>
    <mergeCell ref="B42:B43"/>
    <mergeCell ref="Q42:AD43"/>
    <mergeCell ref="A38:A39"/>
    <mergeCell ref="B38:B39"/>
    <mergeCell ref="Q38:AD39"/>
    <mergeCell ref="A40:A41"/>
    <mergeCell ref="B40:B41"/>
    <mergeCell ref="Q40:AD41"/>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4:B24"/>
    <mergeCell ref="A25:B25"/>
    <mergeCell ref="A27:AD27"/>
    <mergeCell ref="A28:A29"/>
    <mergeCell ref="B28:C29"/>
    <mergeCell ref="D28:O28"/>
    <mergeCell ref="P28:P29"/>
    <mergeCell ref="Q28:AD29"/>
    <mergeCell ref="A19:AD19"/>
    <mergeCell ref="C20:P20"/>
    <mergeCell ref="Q20:AD20"/>
    <mergeCell ref="A22:B22"/>
    <mergeCell ref="A23:B23"/>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1:B13"/>
    <mergeCell ref="C11:AD13"/>
    <mergeCell ref="A7:B9"/>
    <mergeCell ref="C7:C9"/>
    <mergeCell ref="D7:H9"/>
    <mergeCell ref="I7:J9"/>
    <mergeCell ref="K7:L9"/>
    <mergeCell ref="M7:N7"/>
    <mergeCell ref="M9:N9"/>
    <mergeCell ref="O9:P9"/>
    <mergeCell ref="AB1:AD1"/>
    <mergeCell ref="B2:AA2"/>
    <mergeCell ref="AB2:AD2"/>
    <mergeCell ref="B3:AA4"/>
    <mergeCell ref="AB3:AD3"/>
    <mergeCell ref="AB4:AD4"/>
    <mergeCell ref="A1:A4"/>
    <mergeCell ref="B1:AA1"/>
    <mergeCell ref="O7:P7"/>
    <mergeCell ref="M8:N8"/>
    <mergeCell ref="O8:P8"/>
    <mergeCell ref="A61:A62"/>
    <mergeCell ref="B61:B62"/>
    <mergeCell ref="C55:P55"/>
    <mergeCell ref="A55:A56"/>
    <mergeCell ref="B55:B56"/>
    <mergeCell ref="A57:A58"/>
    <mergeCell ref="B57:B58"/>
    <mergeCell ref="A59:A60"/>
    <mergeCell ref="B59:B60"/>
  </mergeCells>
  <dataValidations count="3">
    <dataValidation type="textLength" operator="lessThanOrEqual" allowBlank="1" showInputMessage="1" showErrorMessage="1" errorTitle="Máximo 2.000 caracteres" error="Máximo 2.000 caracteres" sqref="AA34 Q34 Q38:Q42 R38:AD41" xr:uid="{00000000-0002-0000-0300-000000000000}">
      <formula1>2000</formula1>
    </dataValidation>
    <dataValidation type="textLength" operator="lessThanOrEqual" allowBlank="1" showInputMessage="1" showErrorMessage="1" errorTitle="Máximo 2.000 caracteres" error="Máximo 2.000 caracteres" promptTitle="2.000 caracteres" sqref="Q30:AD30" xr:uid="{00000000-0002-0000-0300-000001000000}">
      <formula1>2000</formula1>
    </dataValidation>
    <dataValidation type="list" allowBlank="1" showInputMessage="1" showErrorMessage="1" sqref="C7:C9" xr:uid="{00000000-0002-0000-0300-000002000000}">
      <formula1>$C$21:$N$21</formula1>
    </dataValidation>
  </dataValidations>
  <pageMargins left="0.25" right="0.25" top="0.75" bottom="0.75" header="0.3" footer="0.3"/>
  <pageSetup scale="18" orientation="landscape" r:id="rId1"/>
  <customProperties>
    <customPr name="_pios_id" r:id="rId2"/>
  </customPropertie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O72"/>
  <sheetViews>
    <sheetView showGridLines="0" topLeftCell="A29" zoomScale="64" zoomScaleNormal="64" workbookViewId="0">
      <selection activeCell="I35" sqref="I35"/>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488"/>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485"/>
      <c r="F8" s="485"/>
      <c r="G8" s="485"/>
      <c r="H8" s="481"/>
      <c r="I8" s="489"/>
      <c r="J8" s="490"/>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491"/>
      <c r="J9" s="492"/>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112</v>
      </c>
      <c r="D17" s="456"/>
      <c r="E17" s="456"/>
      <c r="F17" s="456"/>
      <c r="G17" s="456"/>
      <c r="H17" s="456"/>
      <c r="I17" s="456"/>
      <c r="J17" s="456"/>
      <c r="K17" s="456"/>
      <c r="L17" s="456"/>
      <c r="M17" s="456"/>
      <c r="N17" s="456"/>
      <c r="O17" s="456"/>
      <c r="P17" s="456"/>
      <c r="Q17" s="457"/>
      <c r="R17" s="458" t="s">
        <v>25</v>
      </c>
      <c r="S17" s="459"/>
      <c r="T17" s="459"/>
      <c r="U17" s="459"/>
      <c r="V17" s="460"/>
      <c r="W17" s="464">
        <v>1</v>
      </c>
      <c r="X17" s="465"/>
      <c r="Y17" s="459" t="s">
        <v>26</v>
      </c>
      <c r="Z17" s="459"/>
      <c r="AA17" s="459"/>
      <c r="AB17" s="460"/>
      <c r="AC17" s="476">
        <v>0.1</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v>367342350</v>
      </c>
      <c r="R22" s="177"/>
      <c r="S22" s="177"/>
      <c r="T22" s="177">
        <v>21559511</v>
      </c>
      <c r="U22" s="177"/>
      <c r="V22" s="177">
        <f>2139478+34249272</f>
        <v>36388750</v>
      </c>
      <c r="W22" s="177"/>
      <c r="X22" s="177"/>
      <c r="Y22" s="177"/>
      <c r="Z22" s="177"/>
      <c r="AA22" s="177"/>
      <c r="AB22" s="177"/>
      <c r="AC22" s="177">
        <f>SUM(Q22:AB22)</f>
        <v>425290611</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131719000</v>
      </c>
      <c r="R23" s="179">
        <v>160636483</v>
      </c>
      <c r="S23" s="179">
        <v>24103734</v>
      </c>
      <c r="T23" s="174"/>
      <c r="U23" s="174"/>
      <c r="V23" s="174"/>
      <c r="W23" s="174"/>
      <c r="X23" s="174"/>
      <c r="Y23" s="174"/>
      <c r="Z23" s="174"/>
      <c r="AA23" s="174"/>
      <c r="AB23" s="174"/>
      <c r="AC23" s="174">
        <f>SUM(Q23:AB23)</f>
        <v>316459217</v>
      </c>
      <c r="AD23" s="182">
        <f>+AC23/AC22</f>
        <v>0.74410111301516602</v>
      </c>
      <c r="AE23" s="3"/>
      <c r="AF23" s="3"/>
    </row>
    <row r="24" spans="1:41" ht="32.1" customHeight="1" x14ac:dyDescent="0.25">
      <c r="A24" s="431" t="s">
        <v>45</v>
      </c>
      <c r="B24" s="441"/>
      <c r="C24" s="175">
        <v>19304536</v>
      </c>
      <c r="D24" s="174">
        <f>1166667+432600+475860+4505046</f>
        <v>6580173</v>
      </c>
      <c r="E24" s="174"/>
      <c r="F24" s="174"/>
      <c r="G24" s="174"/>
      <c r="H24" s="174"/>
      <c r="I24" s="174"/>
      <c r="J24" s="174"/>
      <c r="K24" s="174"/>
      <c r="L24" s="174"/>
      <c r="M24" s="174"/>
      <c r="N24" s="174"/>
      <c r="O24" s="218">
        <f>SUM(C24:N24)</f>
        <v>25884709</v>
      </c>
      <c r="P24" s="178"/>
      <c r="Q24" s="175"/>
      <c r="R24" s="174">
        <v>15581050</v>
      </c>
      <c r="S24" s="174">
        <v>31978300</v>
      </c>
      <c r="T24" s="174">
        <v>31978300</v>
      </c>
      <c r="U24" s="174">
        <f>31978300+21559511</f>
        <v>53537811</v>
      </c>
      <c r="V24" s="174">
        <v>31978300</v>
      </c>
      <c r="W24" s="174">
        <f>31978300+2139478+11416424</f>
        <v>45534202</v>
      </c>
      <c r="X24" s="174">
        <v>31978300</v>
      </c>
      <c r="Y24" s="174">
        <f>31978300+11416424</f>
        <v>43394724</v>
      </c>
      <c r="Z24" s="174">
        <v>31978300</v>
      </c>
      <c r="AA24" s="174">
        <f>31978300+11416424</f>
        <v>43394724</v>
      </c>
      <c r="AB24" s="174">
        <v>63956600</v>
      </c>
      <c r="AC24" s="174">
        <f>SUM(Q24:AB24)</f>
        <v>425290611</v>
      </c>
      <c r="AD24" s="182"/>
      <c r="AE24" s="3"/>
      <c r="AF24" s="3"/>
    </row>
    <row r="25" spans="1:41" ht="32.1" customHeight="1" x14ac:dyDescent="0.25">
      <c r="A25" s="385" t="s">
        <v>46</v>
      </c>
      <c r="B25" s="448"/>
      <c r="C25" s="175">
        <v>475860</v>
      </c>
      <c r="D25" s="175">
        <v>18698718</v>
      </c>
      <c r="E25" s="175" t="s">
        <v>47</v>
      </c>
      <c r="F25" s="176"/>
      <c r="G25" s="176"/>
      <c r="H25" s="176"/>
      <c r="I25" s="176"/>
      <c r="J25" s="176"/>
      <c r="K25" s="176"/>
      <c r="L25" s="176"/>
      <c r="M25" s="176"/>
      <c r="N25" s="176"/>
      <c r="O25" s="176">
        <f>SUM(C25:N25)</f>
        <v>19174578</v>
      </c>
      <c r="P25" s="181">
        <f>+O25/O24</f>
        <v>0.74076853635866646</v>
      </c>
      <c r="Q25" s="179" t="s">
        <v>90</v>
      </c>
      <c r="R25" s="179">
        <v>1210733</v>
      </c>
      <c r="S25" s="179">
        <v>15704100</v>
      </c>
      <c r="T25" s="176"/>
      <c r="U25" s="176"/>
      <c r="V25" s="176"/>
      <c r="W25" s="176"/>
      <c r="X25" s="176"/>
      <c r="Y25" s="176"/>
      <c r="Z25" s="176"/>
      <c r="AA25" s="176"/>
      <c r="AB25" s="176"/>
      <c r="AC25" s="176">
        <f>SUM(Q25:AB25)</f>
        <v>16914833</v>
      </c>
      <c r="AD25" s="183">
        <f>+AC25/AC23</f>
        <v>5.3450277607177417E-2</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86.25" customHeight="1" thickBot="1" x14ac:dyDescent="0.3">
      <c r="A30" s="85" t="s">
        <v>113</v>
      </c>
      <c r="B30" s="423"/>
      <c r="C30" s="424"/>
      <c r="D30" s="89"/>
      <c r="E30" s="89"/>
      <c r="F30" s="89"/>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530"/>
      <c r="R31" s="530"/>
      <c r="S31" s="530"/>
      <c r="T31" s="530"/>
      <c r="U31" s="530"/>
      <c r="V31" s="530"/>
      <c r="W31" s="530"/>
      <c r="X31" s="530"/>
      <c r="Y31" s="530"/>
      <c r="Z31" s="530"/>
      <c r="AA31" s="530"/>
      <c r="AB31" s="530"/>
      <c r="AC31" s="530"/>
      <c r="AD31" s="531"/>
    </row>
    <row r="32" spans="1:41" ht="20.25" customHeight="1" x14ac:dyDescent="0.25">
      <c r="A32" s="430" t="s">
        <v>56</v>
      </c>
      <c r="B32" s="386" t="s">
        <v>57</v>
      </c>
      <c r="C32" s="386" t="s">
        <v>51</v>
      </c>
      <c r="D32" s="433" t="s">
        <v>58</v>
      </c>
      <c r="E32" s="386"/>
      <c r="F32" s="386"/>
      <c r="G32" s="386"/>
      <c r="H32" s="386"/>
      <c r="I32" s="386"/>
      <c r="J32" s="386"/>
      <c r="K32" s="386"/>
      <c r="L32" s="386"/>
      <c r="M32" s="386"/>
      <c r="N32" s="386"/>
      <c r="O32" s="386"/>
      <c r="P32" s="389"/>
      <c r="Q32" s="430"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431"/>
      <c r="B33" s="416"/>
      <c r="C33" s="604"/>
      <c r="D33" s="290"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385" t="s">
        <v>60</v>
      </c>
      <c r="R33" s="387"/>
      <c r="S33" s="387"/>
      <c r="T33" s="387" t="s">
        <v>61</v>
      </c>
      <c r="U33" s="387"/>
      <c r="V33" s="387"/>
      <c r="W33" s="537" t="s">
        <v>92</v>
      </c>
      <c r="X33" s="473"/>
      <c r="Y33" s="473"/>
      <c r="Z33" s="538"/>
      <c r="AA33" s="537" t="s">
        <v>63</v>
      </c>
      <c r="AB33" s="473"/>
      <c r="AC33" s="473"/>
      <c r="AD33" s="474"/>
      <c r="AG33" s="87"/>
      <c r="AH33" s="87"/>
      <c r="AI33" s="87"/>
      <c r="AJ33" s="87"/>
      <c r="AK33" s="87"/>
      <c r="AL33" s="87"/>
      <c r="AM33" s="87"/>
      <c r="AN33" s="87"/>
      <c r="AO33" s="87"/>
    </row>
    <row r="34" spans="1:41" ht="69.75" customHeight="1" x14ac:dyDescent="0.25">
      <c r="A34" s="580" t="s">
        <v>113</v>
      </c>
      <c r="B34" s="404">
        <v>0.1</v>
      </c>
      <c r="C34" s="102" t="s">
        <v>64</v>
      </c>
      <c r="D34" s="283">
        <f>D69</f>
        <v>0</v>
      </c>
      <c r="E34" s="284">
        <f t="shared" ref="E34:O34" si="0">E69</f>
        <v>9.9502487562189088E-2</v>
      </c>
      <c r="F34" s="284">
        <f t="shared" si="0"/>
        <v>9.452736318407963E-2</v>
      </c>
      <c r="G34" s="284">
        <f t="shared" si="0"/>
        <v>9.452736318407963E-2</v>
      </c>
      <c r="H34" s="284">
        <f t="shared" si="0"/>
        <v>9.452736318407963E-2</v>
      </c>
      <c r="I34" s="284">
        <f t="shared" si="0"/>
        <v>9.452736318407963E-2</v>
      </c>
      <c r="J34" s="284">
        <f t="shared" si="0"/>
        <v>9.452736318407963E-2</v>
      </c>
      <c r="K34" s="284">
        <f t="shared" si="0"/>
        <v>9.452736318407963E-2</v>
      </c>
      <c r="L34" s="284">
        <f t="shared" si="0"/>
        <v>9.452736318407963E-2</v>
      </c>
      <c r="M34" s="284">
        <f t="shared" si="0"/>
        <v>9.452736318407963E-2</v>
      </c>
      <c r="N34" s="284">
        <f t="shared" si="0"/>
        <v>9.452736318407963E-2</v>
      </c>
      <c r="O34" s="285">
        <f t="shared" si="0"/>
        <v>4.9751243781094544E-2</v>
      </c>
      <c r="P34" s="279">
        <f>SUM(D34:O34)</f>
        <v>1.0000000000000002</v>
      </c>
      <c r="Q34" s="641" t="s">
        <v>520</v>
      </c>
      <c r="R34" s="641"/>
      <c r="S34" s="646"/>
      <c r="T34" s="641" t="s">
        <v>521</v>
      </c>
      <c r="U34" s="641"/>
      <c r="V34" s="646"/>
      <c r="W34" s="587" t="s">
        <v>544</v>
      </c>
      <c r="X34" s="587"/>
      <c r="Y34" s="587"/>
      <c r="Z34" s="587"/>
      <c r="AA34" s="640"/>
      <c r="AB34" s="641"/>
      <c r="AC34" s="641"/>
      <c r="AD34" s="642"/>
      <c r="AG34" s="87"/>
      <c r="AH34" s="87"/>
      <c r="AI34" s="87"/>
      <c r="AJ34" s="87"/>
      <c r="AK34" s="87"/>
      <c r="AL34" s="87"/>
      <c r="AM34" s="87"/>
      <c r="AN34" s="87"/>
      <c r="AO34" s="87"/>
    </row>
    <row r="35" spans="1:41" ht="69.75" customHeight="1" thickBot="1" x14ac:dyDescent="0.3">
      <c r="A35" s="581"/>
      <c r="B35" s="405"/>
      <c r="C35" s="91" t="s">
        <v>65</v>
      </c>
      <c r="D35" s="281">
        <f>D66</f>
        <v>0</v>
      </c>
      <c r="E35" s="271">
        <f t="shared" ref="E35:O35" si="1">E66</f>
        <v>9.9502487562189088E-2</v>
      </c>
      <c r="F35" s="271">
        <f t="shared" si="1"/>
        <v>9.452736318407963E-2</v>
      </c>
      <c r="G35" s="271">
        <f t="shared" si="1"/>
        <v>0</v>
      </c>
      <c r="H35" s="271">
        <f t="shared" si="1"/>
        <v>0</v>
      </c>
      <c r="I35" s="271">
        <f t="shared" si="1"/>
        <v>0</v>
      </c>
      <c r="J35" s="271">
        <f t="shared" si="1"/>
        <v>0</v>
      </c>
      <c r="K35" s="271">
        <f t="shared" si="1"/>
        <v>0</v>
      </c>
      <c r="L35" s="271">
        <f t="shared" si="1"/>
        <v>0</v>
      </c>
      <c r="M35" s="271">
        <f t="shared" si="1"/>
        <v>0</v>
      </c>
      <c r="N35" s="271">
        <f t="shared" si="1"/>
        <v>0</v>
      </c>
      <c r="O35" s="272">
        <f t="shared" si="1"/>
        <v>0</v>
      </c>
      <c r="P35" s="280">
        <f>SUM(D35:O35)</f>
        <v>0.19402985074626872</v>
      </c>
      <c r="Q35" s="644"/>
      <c r="R35" s="644"/>
      <c r="S35" s="647"/>
      <c r="T35" s="644"/>
      <c r="U35" s="644"/>
      <c r="V35" s="647"/>
      <c r="W35" s="588"/>
      <c r="X35" s="588"/>
      <c r="Y35" s="588"/>
      <c r="Z35" s="588"/>
      <c r="AA35" s="643"/>
      <c r="AB35" s="644"/>
      <c r="AC35" s="644"/>
      <c r="AD35" s="645"/>
      <c r="AE35" s="49"/>
      <c r="AG35" s="87"/>
      <c r="AH35" s="87"/>
      <c r="AI35" s="87"/>
      <c r="AJ35" s="87"/>
      <c r="AK35" s="87"/>
      <c r="AL35" s="87"/>
      <c r="AM35" s="87"/>
      <c r="AN35" s="87"/>
      <c r="AO35" s="87"/>
    </row>
    <row r="36" spans="1:41" ht="26.1" customHeight="1" x14ac:dyDescent="0.25">
      <c r="A36" s="430" t="s">
        <v>66</v>
      </c>
      <c r="B36" s="475" t="s">
        <v>67</v>
      </c>
      <c r="C36" s="430" t="s">
        <v>68</v>
      </c>
      <c r="D36" s="386"/>
      <c r="E36" s="386"/>
      <c r="F36" s="386"/>
      <c r="G36" s="386"/>
      <c r="H36" s="386"/>
      <c r="I36" s="386"/>
      <c r="J36" s="386"/>
      <c r="K36" s="386"/>
      <c r="L36" s="386"/>
      <c r="M36" s="386"/>
      <c r="N36" s="386"/>
      <c r="O36" s="386"/>
      <c r="P36" s="389"/>
      <c r="Q36" s="391" t="s">
        <v>69</v>
      </c>
      <c r="R36" s="391"/>
      <c r="S36" s="391"/>
      <c r="T36" s="391"/>
      <c r="U36" s="391"/>
      <c r="V36" s="391"/>
      <c r="W36" s="391"/>
      <c r="X36" s="391"/>
      <c r="Y36" s="391"/>
      <c r="Z36" s="391"/>
      <c r="AA36" s="391"/>
      <c r="AB36" s="391"/>
      <c r="AC36" s="391"/>
      <c r="AD36" s="392"/>
      <c r="AG36" s="87"/>
      <c r="AH36" s="87"/>
      <c r="AI36" s="87"/>
      <c r="AJ36" s="87"/>
      <c r="AK36" s="87"/>
      <c r="AL36" s="87"/>
      <c r="AM36" s="87"/>
      <c r="AN36" s="87"/>
      <c r="AO36" s="87"/>
    </row>
    <row r="37" spans="1:41" ht="26.1" customHeight="1" thickBot="1" x14ac:dyDescent="0.3">
      <c r="A37" s="431"/>
      <c r="B37" s="441"/>
      <c r="C37" s="234" t="s">
        <v>70</v>
      </c>
      <c r="D37" s="277" t="s">
        <v>71</v>
      </c>
      <c r="E37" s="277" t="s">
        <v>72</v>
      </c>
      <c r="F37" s="277" t="s">
        <v>73</v>
      </c>
      <c r="G37" s="277" t="s">
        <v>74</v>
      </c>
      <c r="H37" s="277" t="s">
        <v>75</v>
      </c>
      <c r="I37" s="277" t="s">
        <v>76</v>
      </c>
      <c r="J37" s="277" t="s">
        <v>77</v>
      </c>
      <c r="K37" s="277" t="s">
        <v>78</v>
      </c>
      <c r="L37" s="277" t="s">
        <v>79</v>
      </c>
      <c r="M37" s="277" t="s">
        <v>80</v>
      </c>
      <c r="N37" s="277" t="s">
        <v>81</v>
      </c>
      <c r="O37" s="277" t="s">
        <v>82</v>
      </c>
      <c r="P37" s="278" t="s">
        <v>83</v>
      </c>
      <c r="Q37" s="394" t="s">
        <v>84</v>
      </c>
      <c r="R37" s="394"/>
      <c r="S37" s="394"/>
      <c r="T37" s="394"/>
      <c r="U37" s="394"/>
      <c r="V37" s="394"/>
      <c r="W37" s="394"/>
      <c r="X37" s="394"/>
      <c r="Y37" s="394"/>
      <c r="Z37" s="394"/>
      <c r="AA37" s="394"/>
      <c r="AB37" s="394"/>
      <c r="AC37" s="394"/>
      <c r="AD37" s="395"/>
      <c r="AG37" s="94"/>
      <c r="AH37" s="94"/>
      <c r="AI37" s="94"/>
      <c r="AJ37" s="94"/>
      <c r="AK37" s="94"/>
      <c r="AL37" s="94"/>
      <c r="AM37" s="94"/>
      <c r="AN37" s="94"/>
      <c r="AO37" s="94"/>
    </row>
    <row r="38" spans="1:41" ht="35.25" customHeight="1" x14ac:dyDescent="0.25">
      <c r="A38" s="602" t="s">
        <v>114</v>
      </c>
      <c r="B38" s="636">
        <v>0.1</v>
      </c>
      <c r="C38" s="102" t="s">
        <v>64</v>
      </c>
      <c r="D38" s="311">
        <v>0</v>
      </c>
      <c r="E38" s="301">
        <v>0.1</v>
      </c>
      <c r="F38" s="206">
        <v>9.5000000000000001E-2</v>
      </c>
      <c r="G38" s="206">
        <v>9.5000000000000001E-2</v>
      </c>
      <c r="H38" s="206">
        <v>9.5000000000000001E-2</v>
      </c>
      <c r="I38" s="206">
        <v>9.5000000000000001E-2</v>
      </c>
      <c r="J38" s="206">
        <v>9.5000000000000001E-2</v>
      </c>
      <c r="K38" s="206">
        <v>9.5000000000000001E-2</v>
      </c>
      <c r="L38" s="206">
        <v>9.5000000000000001E-2</v>
      </c>
      <c r="M38" s="206">
        <v>9.5000000000000001E-2</v>
      </c>
      <c r="N38" s="206">
        <v>9.5000000000000001E-2</v>
      </c>
      <c r="O38" s="206">
        <v>0.05</v>
      </c>
      <c r="P38" s="274">
        <f>SUM(D38:O38)</f>
        <v>1.0049999999999999</v>
      </c>
      <c r="Q38" s="633" t="s">
        <v>561</v>
      </c>
      <c r="R38" s="633"/>
      <c r="S38" s="633"/>
      <c r="T38" s="633"/>
      <c r="U38" s="633"/>
      <c r="V38" s="633"/>
      <c r="W38" s="633"/>
      <c r="X38" s="633"/>
      <c r="Y38" s="633"/>
      <c r="Z38" s="633"/>
      <c r="AA38" s="633"/>
      <c r="AB38" s="633"/>
      <c r="AC38" s="633"/>
      <c r="AD38" s="634"/>
      <c r="AE38" s="97"/>
      <c r="AG38" s="98"/>
      <c r="AH38" s="98"/>
      <c r="AI38" s="98"/>
      <c r="AJ38" s="98"/>
      <c r="AK38" s="98"/>
      <c r="AL38" s="98"/>
      <c r="AM38" s="98"/>
      <c r="AN38" s="98"/>
      <c r="AO38" s="98"/>
    </row>
    <row r="39" spans="1:41" ht="35.25" customHeight="1" thickBot="1" x14ac:dyDescent="0.3">
      <c r="A39" s="635"/>
      <c r="B39" s="637"/>
      <c r="C39" s="91" t="s">
        <v>65</v>
      </c>
      <c r="D39" s="312"/>
      <c r="E39" s="313">
        <v>0.1</v>
      </c>
      <c r="F39" s="313">
        <v>9.5000000000000001E-2</v>
      </c>
      <c r="G39" s="293"/>
      <c r="H39" s="293"/>
      <c r="I39" s="293"/>
      <c r="J39" s="293"/>
      <c r="K39" s="293"/>
      <c r="L39" s="293"/>
      <c r="M39" s="293"/>
      <c r="N39" s="293"/>
      <c r="O39" s="293"/>
      <c r="P39" s="276">
        <f>SUM(D39:O39)</f>
        <v>0.19500000000000001</v>
      </c>
      <c r="Q39" s="638"/>
      <c r="R39" s="638"/>
      <c r="S39" s="638"/>
      <c r="T39" s="638"/>
      <c r="U39" s="638"/>
      <c r="V39" s="638"/>
      <c r="W39" s="638"/>
      <c r="X39" s="638"/>
      <c r="Y39" s="638"/>
      <c r="Z39" s="638"/>
      <c r="AA39" s="638"/>
      <c r="AB39" s="638"/>
      <c r="AC39" s="638"/>
      <c r="AD39" s="639"/>
      <c r="AE39" s="97"/>
    </row>
    <row r="40" spans="1:41" x14ac:dyDescent="0.25">
      <c r="A40"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 xml:space="preserve">12. Diseñar, publicar y socializar una caja de herramientas de la Estrategia Pedagógica y de Cambio Cultural.  </v>
      </c>
      <c r="B57" s="369">
        <f>B38</f>
        <v>0.1</v>
      </c>
      <c r="C57" s="242" t="s">
        <v>64</v>
      </c>
      <c r="D57" s="243">
        <f>D38*$B$38/$P$38</f>
        <v>0</v>
      </c>
      <c r="E57" s="243">
        <f t="shared" ref="D57:O58" si="2">E38*$B$38/$P$38</f>
        <v>9.9502487562189088E-3</v>
      </c>
      <c r="F57" s="243">
        <f t="shared" si="2"/>
        <v>9.452736318407963E-3</v>
      </c>
      <c r="G57" s="243">
        <f t="shared" si="2"/>
        <v>9.452736318407963E-3</v>
      </c>
      <c r="H57" s="243">
        <f t="shared" si="2"/>
        <v>9.452736318407963E-3</v>
      </c>
      <c r="I57" s="243">
        <f t="shared" si="2"/>
        <v>9.452736318407963E-3</v>
      </c>
      <c r="J57" s="243">
        <f t="shared" si="2"/>
        <v>9.452736318407963E-3</v>
      </c>
      <c r="K57" s="243">
        <f t="shared" si="2"/>
        <v>9.452736318407963E-3</v>
      </c>
      <c r="L57" s="243">
        <f t="shared" si="2"/>
        <v>9.452736318407963E-3</v>
      </c>
      <c r="M57" s="243">
        <f t="shared" si="2"/>
        <v>9.452736318407963E-3</v>
      </c>
      <c r="N57" s="243">
        <f t="shared" si="2"/>
        <v>9.452736318407963E-3</v>
      </c>
      <c r="O57" s="243">
        <f t="shared" si="2"/>
        <v>4.9751243781094544E-3</v>
      </c>
      <c r="P57" s="244">
        <f>SUM(D57:O57)</f>
        <v>0.1</v>
      </c>
      <c r="Q57" s="245">
        <v>0.05</v>
      </c>
      <c r="R57" s="246">
        <f>+P57-Q57</f>
        <v>0.05</v>
      </c>
      <c r="S57" s="240"/>
      <c r="T57" s="240"/>
      <c r="U57" s="240"/>
      <c r="V57" s="240"/>
      <c r="W57" s="240"/>
      <c r="X57" s="240"/>
      <c r="Y57" s="240"/>
      <c r="Z57" s="240"/>
      <c r="AA57" s="240"/>
      <c r="AB57" s="240"/>
      <c r="AC57" s="240"/>
      <c r="AD57" s="240"/>
    </row>
    <row r="58" spans="1:30" x14ac:dyDescent="0.25">
      <c r="A58" s="368"/>
      <c r="B58" s="370"/>
      <c r="C58" s="251" t="s">
        <v>65</v>
      </c>
      <c r="D58" s="248">
        <f t="shared" si="2"/>
        <v>0</v>
      </c>
      <c r="E58" s="248">
        <f t="shared" si="2"/>
        <v>9.9502487562189088E-3</v>
      </c>
      <c r="F58" s="248">
        <f t="shared" si="2"/>
        <v>9.452736318407963E-3</v>
      </c>
      <c r="G58" s="248">
        <f t="shared" si="2"/>
        <v>0</v>
      </c>
      <c r="H58" s="248">
        <f t="shared" si="2"/>
        <v>0</v>
      </c>
      <c r="I58" s="248">
        <f t="shared" si="2"/>
        <v>0</v>
      </c>
      <c r="J58" s="248">
        <f t="shared" si="2"/>
        <v>0</v>
      </c>
      <c r="K58" s="248">
        <f t="shared" si="2"/>
        <v>0</v>
      </c>
      <c r="L58" s="248">
        <f t="shared" si="2"/>
        <v>0</v>
      </c>
      <c r="M58" s="248">
        <f t="shared" si="2"/>
        <v>0</v>
      </c>
      <c r="N58" s="248">
        <f t="shared" si="2"/>
        <v>0</v>
      </c>
      <c r="O58" s="248">
        <f t="shared" si="2"/>
        <v>0</v>
      </c>
      <c r="P58" s="249">
        <f>SUM(D58:O58)</f>
        <v>1.9402985074626872E-2</v>
      </c>
      <c r="Q58" s="250">
        <f>+P58</f>
        <v>1.9402985074626872E-2</v>
      </c>
      <c r="R58" s="246">
        <f>+P58-Q58</f>
        <v>0</v>
      </c>
      <c r="S58" s="240"/>
      <c r="T58" s="240"/>
      <c r="U58" s="240"/>
      <c r="V58" s="240"/>
      <c r="W58" s="240"/>
      <c r="X58" s="240"/>
      <c r="Y58" s="240"/>
      <c r="Z58" s="240"/>
      <c r="AA58" s="240"/>
      <c r="AB58" s="240"/>
      <c r="AC58" s="240"/>
      <c r="AD58" s="240"/>
    </row>
    <row r="59" spans="1:30" x14ac:dyDescent="0.25">
      <c r="A59" s="356"/>
      <c r="B59" s="358"/>
      <c r="C59" s="254"/>
      <c r="D59" s="243"/>
      <c r="E59" s="243"/>
      <c r="F59" s="243"/>
      <c r="G59" s="243"/>
      <c r="H59" s="243"/>
      <c r="I59" s="243"/>
      <c r="J59" s="243"/>
      <c r="K59" s="243"/>
      <c r="L59" s="243"/>
      <c r="M59" s="243"/>
      <c r="N59" s="243"/>
      <c r="O59" s="243"/>
      <c r="P59" s="255"/>
      <c r="Q59" s="245"/>
      <c r="R59" s="246"/>
      <c r="S59" s="240"/>
      <c r="T59" s="240"/>
      <c r="U59" s="240"/>
      <c r="V59" s="240"/>
      <c r="W59" s="240"/>
      <c r="X59" s="240"/>
      <c r="Y59" s="240"/>
      <c r="Z59" s="240"/>
      <c r="AA59" s="240"/>
      <c r="AB59" s="240"/>
      <c r="AC59" s="240"/>
      <c r="AD59" s="240"/>
    </row>
    <row r="60" spans="1:30" x14ac:dyDescent="0.25">
      <c r="A60" s="357"/>
      <c r="B60" s="359"/>
      <c r="C60" s="254"/>
      <c r="D60" s="258"/>
      <c r="E60" s="258"/>
      <c r="F60" s="258"/>
      <c r="G60" s="258"/>
      <c r="H60" s="258"/>
      <c r="I60" s="258"/>
      <c r="J60" s="258"/>
      <c r="K60" s="258"/>
      <c r="L60" s="258"/>
      <c r="M60" s="258"/>
      <c r="N60" s="258"/>
      <c r="O60" s="258"/>
      <c r="P60" s="255"/>
      <c r="Q60" s="250"/>
      <c r="R60" s="246"/>
      <c r="S60" s="240"/>
      <c r="T60" s="240"/>
      <c r="U60" s="240"/>
      <c r="V60" s="240"/>
      <c r="W60" s="240"/>
      <c r="X60" s="240"/>
      <c r="Y60" s="240"/>
      <c r="Z60" s="240"/>
      <c r="AA60" s="240"/>
      <c r="AB60" s="240"/>
      <c r="AC60" s="240"/>
      <c r="AD60" s="240"/>
    </row>
    <row r="61" spans="1:30" x14ac:dyDescent="0.25">
      <c r="A61" s="356"/>
      <c r="B61" s="358"/>
      <c r="C61" s="254"/>
      <c r="D61" s="243"/>
      <c r="E61" s="243"/>
      <c r="F61" s="243"/>
      <c r="G61" s="243"/>
      <c r="H61" s="243"/>
      <c r="I61" s="243"/>
      <c r="J61" s="243"/>
      <c r="K61" s="243"/>
      <c r="L61" s="243"/>
      <c r="M61" s="243"/>
      <c r="N61" s="243"/>
      <c r="O61" s="243"/>
      <c r="P61" s="255"/>
      <c r="Q61" s="245"/>
      <c r="R61" s="246"/>
      <c r="S61" s="240"/>
      <c r="T61" s="240"/>
      <c r="U61" s="240"/>
      <c r="V61" s="240"/>
      <c r="W61" s="240"/>
      <c r="X61" s="240"/>
      <c r="Y61" s="240"/>
      <c r="Z61" s="240"/>
      <c r="AA61" s="240"/>
      <c r="AB61" s="240"/>
      <c r="AC61" s="240"/>
      <c r="AD61" s="240"/>
    </row>
    <row r="62" spans="1:30" x14ac:dyDescent="0.25">
      <c r="A62" s="357"/>
      <c r="B62" s="359"/>
      <c r="C62" s="254"/>
      <c r="D62" s="258"/>
      <c r="E62" s="258"/>
      <c r="F62" s="258"/>
      <c r="G62" s="258"/>
      <c r="H62" s="258"/>
      <c r="I62" s="258"/>
      <c r="J62" s="258"/>
      <c r="K62" s="258"/>
      <c r="L62" s="258"/>
      <c r="M62" s="258"/>
      <c r="N62" s="258"/>
      <c r="O62" s="258"/>
      <c r="P62" s="255"/>
      <c r="Q62" s="250"/>
      <c r="R62" s="246"/>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f>
        <v>0</v>
      </c>
      <c r="E65" s="261">
        <f t="shared" ref="E65:O65" si="3">E58</f>
        <v>9.9502487562189088E-3</v>
      </c>
      <c r="F65" s="261">
        <f t="shared" si="3"/>
        <v>9.452736318407963E-3</v>
      </c>
      <c r="G65" s="261">
        <f t="shared" si="3"/>
        <v>0</v>
      </c>
      <c r="H65" s="261">
        <f t="shared" si="3"/>
        <v>0</v>
      </c>
      <c r="I65" s="261">
        <f t="shared" si="3"/>
        <v>0</v>
      </c>
      <c r="J65" s="261">
        <f t="shared" si="3"/>
        <v>0</v>
      </c>
      <c r="K65" s="261">
        <f t="shared" si="3"/>
        <v>0</v>
      </c>
      <c r="L65" s="261">
        <f t="shared" si="3"/>
        <v>0</v>
      </c>
      <c r="M65" s="261">
        <f t="shared" si="3"/>
        <v>0</v>
      </c>
      <c r="N65" s="261">
        <f t="shared" si="3"/>
        <v>0</v>
      </c>
      <c r="O65" s="261">
        <f t="shared" si="3"/>
        <v>0</v>
      </c>
      <c r="P65" s="261">
        <f>P58+P60+P62</f>
        <v>1.9402985074626872E-2</v>
      </c>
      <c r="Q65" s="239"/>
      <c r="R65" s="246">
        <f>+P65-Q65</f>
        <v>1.9402985074626872E-2</v>
      </c>
      <c r="S65" s="240"/>
      <c r="T65" s="240"/>
      <c r="U65" s="240"/>
      <c r="V65" s="240"/>
      <c r="W65" s="240"/>
      <c r="X65" s="240"/>
      <c r="Y65" s="240"/>
      <c r="Z65" s="240"/>
      <c r="AA65" s="240"/>
      <c r="AB65" s="240"/>
      <c r="AC65" s="240"/>
      <c r="AD65" s="240"/>
    </row>
    <row r="66" spans="1:30" x14ac:dyDescent="0.25">
      <c r="A66" s="239"/>
      <c r="B66" s="262"/>
      <c r="C66" s="263" t="s">
        <v>65</v>
      </c>
      <c r="D66" s="264">
        <f>D65*$W$17/$B$34</f>
        <v>0</v>
      </c>
      <c r="E66" s="264">
        <f t="shared" ref="E66:O66" si="4">E65*$W$17/$B$34</f>
        <v>9.9502487562189088E-2</v>
      </c>
      <c r="F66" s="264">
        <f t="shared" si="4"/>
        <v>9.452736318407963E-2</v>
      </c>
      <c r="G66" s="264">
        <f t="shared" si="4"/>
        <v>0</v>
      </c>
      <c r="H66" s="264">
        <f t="shared" si="4"/>
        <v>0</v>
      </c>
      <c r="I66" s="264">
        <f t="shared" si="4"/>
        <v>0</v>
      </c>
      <c r="J66" s="264">
        <f t="shared" si="4"/>
        <v>0</v>
      </c>
      <c r="K66" s="264">
        <f t="shared" si="4"/>
        <v>0</v>
      </c>
      <c r="L66" s="264">
        <f t="shared" si="4"/>
        <v>0</v>
      </c>
      <c r="M66" s="264">
        <f t="shared" si="4"/>
        <v>0</v>
      </c>
      <c r="N66" s="264">
        <f t="shared" si="4"/>
        <v>0</v>
      </c>
      <c r="O66" s="264">
        <f t="shared" si="4"/>
        <v>0</v>
      </c>
      <c r="P66" s="265">
        <f>SUM(D66:O66)</f>
        <v>0.19402985074626872</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+D57</f>
        <v>0</v>
      </c>
      <c r="E68" s="261">
        <f t="shared" ref="E68:O68" si="5">+E57</f>
        <v>9.9502487562189088E-3</v>
      </c>
      <c r="F68" s="261">
        <f t="shared" si="5"/>
        <v>9.452736318407963E-3</v>
      </c>
      <c r="G68" s="261">
        <f t="shared" si="5"/>
        <v>9.452736318407963E-3</v>
      </c>
      <c r="H68" s="261">
        <f t="shared" si="5"/>
        <v>9.452736318407963E-3</v>
      </c>
      <c r="I68" s="261">
        <f t="shared" si="5"/>
        <v>9.452736318407963E-3</v>
      </c>
      <c r="J68" s="261">
        <f t="shared" si="5"/>
        <v>9.452736318407963E-3</v>
      </c>
      <c r="K68" s="261">
        <f t="shared" si="5"/>
        <v>9.452736318407963E-3</v>
      </c>
      <c r="L68" s="261">
        <f t="shared" si="5"/>
        <v>9.452736318407963E-3</v>
      </c>
      <c r="M68" s="261">
        <f t="shared" si="5"/>
        <v>9.452736318407963E-3</v>
      </c>
      <c r="N68" s="261">
        <f t="shared" si="5"/>
        <v>9.452736318407963E-3</v>
      </c>
      <c r="O68" s="261">
        <f t="shared" si="5"/>
        <v>4.9751243781094544E-3</v>
      </c>
      <c r="P68" s="261">
        <f>+P57+P59+P61</f>
        <v>0.1</v>
      </c>
      <c r="Q68" s="245"/>
      <c r="R68" s="245"/>
      <c r="S68" s="240"/>
      <c r="T68" s="240"/>
      <c r="U68" s="240"/>
      <c r="V68" s="240"/>
      <c r="W68" s="240"/>
      <c r="X68" s="240"/>
      <c r="Y68" s="240"/>
      <c r="Z68" s="240"/>
      <c r="AA68" s="240"/>
      <c r="AB68" s="240"/>
      <c r="AC68" s="240"/>
      <c r="AD68" s="240"/>
    </row>
    <row r="69" spans="1:30" x14ac:dyDescent="0.25">
      <c r="A69" s="245"/>
      <c r="B69" s="108"/>
      <c r="C69" s="263" t="s">
        <v>64</v>
      </c>
      <c r="D69" s="264">
        <f t="shared" ref="D69:O69" si="6">D68*$W$17/$B$34</f>
        <v>0</v>
      </c>
      <c r="E69" s="264">
        <f t="shared" si="6"/>
        <v>9.9502487562189088E-2</v>
      </c>
      <c r="F69" s="264">
        <f t="shared" si="6"/>
        <v>9.452736318407963E-2</v>
      </c>
      <c r="G69" s="264">
        <f t="shared" si="6"/>
        <v>9.452736318407963E-2</v>
      </c>
      <c r="H69" s="264">
        <f t="shared" si="6"/>
        <v>9.452736318407963E-2</v>
      </c>
      <c r="I69" s="264">
        <f t="shared" si="6"/>
        <v>9.452736318407963E-2</v>
      </c>
      <c r="J69" s="264">
        <f t="shared" si="6"/>
        <v>9.452736318407963E-2</v>
      </c>
      <c r="K69" s="264">
        <f t="shared" si="6"/>
        <v>9.452736318407963E-2</v>
      </c>
      <c r="L69" s="264">
        <f t="shared" si="6"/>
        <v>9.452736318407963E-2</v>
      </c>
      <c r="M69" s="264">
        <f t="shared" si="6"/>
        <v>9.452736318407963E-2</v>
      </c>
      <c r="N69" s="264">
        <f t="shared" si="6"/>
        <v>9.452736318407963E-2</v>
      </c>
      <c r="O69" s="264">
        <f t="shared" si="6"/>
        <v>4.9751243781094544E-2</v>
      </c>
      <c r="P69" s="265">
        <f>SUM(D69:O69)</f>
        <v>1.0000000000000002</v>
      </c>
      <c r="Q69" s="245"/>
      <c r="R69" s="245"/>
      <c r="S69" s="240"/>
      <c r="T69" s="240"/>
      <c r="U69" s="240"/>
      <c r="V69" s="240"/>
      <c r="W69" s="240"/>
      <c r="X69" s="240"/>
      <c r="Y69" s="240"/>
      <c r="Z69" s="240"/>
      <c r="AA69" s="240"/>
      <c r="AB69" s="240"/>
      <c r="AC69" s="240"/>
      <c r="AD69" s="240"/>
    </row>
    <row r="70" spans="1:30" x14ac:dyDescent="0.25">
      <c r="A70" s="240"/>
      <c r="Q70" s="240"/>
      <c r="R70" s="240"/>
      <c r="S70" s="240"/>
      <c r="T70" s="240"/>
      <c r="U70" s="240"/>
      <c r="V70" s="240"/>
      <c r="W70" s="240"/>
      <c r="X70" s="240"/>
      <c r="Y70" s="240"/>
      <c r="Z70" s="240"/>
      <c r="AA70" s="240"/>
      <c r="AB70" s="240"/>
      <c r="AC70" s="240"/>
      <c r="AD70" s="240"/>
    </row>
    <row r="71" spans="1:30" x14ac:dyDescent="0.25">
      <c r="A71" s="240"/>
      <c r="Q71" s="240"/>
      <c r="R71" s="240"/>
      <c r="S71" s="240"/>
      <c r="T71" s="240"/>
      <c r="U71" s="240"/>
      <c r="V71" s="240"/>
      <c r="W71" s="240"/>
      <c r="X71" s="240"/>
      <c r="Y71" s="240"/>
      <c r="Z71" s="240"/>
      <c r="AA71" s="240"/>
      <c r="AB71" s="240"/>
      <c r="AC71" s="240"/>
      <c r="AD71" s="240"/>
    </row>
    <row r="72" spans="1:30" x14ac:dyDescent="0.25">
      <c r="A72" s="240"/>
      <c r="Q72" s="240"/>
      <c r="R72" s="240"/>
      <c r="S72" s="240"/>
      <c r="T72" s="240"/>
      <c r="U72" s="240"/>
      <c r="V72" s="240"/>
      <c r="W72" s="240"/>
      <c r="X72" s="240"/>
      <c r="Y72" s="240"/>
      <c r="Z72" s="240"/>
      <c r="AA72" s="240"/>
      <c r="AB72" s="240"/>
      <c r="AC72" s="240"/>
      <c r="AD72" s="240"/>
    </row>
  </sheetData>
  <mergeCells count="82">
    <mergeCell ref="A38:A39"/>
    <mergeCell ref="B38:B39"/>
    <mergeCell ref="Q38:AD39"/>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4:B24"/>
    <mergeCell ref="A25:B25"/>
    <mergeCell ref="A27:AD27"/>
    <mergeCell ref="A28:A29"/>
    <mergeCell ref="B28:C29"/>
    <mergeCell ref="D28:O28"/>
    <mergeCell ref="P28:P29"/>
    <mergeCell ref="Q28:AD29"/>
    <mergeCell ref="A19:AD19"/>
    <mergeCell ref="C20:P20"/>
    <mergeCell ref="Q20:AD20"/>
    <mergeCell ref="A22:B22"/>
    <mergeCell ref="A23:B23"/>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1:B13"/>
    <mergeCell ref="C11:AD13"/>
    <mergeCell ref="A7:B9"/>
    <mergeCell ref="C7:C9"/>
    <mergeCell ref="D7:H9"/>
    <mergeCell ref="I7:J9"/>
    <mergeCell ref="K7:L9"/>
    <mergeCell ref="M7:N7"/>
    <mergeCell ref="M9:N9"/>
    <mergeCell ref="O9:P9"/>
    <mergeCell ref="AB1:AD1"/>
    <mergeCell ref="B2:AA2"/>
    <mergeCell ref="AB2:AD2"/>
    <mergeCell ref="B3:AA4"/>
    <mergeCell ref="AB3:AD3"/>
    <mergeCell ref="AB4:AD4"/>
    <mergeCell ref="A1:A4"/>
    <mergeCell ref="B1:AA1"/>
    <mergeCell ref="O7:P7"/>
    <mergeCell ref="M8:N8"/>
    <mergeCell ref="O8:P8"/>
    <mergeCell ref="A61:A62"/>
    <mergeCell ref="B61:B62"/>
    <mergeCell ref="A55:A56"/>
    <mergeCell ref="B55:B56"/>
    <mergeCell ref="C55:P55"/>
    <mergeCell ref="A57:A58"/>
    <mergeCell ref="B57:B58"/>
    <mergeCell ref="A59:A60"/>
    <mergeCell ref="B59:B60"/>
  </mergeCells>
  <dataValidations count="3">
    <dataValidation type="textLength" operator="lessThanOrEqual" allowBlank="1" showInputMessage="1" showErrorMessage="1" errorTitle="Máximo 2.000 caracteres" error="Máximo 2.000 caracteres" sqref="AA34 Q34 Q38:AD39" xr:uid="{00000000-0002-0000-0400-000000000000}">
      <formula1>2000</formula1>
    </dataValidation>
    <dataValidation type="textLength" operator="lessThanOrEqual" allowBlank="1" showInputMessage="1" showErrorMessage="1" errorTitle="Máximo 2.000 caracteres" error="Máximo 2.000 caracteres" promptTitle="2.000 caracteres" sqref="Q30:AD30" xr:uid="{00000000-0002-0000-0400-000001000000}">
      <formula1>2000</formula1>
    </dataValidation>
    <dataValidation type="list" allowBlank="1" showInputMessage="1" showErrorMessage="1" sqref="C7:C9" xr:uid="{00000000-0002-0000-0400-000002000000}">
      <formula1>$C$21:$N$21</formula1>
    </dataValidation>
  </dataValidations>
  <pageMargins left="0.25" right="0.25" top="0.75" bottom="0.75" header="0.3" footer="0.3"/>
  <pageSetup scale="20" orientation="landscape"/>
  <customProperties>
    <customPr name="_pios_id" r:id="rId1"/>
  </customPropertie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O74"/>
  <sheetViews>
    <sheetView showGridLines="0" zoomScale="64" zoomScaleNormal="64" workbookViewId="0">
      <selection activeCell="C17" sqref="C17:Q17"/>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5" width="18.140625" style="50" customWidth="1"/>
    <col min="26" max="26" width="21.7109375" style="50" customWidth="1"/>
    <col min="27"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488"/>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485"/>
      <c r="F8" s="485"/>
      <c r="G8" s="485"/>
      <c r="H8" s="481"/>
      <c r="I8" s="489"/>
      <c r="J8" s="490"/>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491"/>
      <c r="J9" s="492"/>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115</v>
      </c>
      <c r="D17" s="456"/>
      <c r="E17" s="456"/>
      <c r="F17" s="456"/>
      <c r="G17" s="456"/>
      <c r="H17" s="456"/>
      <c r="I17" s="456"/>
      <c r="J17" s="456"/>
      <c r="K17" s="456"/>
      <c r="L17" s="456"/>
      <c r="M17" s="456"/>
      <c r="N17" s="456"/>
      <c r="O17" s="456"/>
      <c r="P17" s="456"/>
      <c r="Q17" s="457"/>
      <c r="R17" s="458" t="s">
        <v>25</v>
      </c>
      <c r="S17" s="459"/>
      <c r="T17" s="459"/>
      <c r="U17" s="459"/>
      <c r="V17" s="460"/>
      <c r="W17" s="464">
        <v>1</v>
      </c>
      <c r="X17" s="465"/>
      <c r="Y17" s="459" t="s">
        <v>26</v>
      </c>
      <c r="Z17" s="459"/>
      <c r="AA17" s="459"/>
      <c r="AB17" s="460"/>
      <c r="AC17" s="476">
        <v>0.2</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v>425475150</v>
      </c>
      <c r="R22" s="177"/>
      <c r="S22" s="177">
        <v>19186925</v>
      </c>
      <c r="T22" s="177">
        <f>35000000+21559511</f>
        <v>56559511</v>
      </c>
      <c r="U22" s="177"/>
      <c r="V22" s="177">
        <f>2139477+34249272</f>
        <v>36388749</v>
      </c>
      <c r="W22" s="177"/>
      <c r="X22" s="177"/>
      <c r="Y22" s="177"/>
      <c r="Z22" s="177"/>
      <c r="AA22" s="177"/>
      <c r="AB22" s="177"/>
      <c r="AC22" s="177">
        <f>SUM(Q22:AB22)</f>
        <v>537610335</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45618029</v>
      </c>
      <c r="R23" s="179">
        <v>274389683</v>
      </c>
      <c r="S23" s="179">
        <v>37936095</v>
      </c>
      <c r="T23" s="174"/>
      <c r="U23" s="174"/>
      <c r="V23" s="174"/>
      <c r="W23" s="174"/>
      <c r="X23" s="174"/>
      <c r="Y23" s="174"/>
      <c r="Z23" s="174"/>
      <c r="AA23" s="174"/>
      <c r="AB23" s="174"/>
      <c r="AC23" s="174">
        <f>SUM(Q23:AB23)</f>
        <v>357943807</v>
      </c>
      <c r="AD23" s="182">
        <f>+AC23/AC22</f>
        <v>0.66580529371705621</v>
      </c>
      <c r="AE23" s="3"/>
      <c r="AF23" s="3"/>
    </row>
    <row r="24" spans="1:41" ht="32.1" customHeight="1" x14ac:dyDescent="0.25">
      <c r="A24" s="431" t="s">
        <v>45</v>
      </c>
      <c r="B24" s="441"/>
      <c r="C24" s="175">
        <f>25110242+1804187+19304540</f>
        <v>46218969</v>
      </c>
      <c r="D24" s="174">
        <f>1749515+3375000+3750000+461422+1166666+618000+432600+475860+4505045</f>
        <v>16534108</v>
      </c>
      <c r="E24" s="174">
        <v>4956875</v>
      </c>
      <c r="F24" s="174">
        <v>5038625</v>
      </c>
      <c r="G24" s="174"/>
      <c r="H24" s="174"/>
      <c r="I24" s="174"/>
      <c r="J24" s="174"/>
      <c r="K24" s="174"/>
      <c r="L24" s="174"/>
      <c r="M24" s="174"/>
      <c r="N24" s="174"/>
      <c r="O24" s="218">
        <f>SUM(C24:N24)</f>
        <v>72748577</v>
      </c>
      <c r="P24" s="178"/>
      <c r="Q24" s="175"/>
      <c r="R24" s="174">
        <v>18502650</v>
      </c>
      <c r="S24" s="174">
        <v>36997500</v>
      </c>
      <c r="T24" s="174">
        <f>36997500+1918693</f>
        <v>38916193</v>
      </c>
      <c r="U24" s="174">
        <f>36997500+1918693+3888889+21559511</f>
        <v>64364593</v>
      </c>
      <c r="V24" s="174">
        <f>36997500+1918693+3888889</f>
        <v>42805082</v>
      </c>
      <c r="W24" s="174">
        <f>36997500+1918693+2139477+3888889+11416424</f>
        <v>56360983</v>
      </c>
      <c r="X24" s="174">
        <f>36997500+1918693+3888889</f>
        <v>42805082</v>
      </c>
      <c r="Y24" s="174">
        <f>36997500+1918692+3888889+11416424</f>
        <v>54221505</v>
      </c>
      <c r="Z24" s="174">
        <f>36997500+1918692+3888889</f>
        <v>42805081</v>
      </c>
      <c r="AA24" s="174">
        <f>36997500+1918692+3888889+11416424</f>
        <v>54221505</v>
      </c>
      <c r="AB24" s="174">
        <f>73995000+3837384+7777777</f>
        <v>85610161</v>
      </c>
      <c r="AC24" s="174">
        <f>SUM(Q24:AB24)</f>
        <v>537610335</v>
      </c>
      <c r="AD24" s="182"/>
      <c r="AE24" s="3"/>
      <c r="AF24" s="3"/>
    </row>
    <row r="25" spans="1:41" ht="32.1" customHeight="1" x14ac:dyDescent="0.25">
      <c r="A25" s="385" t="s">
        <v>46</v>
      </c>
      <c r="B25" s="448"/>
      <c r="C25" s="175">
        <v>2894648</v>
      </c>
      <c r="D25" s="175">
        <v>31987653</v>
      </c>
      <c r="E25" s="175">
        <v>22040035</v>
      </c>
      <c r="F25" s="176"/>
      <c r="G25" s="176"/>
      <c r="H25" s="176"/>
      <c r="I25" s="176"/>
      <c r="J25" s="176"/>
      <c r="K25" s="176"/>
      <c r="L25" s="176"/>
      <c r="M25" s="176"/>
      <c r="N25" s="176"/>
      <c r="O25" s="176">
        <f>SUM(C25:N25)</f>
        <v>56922336</v>
      </c>
      <c r="P25" s="181">
        <f>+O25/O24</f>
        <v>0.78245291313395726</v>
      </c>
      <c r="Q25" s="179" t="s">
        <v>90</v>
      </c>
      <c r="R25" s="179">
        <v>944067</v>
      </c>
      <c r="S25" s="179">
        <v>14912614</v>
      </c>
      <c r="T25" s="176"/>
      <c r="U25" s="176"/>
      <c r="V25" s="176"/>
      <c r="W25" s="176"/>
      <c r="X25" s="176"/>
      <c r="Y25" s="176"/>
      <c r="Z25" s="176"/>
      <c r="AA25" s="176"/>
      <c r="AB25" s="176"/>
      <c r="AC25" s="176">
        <f>SUM(Q25:AB25)</f>
        <v>15856681</v>
      </c>
      <c r="AD25" s="183">
        <f>+AC25/AC23</f>
        <v>4.4299358418568753E-2</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thickBot="1" x14ac:dyDescent="0.3">
      <c r="A30" s="85" t="s">
        <v>116</v>
      </c>
      <c r="B30" s="423"/>
      <c r="C30" s="424"/>
      <c r="D30" s="89"/>
      <c r="E30" s="89"/>
      <c r="F30" s="89"/>
      <c r="G30" s="89"/>
      <c r="H30" s="89"/>
      <c r="I30" s="89"/>
      <c r="J30" s="89"/>
      <c r="K30" s="89"/>
      <c r="L30" s="89"/>
      <c r="M30" s="89"/>
      <c r="N30" s="89"/>
      <c r="O30" s="89"/>
      <c r="P30" s="86">
        <f>SUM(D30:O30)</f>
        <v>0</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3.1" customHeight="1" x14ac:dyDescent="0.25">
      <c r="A32" s="430" t="s">
        <v>56</v>
      </c>
      <c r="B32" s="386" t="s">
        <v>57</v>
      </c>
      <c r="C32" s="386" t="s">
        <v>51</v>
      </c>
      <c r="D32" s="433" t="s">
        <v>58</v>
      </c>
      <c r="E32" s="386"/>
      <c r="F32" s="386"/>
      <c r="G32" s="386"/>
      <c r="H32" s="386"/>
      <c r="I32" s="386"/>
      <c r="J32" s="386"/>
      <c r="K32" s="386"/>
      <c r="L32" s="386"/>
      <c r="M32" s="386"/>
      <c r="N32" s="386"/>
      <c r="O32" s="386"/>
      <c r="P32" s="389"/>
      <c r="Q32" s="430"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431"/>
      <c r="B33" s="416"/>
      <c r="C33" s="604"/>
      <c r="D33" s="290"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385" t="s">
        <v>60</v>
      </c>
      <c r="R33" s="387"/>
      <c r="S33" s="387"/>
      <c r="T33" s="387" t="s">
        <v>61</v>
      </c>
      <c r="U33" s="387"/>
      <c r="V33" s="387"/>
      <c r="W33" s="537" t="s">
        <v>92</v>
      </c>
      <c r="X33" s="473"/>
      <c r="Y33" s="473"/>
      <c r="Z33" s="538"/>
      <c r="AA33" s="537" t="s">
        <v>63</v>
      </c>
      <c r="AB33" s="473"/>
      <c r="AC33" s="473"/>
      <c r="AD33" s="474"/>
      <c r="AG33" s="87"/>
      <c r="AH33" s="87"/>
      <c r="AI33" s="87"/>
      <c r="AJ33" s="87"/>
      <c r="AK33" s="87"/>
      <c r="AL33" s="87"/>
      <c r="AM33" s="87"/>
      <c r="AN33" s="87"/>
      <c r="AO33" s="87"/>
    </row>
    <row r="34" spans="1:41" ht="53.25" customHeight="1" x14ac:dyDescent="0.25">
      <c r="A34" s="580" t="s">
        <v>116</v>
      </c>
      <c r="B34" s="404">
        <v>0.2</v>
      </c>
      <c r="C34" s="102" t="s">
        <v>64</v>
      </c>
      <c r="D34" s="283">
        <f>D69</f>
        <v>0</v>
      </c>
      <c r="E34" s="284">
        <f t="shared" ref="E34:O34" si="0">E69</f>
        <v>9.9750000000000005E-2</v>
      </c>
      <c r="F34" s="284">
        <f t="shared" si="0"/>
        <v>7.5250000000000011E-2</v>
      </c>
      <c r="G34" s="284">
        <f t="shared" si="0"/>
        <v>0.11675000000000001</v>
      </c>
      <c r="H34" s="284">
        <f t="shared" si="0"/>
        <v>7.5250000000000011E-2</v>
      </c>
      <c r="I34" s="284">
        <f t="shared" si="0"/>
        <v>0.11675000000000001</v>
      </c>
      <c r="J34" s="284">
        <f t="shared" si="0"/>
        <v>7.5250000000000011E-2</v>
      </c>
      <c r="K34" s="284">
        <f t="shared" si="0"/>
        <v>0.11675000000000001</v>
      </c>
      <c r="L34" s="284">
        <f t="shared" si="0"/>
        <v>7.5250000000000011E-2</v>
      </c>
      <c r="M34" s="284">
        <f t="shared" si="0"/>
        <v>0.11675000000000001</v>
      </c>
      <c r="N34" s="284">
        <f t="shared" si="0"/>
        <v>7.325000000000001E-2</v>
      </c>
      <c r="O34" s="285">
        <f t="shared" si="0"/>
        <v>5.9000000000000004E-2</v>
      </c>
      <c r="P34" s="279">
        <f>SUM(D34:O34)</f>
        <v>1.0000000000000002</v>
      </c>
      <c r="Q34" s="641" t="s">
        <v>522</v>
      </c>
      <c r="R34" s="641"/>
      <c r="S34" s="646"/>
      <c r="T34" s="648" t="s">
        <v>566</v>
      </c>
      <c r="U34" s="648"/>
      <c r="V34" s="649"/>
      <c r="W34" s="539" t="s">
        <v>117</v>
      </c>
      <c r="X34" s="540"/>
      <c r="Y34" s="540"/>
      <c r="Z34" s="551"/>
      <c r="AA34" s="640"/>
      <c r="AB34" s="641"/>
      <c r="AC34" s="641"/>
      <c r="AD34" s="642"/>
      <c r="AG34" s="87"/>
      <c r="AH34" s="87"/>
      <c r="AI34" s="87"/>
      <c r="AJ34" s="87"/>
      <c r="AK34" s="87"/>
      <c r="AL34" s="87"/>
      <c r="AM34" s="87"/>
      <c r="AN34" s="87"/>
      <c r="AO34" s="87"/>
    </row>
    <row r="35" spans="1:41" ht="53.25" customHeight="1" thickBot="1" x14ac:dyDescent="0.3">
      <c r="A35" s="581"/>
      <c r="B35" s="405"/>
      <c r="C35" s="91" t="s">
        <v>65</v>
      </c>
      <c r="D35" s="281">
        <f>D66</f>
        <v>0</v>
      </c>
      <c r="E35" s="271">
        <f t="shared" ref="E35:O35" si="1">E66</f>
        <v>0.10150000000000001</v>
      </c>
      <c r="F35" s="271">
        <f t="shared" si="1"/>
        <v>7.5250000000000011E-2</v>
      </c>
      <c r="G35" s="271">
        <f t="shared" si="1"/>
        <v>0</v>
      </c>
      <c r="H35" s="271">
        <f t="shared" si="1"/>
        <v>0</v>
      </c>
      <c r="I35" s="271">
        <f t="shared" si="1"/>
        <v>0</v>
      </c>
      <c r="J35" s="271">
        <f t="shared" si="1"/>
        <v>0</v>
      </c>
      <c r="K35" s="271">
        <f t="shared" si="1"/>
        <v>0</v>
      </c>
      <c r="L35" s="271">
        <f t="shared" si="1"/>
        <v>0</v>
      </c>
      <c r="M35" s="271">
        <f t="shared" si="1"/>
        <v>0</v>
      </c>
      <c r="N35" s="271">
        <f t="shared" si="1"/>
        <v>0</v>
      </c>
      <c r="O35" s="272">
        <f t="shared" si="1"/>
        <v>0</v>
      </c>
      <c r="P35" s="280">
        <f>SUM(D35:O35)</f>
        <v>0.17675000000000002</v>
      </c>
      <c r="Q35" s="644"/>
      <c r="R35" s="644"/>
      <c r="S35" s="647"/>
      <c r="T35" s="650"/>
      <c r="U35" s="650"/>
      <c r="V35" s="651"/>
      <c r="W35" s="412"/>
      <c r="X35" s="413"/>
      <c r="Y35" s="413"/>
      <c r="Z35" s="652"/>
      <c r="AA35" s="643"/>
      <c r="AB35" s="644"/>
      <c r="AC35" s="644"/>
      <c r="AD35" s="645"/>
      <c r="AE35" s="49"/>
      <c r="AG35" s="87"/>
      <c r="AH35" s="87"/>
      <c r="AI35" s="87"/>
      <c r="AJ35" s="87"/>
      <c r="AK35" s="87"/>
      <c r="AL35" s="87"/>
      <c r="AM35" s="87"/>
      <c r="AN35" s="87"/>
      <c r="AO35" s="87"/>
    </row>
    <row r="36" spans="1:41" ht="26.1" customHeight="1" x14ac:dyDescent="0.25">
      <c r="A36" s="430" t="s">
        <v>66</v>
      </c>
      <c r="B36" s="386" t="s">
        <v>67</v>
      </c>
      <c r="C36" s="433" t="s">
        <v>68</v>
      </c>
      <c r="D36" s="386"/>
      <c r="E36" s="386"/>
      <c r="F36" s="386"/>
      <c r="G36" s="386"/>
      <c r="H36" s="386"/>
      <c r="I36" s="386"/>
      <c r="J36" s="386"/>
      <c r="K36" s="386"/>
      <c r="L36" s="386"/>
      <c r="M36" s="386"/>
      <c r="N36" s="386"/>
      <c r="O36" s="386"/>
      <c r="P36" s="389"/>
      <c r="Q36" s="390" t="s">
        <v>69</v>
      </c>
      <c r="R36" s="391"/>
      <c r="S36" s="391"/>
      <c r="T36" s="391"/>
      <c r="U36" s="391"/>
      <c r="V36" s="391"/>
      <c r="W36" s="391"/>
      <c r="X36" s="391"/>
      <c r="Y36" s="391"/>
      <c r="Z36" s="391"/>
      <c r="AA36" s="391"/>
      <c r="AB36" s="391"/>
      <c r="AC36" s="391"/>
      <c r="AD36" s="392"/>
      <c r="AG36" s="87"/>
      <c r="AH36" s="87"/>
      <c r="AI36" s="87"/>
      <c r="AJ36" s="87"/>
      <c r="AK36" s="87"/>
      <c r="AL36" s="87"/>
      <c r="AM36" s="87"/>
      <c r="AN36" s="87"/>
      <c r="AO36" s="87"/>
    </row>
    <row r="37" spans="1:41" ht="26.1" customHeight="1" thickBot="1" x14ac:dyDescent="0.3">
      <c r="A37" s="385"/>
      <c r="B37" s="387"/>
      <c r="C37" s="290" t="s">
        <v>70</v>
      </c>
      <c r="D37" s="277" t="s">
        <v>71</v>
      </c>
      <c r="E37" s="277" t="s">
        <v>72</v>
      </c>
      <c r="F37" s="277" t="s">
        <v>73</v>
      </c>
      <c r="G37" s="277" t="s">
        <v>74</v>
      </c>
      <c r="H37" s="277" t="s">
        <v>75</v>
      </c>
      <c r="I37" s="277" t="s">
        <v>76</v>
      </c>
      <c r="J37" s="277" t="s">
        <v>77</v>
      </c>
      <c r="K37" s="277" t="s">
        <v>78</v>
      </c>
      <c r="L37" s="277" t="s">
        <v>79</v>
      </c>
      <c r="M37" s="277" t="s">
        <v>80</v>
      </c>
      <c r="N37" s="277" t="s">
        <v>81</v>
      </c>
      <c r="O37" s="277" t="s">
        <v>82</v>
      </c>
      <c r="P37" s="278" t="s">
        <v>83</v>
      </c>
      <c r="Q37" s="393" t="s">
        <v>84</v>
      </c>
      <c r="R37" s="394"/>
      <c r="S37" s="394"/>
      <c r="T37" s="394"/>
      <c r="U37" s="394"/>
      <c r="V37" s="394"/>
      <c r="W37" s="394"/>
      <c r="X37" s="394"/>
      <c r="Y37" s="394"/>
      <c r="Z37" s="394"/>
      <c r="AA37" s="394"/>
      <c r="AB37" s="394"/>
      <c r="AC37" s="394"/>
      <c r="AD37" s="395"/>
      <c r="AG37" s="94"/>
      <c r="AH37" s="94"/>
      <c r="AI37" s="94"/>
      <c r="AJ37" s="94"/>
      <c r="AK37" s="94"/>
      <c r="AL37" s="94"/>
      <c r="AM37" s="94"/>
      <c r="AN37" s="94"/>
      <c r="AO37" s="94"/>
    </row>
    <row r="38" spans="1:41" ht="46.5" customHeight="1" x14ac:dyDescent="0.25">
      <c r="A38" s="595" t="s">
        <v>118</v>
      </c>
      <c r="B38" s="397">
        <v>0.08</v>
      </c>
      <c r="C38" s="235" t="s">
        <v>64</v>
      </c>
      <c r="D38" s="301">
        <v>0</v>
      </c>
      <c r="E38" s="301">
        <v>0.06</v>
      </c>
      <c r="F38" s="206">
        <v>0.105</v>
      </c>
      <c r="G38" s="206">
        <v>0.105</v>
      </c>
      <c r="H38" s="206">
        <v>0.105</v>
      </c>
      <c r="I38" s="206">
        <v>0.105</v>
      </c>
      <c r="J38" s="206">
        <v>0.105</v>
      </c>
      <c r="K38" s="206">
        <v>0.105</v>
      </c>
      <c r="L38" s="206">
        <v>0.105</v>
      </c>
      <c r="M38" s="206">
        <v>0.105</v>
      </c>
      <c r="N38" s="206">
        <v>0.1</v>
      </c>
      <c r="O38" s="206">
        <v>0</v>
      </c>
      <c r="P38" s="274">
        <f t="shared" ref="P38:P43" si="2">SUM(D38:O38)</f>
        <v>0.99999999999999989</v>
      </c>
      <c r="Q38" s="633" t="s">
        <v>567</v>
      </c>
      <c r="R38" s="633"/>
      <c r="S38" s="633"/>
      <c r="T38" s="633"/>
      <c r="U38" s="633"/>
      <c r="V38" s="633"/>
      <c r="W38" s="633"/>
      <c r="X38" s="633"/>
      <c r="Y38" s="633"/>
      <c r="Z38" s="633"/>
      <c r="AA38" s="633"/>
      <c r="AB38" s="633"/>
      <c r="AC38" s="633"/>
      <c r="AD38" s="634"/>
      <c r="AE38" s="97"/>
      <c r="AG38" s="98"/>
      <c r="AH38" s="98"/>
      <c r="AI38" s="98"/>
      <c r="AJ38" s="98"/>
      <c r="AK38" s="98"/>
      <c r="AL38" s="98"/>
      <c r="AM38" s="98"/>
      <c r="AN38" s="98"/>
      <c r="AO38" s="98"/>
    </row>
    <row r="39" spans="1:41" ht="46.5" customHeight="1" x14ac:dyDescent="0.25">
      <c r="A39" s="596"/>
      <c r="B39" s="398"/>
      <c r="C39" s="236" t="s">
        <v>65</v>
      </c>
      <c r="D39" s="306"/>
      <c r="E39" s="302">
        <v>0.06</v>
      </c>
      <c r="F39" s="302">
        <v>0.105</v>
      </c>
      <c r="G39" s="100"/>
      <c r="H39" s="100"/>
      <c r="I39" s="100"/>
      <c r="J39" s="100"/>
      <c r="K39" s="100"/>
      <c r="L39" s="100"/>
      <c r="M39" s="100"/>
      <c r="N39" s="100"/>
      <c r="O39" s="100"/>
      <c r="P39" s="275">
        <f t="shared" si="2"/>
        <v>0.16499999999999998</v>
      </c>
      <c r="Q39" s="633"/>
      <c r="R39" s="633"/>
      <c r="S39" s="633"/>
      <c r="T39" s="633"/>
      <c r="U39" s="633"/>
      <c r="V39" s="633"/>
      <c r="W39" s="633"/>
      <c r="X39" s="633"/>
      <c r="Y39" s="633"/>
      <c r="Z39" s="633"/>
      <c r="AA39" s="633"/>
      <c r="AB39" s="633"/>
      <c r="AC39" s="633"/>
      <c r="AD39" s="634"/>
      <c r="AE39" s="97"/>
    </row>
    <row r="40" spans="1:41" ht="46.5" customHeight="1" x14ac:dyDescent="0.25">
      <c r="A40" s="602" t="s">
        <v>119</v>
      </c>
      <c r="B40" s="376">
        <v>7.0000000000000007E-2</v>
      </c>
      <c r="C40" s="237" t="s">
        <v>64</v>
      </c>
      <c r="D40" s="307">
        <v>0</v>
      </c>
      <c r="E40" s="230">
        <v>9.5000000000000001E-2</v>
      </c>
      <c r="F40" s="230">
        <v>9.5000000000000001E-2</v>
      </c>
      <c r="G40" s="230">
        <v>9.5000000000000001E-2</v>
      </c>
      <c r="H40" s="230">
        <v>9.5000000000000001E-2</v>
      </c>
      <c r="I40" s="230">
        <v>9.5000000000000001E-2</v>
      </c>
      <c r="J40" s="230">
        <v>9.5000000000000001E-2</v>
      </c>
      <c r="K40" s="230">
        <v>9.5000000000000001E-2</v>
      </c>
      <c r="L40" s="230">
        <v>9.5000000000000001E-2</v>
      </c>
      <c r="M40" s="230">
        <v>9.5000000000000001E-2</v>
      </c>
      <c r="N40" s="230">
        <v>9.5000000000000001E-2</v>
      </c>
      <c r="O40" s="230">
        <v>0.05</v>
      </c>
      <c r="P40" s="275">
        <f t="shared" si="2"/>
        <v>0.99999999999999989</v>
      </c>
      <c r="Q40" s="631" t="s">
        <v>562</v>
      </c>
      <c r="R40" s="631"/>
      <c r="S40" s="631"/>
      <c r="T40" s="631"/>
      <c r="U40" s="631"/>
      <c r="V40" s="631"/>
      <c r="W40" s="631"/>
      <c r="X40" s="631"/>
      <c r="Y40" s="631"/>
      <c r="Z40" s="631"/>
      <c r="AA40" s="631"/>
      <c r="AB40" s="631"/>
      <c r="AC40" s="631"/>
      <c r="AD40" s="632"/>
      <c r="AE40" s="97"/>
    </row>
    <row r="41" spans="1:41" ht="46.5" customHeight="1" x14ac:dyDescent="0.25">
      <c r="A41" s="596"/>
      <c r="B41" s="398"/>
      <c r="C41" s="236" t="s">
        <v>65</v>
      </c>
      <c r="D41" s="306"/>
      <c r="E41" s="302">
        <v>0.1</v>
      </c>
      <c r="F41" s="302">
        <v>9.5000000000000001E-2</v>
      </c>
      <c r="G41" s="100"/>
      <c r="H41" s="100"/>
      <c r="I41" s="100"/>
      <c r="J41" s="100"/>
      <c r="K41" s="100"/>
      <c r="L41" s="100"/>
      <c r="M41" s="100"/>
      <c r="N41" s="100"/>
      <c r="O41" s="100"/>
      <c r="P41" s="275">
        <f t="shared" si="2"/>
        <v>0.19500000000000001</v>
      </c>
      <c r="Q41" s="633"/>
      <c r="R41" s="633"/>
      <c r="S41" s="633"/>
      <c r="T41" s="633"/>
      <c r="U41" s="633"/>
      <c r="V41" s="633"/>
      <c r="W41" s="633"/>
      <c r="X41" s="633"/>
      <c r="Y41" s="633"/>
      <c r="Z41" s="633"/>
      <c r="AA41" s="633"/>
      <c r="AB41" s="633"/>
      <c r="AC41" s="633"/>
      <c r="AD41" s="634"/>
      <c r="AE41" s="97"/>
    </row>
    <row r="42" spans="1:41" ht="46.5" customHeight="1" x14ac:dyDescent="0.25">
      <c r="A42" s="589" t="s">
        <v>120</v>
      </c>
      <c r="B42" s="397">
        <v>0.05</v>
      </c>
      <c r="C42" s="237" t="s">
        <v>64</v>
      </c>
      <c r="D42" s="307">
        <v>0</v>
      </c>
      <c r="E42" s="307">
        <v>0.17</v>
      </c>
      <c r="F42" s="230">
        <v>0</v>
      </c>
      <c r="G42" s="230">
        <v>0.16600000000000001</v>
      </c>
      <c r="H42" s="230">
        <v>0</v>
      </c>
      <c r="I42" s="230">
        <v>0.16600000000000001</v>
      </c>
      <c r="J42" s="230">
        <v>0</v>
      </c>
      <c r="K42" s="230">
        <v>0.16600000000000001</v>
      </c>
      <c r="L42" s="230">
        <v>0</v>
      </c>
      <c r="M42" s="230">
        <v>0.16600000000000001</v>
      </c>
      <c r="N42" s="230">
        <v>0</v>
      </c>
      <c r="O42" s="230">
        <v>0.16600000000000001</v>
      </c>
      <c r="P42" s="275">
        <f t="shared" si="2"/>
        <v>1</v>
      </c>
      <c r="Q42" s="631" t="s">
        <v>563</v>
      </c>
      <c r="R42" s="631"/>
      <c r="S42" s="631"/>
      <c r="T42" s="631"/>
      <c r="U42" s="631"/>
      <c r="V42" s="631"/>
      <c r="W42" s="631"/>
      <c r="X42" s="631"/>
      <c r="Y42" s="631"/>
      <c r="Z42" s="631"/>
      <c r="AA42" s="631"/>
      <c r="AB42" s="631"/>
      <c r="AC42" s="631"/>
      <c r="AD42" s="632"/>
      <c r="AE42" s="97"/>
    </row>
    <row r="43" spans="1:41" ht="46.5" customHeight="1" thickBot="1" x14ac:dyDescent="0.3">
      <c r="A43" s="590"/>
      <c r="B43" s="377"/>
      <c r="C43" s="299" t="s">
        <v>65</v>
      </c>
      <c r="D43" s="314"/>
      <c r="E43" s="303">
        <v>0.17</v>
      </c>
      <c r="F43" s="105">
        <v>0</v>
      </c>
      <c r="G43" s="105"/>
      <c r="H43" s="105"/>
      <c r="I43" s="105"/>
      <c r="J43" s="105"/>
      <c r="K43" s="105"/>
      <c r="L43" s="105"/>
      <c r="M43" s="105"/>
      <c r="N43" s="105"/>
      <c r="O43" s="105"/>
      <c r="P43" s="276">
        <f t="shared" si="2"/>
        <v>0.17</v>
      </c>
      <c r="Q43" s="638"/>
      <c r="R43" s="638"/>
      <c r="S43" s="638"/>
      <c r="T43" s="638"/>
      <c r="U43" s="638"/>
      <c r="V43" s="638"/>
      <c r="W43" s="638"/>
      <c r="X43" s="638"/>
      <c r="Y43" s="638"/>
      <c r="Z43" s="638"/>
      <c r="AA43" s="638"/>
      <c r="AB43" s="638"/>
      <c r="AC43" s="638"/>
      <c r="AD43" s="639"/>
      <c r="AE43" s="97"/>
    </row>
    <row r="44" spans="1:41" x14ac:dyDescent="0.25">
      <c r="A44"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 xml:space="preserve">13. Implementar los talleres de cambio cultural </v>
      </c>
      <c r="B57" s="369">
        <f>B38</f>
        <v>0.08</v>
      </c>
      <c r="C57" s="242" t="s">
        <v>64</v>
      </c>
      <c r="D57" s="243">
        <f>D38*$B$38/$P$38</f>
        <v>0</v>
      </c>
      <c r="E57" s="243">
        <f t="shared" ref="D57:O58" si="3">E38*$B$38/$P$38</f>
        <v>4.8000000000000004E-3</v>
      </c>
      <c r="F57" s="243">
        <f t="shared" si="3"/>
        <v>8.4000000000000012E-3</v>
      </c>
      <c r="G57" s="243">
        <f t="shared" si="3"/>
        <v>8.4000000000000012E-3</v>
      </c>
      <c r="H57" s="243">
        <f t="shared" si="3"/>
        <v>8.4000000000000012E-3</v>
      </c>
      <c r="I57" s="243">
        <f t="shared" si="3"/>
        <v>8.4000000000000012E-3</v>
      </c>
      <c r="J57" s="243">
        <f t="shared" si="3"/>
        <v>8.4000000000000012E-3</v>
      </c>
      <c r="K57" s="243">
        <f t="shared" si="3"/>
        <v>8.4000000000000012E-3</v>
      </c>
      <c r="L57" s="243">
        <f t="shared" si="3"/>
        <v>8.4000000000000012E-3</v>
      </c>
      <c r="M57" s="243">
        <f t="shared" si="3"/>
        <v>8.4000000000000012E-3</v>
      </c>
      <c r="N57" s="243">
        <f t="shared" si="3"/>
        <v>8.0000000000000019E-3</v>
      </c>
      <c r="O57" s="243">
        <f t="shared" si="3"/>
        <v>0</v>
      </c>
      <c r="P57" s="244">
        <f t="shared" ref="P57:P62" si="4">SUM(D57:O57)</f>
        <v>8.0000000000000029E-2</v>
      </c>
      <c r="Q57" s="245">
        <v>0.05</v>
      </c>
      <c r="R57" s="246">
        <f t="shared" ref="R57:R65" si="5">+P57-Q57</f>
        <v>3.0000000000000027E-2</v>
      </c>
      <c r="S57" s="240"/>
      <c r="T57" s="240"/>
      <c r="U57" s="240"/>
      <c r="V57" s="240"/>
      <c r="W57" s="240"/>
      <c r="X57" s="240"/>
      <c r="Y57" s="240"/>
      <c r="Z57" s="240"/>
      <c r="AA57" s="240"/>
      <c r="AB57" s="240"/>
      <c r="AC57" s="240"/>
      <c r="AD57" s="240"/>
    </row>
    <row r="58" spans="1:30" x14ac:dyDescent="0.25">
      <c r="A58" s="368"/>
      <c r="B58" s="370"/>
      <c r="C58" s="247" t="s">
        <v>65</v>
      </c>
      <c r="D58" s="248">
        <f t="shared" si="3"/>
        <v>0</v>
      </c>
      <c r="E58" s="248">
        <f t="shared" si="3"/>
        <v>4.8000000000000004E-3</v>
      </c>
      <c r="F58" s="248">
        <f t="shared" si="3"/>
        <v>8.4000000000000012E-3</v>
      </c>
      <c r="G58" s="248">
        <f t="shared" si="3"/>
        <v>0</v>
      </c>
      <c r="H58" s="248">
        <f t="shared" si="3"/>
        <v>0</v>
      </c>
      <c r="I58" s="248">
        <f t="shared" si="3"/>
        <v>0</v>
      </c>
      <c r="J58" s="248">
        <f t="shared" si="3"/>
        <v>0</v>
      </c>
      <c r="K58" s="248">
        <f t="shared" si="3"/>
        <v>0</v>
      </c>
      <c r="L58" s="248">
        <f t="shared" si="3"/>
        <v>0</v>
      </c>
      <c r="M58" s="248">
        <f t="shared" si="3"/>
        <v>0</v>
      </c>
      <c r="N58" s="248">
        <f t="shared" si="3"/>
        <v>0</v>
      </c>
      <c r="O58" s="248">
        <f t="shared" si="3"/>
        <v>0</v>
      </c>
      <c r="P58" s="249">
        <f t="shared" si="4"/>
        <v>1.3200000000000002E-2</v>
      </c>
      <c r="Q58" s="250">
        <f>+P58</f>
        <v>1.3200000000000002E-2</v>
      </c>
      <c r="R58" s="246">
        <f t="shared" si="5"/>
        <v>0</v>
      </c>
      <c r="S58" s="240"/>
      <c r="T58" s="240"/>
      <c r="U58" s="240"/>
      <c r="V58" s="240"/>
      <c r="W58" s="240"/>
      <c r="X58" s="240"/>
      <c r="Y58" s="240"/>
      <c r="Z58" s="240"/>
      <c r="AA58" s="240"/>
      <c r="AB58" s="240"/>
      <c r="AC58" s="240"/>
      <c r="AD58" s="240"/>
    </row>
    <row r="59" spans="1:30" x14ac:dyDescent="0.25">
      <c r="A59" s="367" t="str">
        <f>A40</f>
        <v>14. Implementar la Red de Alianzas del Cuidado</v>
      </c>
      <c r="B59" s="372">
        <f>B40</f>
        <v>7.0000000000000007E-2</v>
      </c>
      <c r="C59" s="242" t="s">
        <v>64</v>
      </c>
      <c r="D59" s="243">
        <f t="shared" ref="D59:O60" si="6">D40*$B$40/$P$40</f>
        <v>0</v>
      </c>
      <c r="E59" s="243">
        <f t="shared" si="6"/>
        <v>6.6500000000000014E-3</v>
      </c>
      <c r="F59" s="243">
        <f t="shared" si="6"/>
        <v>6.6500000000000014E-3</v>
      </c>
      <c r="G59" s="243">
        <f t="shared" si="6"/>
        <v>6.6500000000000014E-3</v>
      </c>
      <c r="H59" s="243">
        <f t="shared" si="6"/>
        <v>6.6500000000000014E-3</v>
      </c>
      <c r="I59" s="243">
        <f t="shared" si="6"/>
        <v>6.6500000000000014E-3</v>
      </c>
      <c r="J59" s="243">
        <f t="shared" si="6"/>
        <v>6.6500000000000014E-3</v>
      </c>
      <c r="K59" s="243">
        <f t="shared" si="6"/>
        <v>6.6500000000000014E-3</v>
      </c>
      <c r="L59" s="243">
        <f t="shared" si="6"/>
        <v>6.6500000000000014E-3</v>
      </c>
      <c r="M59" s="243">
        <f t="shared" si="6"/>
        <v>6.6500000000000014E-3</v>
      </c>
      <c r="N59" s="243">
        <f t="shared" si="6"/>
        <v>6.6500000000000014E-3</v>
      </c>
      <c r="O59" s="243">
        <f t="shared" si="6"/>
        <v>3.5000000000000009E-3</v>
      </c>
      <c r="P59" s="244">
        <f t="shared" si="4"/>
        <v>7.0000000000000021E-2</v>
      </c>
      <c r="Q59" s="245">
        <v>2.5000000000000001E-2</v>
      </c>
      <c r="R59" s="246">
        <f t="shared" si="5"/>
        <v>4.5000000000000019E-2</v>
      </c>
      <c r="S59" s="240"/>
      <c r="T59" s="240"/>
      <c r="U59" s="240"/>
      <c r="V59" s="240"/>
      <c r="W59" s="240"/>
      <c r="X59" s="240"/>
      <c r="Y59" s="240"/>
      <c r="Z59" s="240"/>
      <c r="AA59" s="240"/>
      <c r="AB59" s="240"/>
      <c r="AC59" s="240"/>
      <c r="AD59" s="240"/>
    </row>
    <row r="60" spans="1:30" x14ac:dyDescent="0.25">
      <c r="A60" s="371"/>
      <c r="B60" s="373"/>
      <c r="C60" s="247" t="s">
        <v>65</v>
      </c>
      <c r="D60" s="248">
        <f t="shared" si="6"/>
        <v>0</v>
      </c>
      <c r="E60" s="248">
        <f t="shared" si="6"/>
        <v>7.0000000000000019E-3</v>
      </c>
      <c r="F60" s="248">
        <f t="shared" si="6"/>
        <v>6.6500000000000014E-3</v>
      </c>
      <c r="G60" s="248">
        <f t="shared" si="6"/>
        <v>0</v>
      </c>
      <c r="H60" s="248">
        <f t="shared" si="6"/>
        <v>0</v>
      </c>
      <c r="I60" s="248">
        <f t="shared" si="6"/>
        <v>0</v>
      </c>
      <c r="J60" s="248">
        <f t="shared" si="6"/>
        <v>0</v>
      </c>
      <c r="K60" s="248">
        <f t="shared" si="6"/>
        <v>0</v>
      </c>
      <c r="L60" s="248">
        <f t="shared" si="6"/>
        <v>0</v>
      </c>
      <c r="M60" s="248">
        <f t="shared" si="6"/>
        <v>0</v>
      </c>
      <c r="N60" s="248">
        <f t="shared" si="6"/>
        <v>0</v>
      </c>
      <c r="O60" s="248">
        <f t="shared" si="6"/>
        <v>0</v>
      </c>
      <c r="P60" s="249">
        <f t="shared" si="4"/>
        <v>1.3650000000000002E-2</v>
      </c>
      <c r="Q60" s="250">
        <f>+P60</f>
        <v>1.3650000000000002E-2</v>
      </c>
      <c r="R60" s="246">
        <f t="shared" si="5"/>
        <v>0</v>
      </c>
      <c r="S60" s="240"/>
      <c r="T60" s="240"/>
      <c r="U60" s="240"/>
      <c r="V60" s="240"/>
      <c r="W60" s="240"/>
      <c r="X60" s="240"/>
      <c r="Y60" s="240"/>
      <c r="Z60" s="240"/>
      <c r="AA60" s="240"/>
      <c r="AB60" s="240"/>
      <c r="AC60" s="240"/>
      <c r="AD60" s="240"/>
    </row>
    <row r="61" spans="1:30" x14ac:dyDescent="0.25">
      <c r="A61" s="367" t="str">
        <f>A42</f>
        <v>15. Convocar y gestionar las sesiones de la Mesa de Transformación Cultural de la Unidad Técnica de Apoyo de la Comisión Intersectorial del Sistema de Cuidado</v>
      </c>
      <c r="B61" s="372">
        <f>B42</f>
        <v>0.05</v>
      </c>
      <c r="C61" s="242" t="s">
        <v>64</v>
      </c>
      <c r="D61" s="243">
        <f t="shared" ref="D61:O62" si="7">D42*$B$42/$P$42</f>
        <v>0</v>
      </c>
      <c r="E61" s="243">
        <f t="shared" si="7"/>
        <v>8.5000000000000006E-3</v>
      </c>
      <c r="F61" s="243">
        <f t="shared" si="7"/>
        <v>0</v>
      </c>
      <c r="G61" s="243">
        <f t="shared" si="7"/>
        <v>8.3000000000000001E-3</v>
      </c>
      <c r="H61" s="243">
        <f t="shared" si="7"/>
        <v>0</v>
      </c>
      <c r="I61" s="243">
        <f t="shared" si="7"/>
        <v>8.3000000000000001E-3</v>
      </c>
      <c r="J61" s="243">
        <f t="shared" si="7"/>
        <v>0</v>
      </c>
      <c r="K61" s="243">
        <f t="shared" si="7"/>
        <v>8.3000000000000001E-3</v>
      </c>
      <c r="L61" s="243">
        <f t="shared" si="7"/>
        <v>0</v>
      </c>
      <c r="M61" s="243">
        <f t="shared" si="7"/>
        <v>8.3000000000000001E-3</v>
      </c>
      <c r="N61" s="243">
        <f t="shared" si="7"/>
        <v>0</v>
      </c>
      <c r="O61" s="243">
        <f t="shared" si="7"/>
        <v>8.3000000000000001E-3</v>
      </c>
      <c r="P61" s="244">
        <f t="shared" si="4"/>
        <v>5.000000000000001E-2</v>
      </c>
      <c r="Q61" s="245">
        <v>2.5000000000000001E-2</v>
      </c>
      <c r="R61" s="246">
        <f t="shared" si="5"/>
        <v>2.5000000000000008E-2</v>
      </c>
      <c r="S61" s="240"/>
      <c r="T61" s="240"/>
      <c r="U61" s="240"/>
      <c r="V61" s="240"/>
      <c r="W61" s="240"/>
      <c r="X61" s="240"/>
      <c r="Y61" s="240"/>
      <c r="Z61" s="240"/>
      <c r="AA61" s="240"/>
      <c r="AB61" s="240"/>
      <c r="AC61" s="240"/>
      <c r="AD61" s="240"/>
    </row>
    <row r="62" spans="1:30" x14ac:dyDescent="0.25">
      <c r="A62" s="371"/>
      <c r="B62" s="373"/>
      <c r="C62" s="247" t="s">
        <v>65</v>
      </c>
      <c r="D62" s="248">
        <f t="shared" si="7"/>
        <v>0</v>
      </c>
      <c r="E62" s="248">
        <f t="shared" si="7"/>
        <v>8.5000000000000006E-3</v>
      </c>
      <c r="F62" s="248">
        <f t="shared" si="7"/>
        <v>0</v>
      </c>
      <c r="G62" s="248">
        <f t="shared" si="7"/>
        <v>0</v>
      </c>
      <c r="H62" s="248">
        <f t="shared" si="7"/>
        <v>0</v>
      </c>
      <c r="I62" s="248">
        <f t="shared" si="7"/>
        <v>0</v>
      </c>
      <c r="J62" s="248">
        <f t="shared" si="7"/>
        <v>0</v>
      </c>
      <c r="K62" s="248">
        <f t="shared" si="7"/>
        <v>0</v>
      </c>
      <c r="L62" s="248">
        <f t="shared" si="7"/>
        <v>0</v>
      </c>
      <c r="M62" s="248">
        <f t="shared" si="7"/>
        <v>0</v>
      </c>
      <c r="N62" s="248">
        <f t="shared" si="7"/>
        <v>0</v>
      </c>
      <c r="O62" s="248">
        <f t="shared" si="7"/>
        <v>0</v>
      </c>
      <c r="P62" s="249">
        <f t="shared" si="4"/>
        <v>8.5000000000000006E-3</v>
      </c>
      <c r="Q62" s="250">
        <f>+P62</f>
        <v>8.5000000000000006E-3</v>
      </c>
      <c r="R62" s="246">
        <f t="shared" si="5"/>
        <v>0</v>
      </c>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D58+D60+D62</f>
        <v>0</v>
      </c>
      <c r="E65" s="261">
        <f t="shared" ref="E65:O65" si="8">E58+E60+E62</f>
        <v>2.0300000000000002E-2</v>
      </c>
      <c r="F65" s="261">
        <f t="shared" si="8"/>
        <v>1.5050000000000003E-2</v>
      </c>
      <c r="G65" s="261">
        <f t="shared" si="8"/>
        <v>0</v>
      </c>
      <c r="H65" s="261">
        <f t="shared" si="8"/>
        <v>0</v>
      </c>
      <c r="I65" s="261">
        <f t="shared" si="8"/>
        <v>0</v>
      </c>
      <c r="J65" s="261">
        <f t="shared" si="8"/>
        <v>0</v>
      </c>
      <c r="K65" s="261">
        <f t="shared" si="8"/>
        <v>0</v>
      </c>
      <c r="L65" s="261">
        <f t="shared" si="8"/>
        <v>0</v>
      </c>
      <c r="M65" s="261">
        <f t="shared" si="8"/>
        <v>0</v>
      </c>
      <c r="N65" s="261">
        <f t="shared" si="8"/>
        <v>0</v>
      </c>
      <c r="O65" s="261">
        <f t="shared" si="8"/>
        <v>0</v>
      </c>
      <c r="P65" s="261">
        <f>P58+P60+P62</f>
        <v>3.5350000000000006E-2</v>
      </c>
      <c r="Q65" s="239"/>
      <c r="R65" s="246">
        <f t="shared" si="5"/>
        <v>3.5350000000000006E-2</v>
      </c>
      <c r="S65" s="240"/>
      <c r="T65" s="240"/>
      <c r="U65" s="240"/>
      <c r="V65" s="240"/>
      <c r="W65" s="240"/>
      <c r="X65" s="240"/>
      <c r="Y65" s="240"/>
      <c r="Z65" s="240"/>
      <c r="AA65" s="240"/>
      <c r="AB65" s="240"/>
      <c r="AC65" s="240"/>
      <c r="AD65" s="240"/>
    </row>
    <row r="66" spans="1:30" x14ac:dyDescent="0.25">
      <c r="A66" s="239"/>
      <c r="B66" s="262"/>
      <c r="C66" s="263" t="s">
        <v>65</v>
      </c>
      <c r="D66" s="264">
        <f>D65*$W$17/$B$34</f>
        <v>0</v>
      </c>
      <c r="E66" s="264">
        <f t="shared" ref="E66:O66" si="9">E65*$W$17/$B$34</f>
        <v>0.10150000000000001</v>
      </c>
      <c r="F66" s="264">
        <f t="shared" si="9"/>
        <v>7.5250000000000011E-2</v>
      </c>
      <c r="G66" s="264">
        <f t="shared" si="9"/>
        <v>0</v>
      </c>
      <c r="H66" s="264">
        <f t="shared" si="9"/>
        <v>0</v>
      </c>
      <c r="I66" s="264">
        <f t="shared" si="9"/>
        <v>0</v>
      </c>
      <c r="J66" s="264">
        <f t="shared" si="9"/>
        <v>0</v>
      </c>
      <c r="K66" s="264">
        <f t="shared" si="9"/>
        <v>0</v>
      </c>
      <c r="L66" s="264">
        <f t="shared" si="9"/>
        <v>0</v>
      </c>
      <c r="M66" s="264">
        <f t="shared" si="9"/>
        <v>0</v>
      </c>
      <c r="N66" s="264">
        <f t="shared" si="9"/>
        <v>0</v>
      </c>
      <c r="O66" s="264">
        <f t="shared" si="9"/>
        <v>0</v>
      </c>
      <c r="P66" s="265">
        <f>SUM(D66:O66)</f>
        <v>0.17675000000000002</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 t="shared" ref="D68:P68" si="10">+D57+D59+D61</f>
        <v>0</v>
      </c>
      <c r="E68" s="261">
        <f t="shared" si="10"/>
        <v>1.9950000000000002E-2</v>
      </c>
      <c r="F68" s="261">
        <f t="shared" si="10"/>
        <v>1.5050000000000003E-2</v>
      </c>
      <c r="G68" s="261">
        <f t="shared" si="10"/>
        <v>2.3350000000000003E-2</v>
      </c>
      <c r="H68" s="261">
        <f t="shared" si="10"/>
        <v>1.5050000000000003E-2</v>
      </c>
      <c r="I68" s="261">
        <f t="shared" si="10"/>
        <v>2.3350000000000003E-2</v>
      </c>
      <c r="J68" s="261">
        <f t="shared" si="10"/>
        <v>1.5050000000000003E-2</v>
      </c>
      <c r="K68" s="261">
        <f t="shared" si="10"/>
        <v>2.3350000000000003E-2</v>
      </c>
      <c r="L68" s="261">
        <f t="shared" si="10"/>
        <v>1.5050000000000003E-2</v>
      </c>
      <c r="M68" s="261">
        <f t="shared" si="10"/>
        <v>2.3350000000000003E-2</v>
      </c>
      <c r="N68" s="261">
        <f t="shared" si="10"/>
        <v>1.4650000000000003E-2</v>
      </c>
      <c r="O68" s="261">
        <f t="shared" si="10"/>
        <v>1.1800000000000001E-2</v>
      </c>
      <c r="P68" s="261">
        <f t="shared" si="10"/>
        <v>0.20000000000000007</v>
      </c>
      <c r="Q68" s="245"/>
      <c r="R68" s="245"/>
      <c r="S68" s="240"/>
      <c r="T68" s="240"/>
      <c r="U68" s="240"/>
      <c r="V68" s="240"/>
      <c r="W68" s="240"/>
      <c r="X68" s="240"/>
      <c r="Y68" s="240"/>
      <c r="Z68" s="240"/>
      <c r="AA68" s="240"/>
      <c r="AB68" s="240"/>
      <c r="AC68" s="240"/>
      <c r="AD68" s="240"/>
    </row>
    <row r="69" spans="1:30" x14ac:dyDescent="0.25">
      <c r="A69" s="245"/>
      <c r="B69" s="108"/>
      <c r="C69" s="263" t="s">
        <v>64</v>
      </c>
      <c r="D69" s="264">
        <f t="shared" ref="D69:O69" si="11">D68*$W$17/$B$34</f>
        <v>0</v>
      </c>
      <c r="E69" s="264">
        <f t="shared" si="11"/>
        <v>9.9750000000000005E-2</v>
      </c>
      <c r="F69" s="264">
        <f t="shared" si="11"/>
        <v>7.5250000000000011E-2</v>
      </c>
      <c r="G69" s="264">
        <f t="shared" si="11"/>
        <v>0.11675000000000001</v>
      </c>
      <c r="H69" s="264">
        <f t="shared" si="11"/>
        <v>7.5250000000000011E-2</v>
      </c>
      <c r="I69" s="264">
        <f t="shared" si="11"/>
        <v>0.11675000000000001</v>
      </c>
      <c r="J69" s="264">
        <f t="shared" si="11"/>
        <v>7.5250000000000011E-2</v>
      </c>
      <c r="K69" s="264">
        <f t="shared" si="11"/>
        <v>0.11675000000000001</v>
      </c>
      <c r="L69" s="264">
        <f t="shared" si="11"/>
        <v>7.5250000000000011E-2</v>
      </c>
      <c r="M69" s="264">
        <f t="shared" si="11"/>
        <v>0.11675000000000001</v>
      </c>
      <c r="N69" s="264">
        <f t="shared" si="11"/>
        <v>7.325000000000001E-2</v>
      </c>
      <c r="O69" s="264">
        <f t="shared" si="11"/>
        <v>5.9000000000000004E-2</v>
      </c>
      <c r="P69" s="265">
        <f>SUM(D69:O69)</f>
        <v>1.0000000000000002</v>
      </c>
      <c r="Q69" s="245"/>
      <c r="R69" s="245"/>
      <c r="S69" s="240"/>
      <c r="T69" s="240"/>
      <c r="U69" s="240"/>
      <c r="V69" s="240"/>
      <c r="W69" s="240"/>
      <c r="X69" s="240"/>
      <c r="Y69" s="240"/>
      <c r="Z69" s="240"/>
      <c r="AA69" s="240"/>
      <c r="AB69" s="240"/>
      <c r="AC69" s="240"/>
      <c r="AD69" s="240"/>
    </row>
    <row r="70" spans="1:30" x14ac:dyDescent="0.25">
      <c r="A70" s="240"/>
      <c r="Q70" s="240"/>
      <c r="R70" s="240"/>
      <c r="S70" s="240"/>
      <c r="T70" s="240"/>
      <c r="U70" s="240"/>
      <c r="V70" s="240"/>
      <c r="W70" s="240"/>
      <c r="X70" s="240"/>
      <c r="Y70" s="240"/>
      <c r="Z70" s="240"/>
      <c r="AA70" s="240"/>
      <c r="AB70" s="240"/>
      <c r="AC70" s="240"/>
      <c r="AD70" s="240"/>
    </row>
    <row r="71" spans="1:30" x14ac:dyDescent="0.25">
      <c r="A71" s="240"/>
      <c r="Q71" s="240"/>
      <c r="R71" s="240"/>
      <c r="S71" s="240"/>
      <c r="T71" s="240"/>
      <c r="U71" s="240"/>
      <c r="V71" s="240"/>
      <c r="W71" s="240"/>
      <c r="X71" s="240"/>
      <c r="Y71" s="240"/>
      <c r="Z71" s="240"/>
      <c r="AA71" s="240"/>
      <c r="AB71" s="240"/>
      <c r="AC71" s="240"/>
      <c r="AD71" s="240"/>
    </row>
    <row r="72" spans="1:30" x14ac:dyDescent="0.25">
      <c r="A72" s="240"/>
      <c r="Q72" s="240"/>
      <c r="R72" s="240"/>
      <c r="S72" s="240"/>
      <c r="T72" s="240"/>
      <c r="U72" s="240"/>
      <c r="V72" s="240"/>
      <c r="W72" s="240"/>
      <c r="X72" s="240"/>
      <c r="Y72" s="240"/>
      <c r="Z72" s="240"/>
      <c r="AA72" s="240"/>
      <c r="AB72" s="240"/>
      <c r="AC72" s="240"/>
      <c r="AD72" s="240"/>
    </row>
    <row r="73" spans="1:30" x14ac:dyDescent="0.25">
      <c r="A73" s="240"/>
      <c r="Q73" s="240"/>
      <c r="R73" s="240"/>
      <c r="S73" s="240"/>
      <c r="T73" s="240"/>
      <c r="U73" s="240"/>
      <c r="V73" s="240"/>
      <c r="W73" s="240"/>
      <c r="X73" s="240"/>
      <c r="Y73" s="240"/>
      <c r="Z73" s="240"/>
      <c r="AA73" s="240"/>
      <c r="AB73" s="240"/>
      <c r="AC73" s="240"/>
      <c r="AD73" s="240"/>
    </row>
    <row r="74" spans="1:30" x14ac:dyDescent="0.25">
      <c r="A74" s="240"/>
      <c r="Q74" s="240"/>
      <c r="R74" s="240"/>
      <c r="S74" s="240"/>
      <c r="T74" s="240"/>
      <c r="U74" s="240"/>
      <c r="V74" s="240"/>
      <c r="W74" s="240"/>
      <c r="X74" s="240"/>
      <c r="Y74" s="240"/>
      <c r="Z74" s="240"/>
      <c r="AA74" s="240"/>
      <c r="AB74" s="240"/>
      <c r="AC74" s="240"/>
      <c r="AD74" s="240"/>
    </row>
  </sheetData>
  <mergeCells count="88">
    <mergeCell ref="A38:A39"/>
    <mergeCell ref="B38:B39"/>
    <mergeCell ref="Q38:AD39"/>
    <mergeCell ref="A42:A43"/>
    <mergeCell ref="B42:B43"/>
    <mergeCell ref="Q42:AD43"/>
    <mergeCell ref="A40:A41"/>
    <mergeCell ref="B40:B41"/>
    <mergeCell ref="Q40:AD41"/>
    <mergeCell ref="AA34:AD35"/>
    <mergeCell ref="A36:A37"/>
    <mergeCell ref="B36:B37"/>
    <mergeCell ref="C36:P36"/>
    <mergeCell ref="Q36:AD36"/>
    <mergeCell ref="Q37:AD37"/>
    <mergeCell ref="A34:A35"/>
    <mergeCell ref="B34:B35"/>
    <mergeCell ref="Q34:S35"/>
    <mergeCell ref="T34:V35"/>
    <mergeCell ref="W34:Z35"/>
    <mergeCell ref="B30:C30"/>
    <mergeCell ref="Q30:AD30"/>
    <mergeCell ref="A31:AD31"/>
    <mergeCell ref="A32:A33"/>
    <mergeCell ref="B32:B33"/>
    <mergeCell ref="C32:C33"/>
    <mergeCell ref="D32:P32"/>
    <mergeCell ref="Q32:AD32"/>
    <mergeCell ref="Q33:S33"/>
    <mergeCell ref="T33:V33"/>
    <mergeCell ref="W33:Z33"/>
    <mergeCell ref="AA33:AD33"/>
    <mergeCell ref="A25:B25"/>
    <mergeCell ref="A27:AD27"/>
    <mergeCell ref="A28:A29"/>
    <mergeCell ref="B28:C29"/>
    <mergeCell ref="D28:O28"/>
    <mergeCell ref="P28:P29"/>
    <mergeCell ref="Q28:AD29"/>
    <mergeCell ref="C20:P20"/>
    <mergeCell ref="Q20:AD20"/>
    <mergeCell ref="A22:B22"/>
    <mergeCell ref="A23:B23"/>
    <mergeCell ref="A24:B24"/>
    <mergeCell ref="R17:V17"/>
    <mergeCell ref="W17:X17"/>
    <mergeCell ref="Y17:AB17"/>
    <mergeCell ref="AC17:AD17"/>
    <mergeCell ref="A19:AD19"/>
    <mergeCell ref="AB1:AD1"/>
    <mergeCell ref="B2:AA2"/>
    <mergeCell ref="AB2:AD2"/>
    <mergeCell ref="B3:AA4"/>
    <mergeCell ref="AB3:AD3"/>
    <mergeCell ref="AB4:AD4"/>
    <mergeCell ref="K7:L9"/>
    <mergeCell ref="M7:N7"/>
    <mergeCell ref="A1:A4"/>
    <mergeCell ref="B1:AA1"/>
    <mergeCell ref="M8:N8"/>
    <mergeCell ref="O8:P8"/>
    <mergeCell ref="M9:N9"/>
    <mergeCell ref="O7:P7"/>
    <mergeCell ref="O9:P9"/>
    <mergeCell ref="A7:B9"/>
    <mergeCell ref="C7:C9"/>
    <mergeCell ref="D7:H9"/>
    <mergeCell ref="A59:A60"/>
    <mergeCell ref="B59:B60"/>
    <mergeCell ref="A61:A62"/>
    <mergeCell ref="B61:B62"/>
    <mergeCell ref="I7:J9"/>
    <mergeCell ref="A11:B13"/>
    <mergeCell ref="C11:AD13"/>
    <mergeCell ref="A15:B15"/>
    <mergeCell ref="C15:K15"/>
    <mergeCell ref="L15:Q15"/>
    <mergeCell ref="R15:X15"/>
    <mergeCell ref="Y15:Z15"/>
    <mergeCell ref="AA15:AD15"/>
    <mergeCell ref="C16:AB16"/>
    <mergeCell ref="A17:B17"/>
    <mergeCell ref="C17:Q17"/>
    <mergeCell ref="A55:A56"/>
    <mergeCell ref="B55:B56"/>
    <mergeCell ref="C55:P55"/>
    <mergeCell ref="A57:A58"/>
    <mergeCell ref="B57:B58"/>
  </mergeCells>
  <dataValidations count="3">
    <dataValidation type="textLength" operator="lessThanOrEqual" allowBlank="1" showInputMessage="1" showErrorMessage="1" errorTitle="Máximo 2.000 caracteres" error="Máximo 2.000 caracteres" sqref="AA34 Q34 W34 Q38:AD43" xr:uid="{00000000-0002-0000-0500-000000000000}">
      <formula1>2000</formula1>
    </dataValidation>
    <dataValidation type="textLength" operator="lessThanOrEqual" allowBlank="1" showInputMessage="1" showErrorMessage="1" errorTitle="Máximo 2.000 caracteres" error="Máximo 2.000 caracteres" promptTitle="2.000 caracteres" sqref="Q30:AD30" xr:uid="{00000000-0002-0000-0500-000001000000}">
      <formula1>2000</formula1>
    </dataValidation>
    <dataValidation type="list" allowBlank="1" showInputMessage="1" showErrorMessage="1" sqref="C7:C9" xr:uid="{00000000-0002-0000-0500-000002000000}">
      <formula1>$C$21:$N$21</formula1>
    </dataValidation>
  </dataValidations>
  <pageMargins left="0.25" right="0.25" top="0.75" bottom="0.75" header="0.3" footer="0.3"/>
  <pageSetup scale="20" orientation="landscape"/>
  <customProperties>
    <customPr name="_pios_id" r:id="rId1"/>
  </customProperties>
  <ignoredErrors>
    <ignoredError sqref="W24 Z24"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AO77"/>
  <sheetViews>
    <sheetView showGridLines="0" topLeftCell="L34" zoomScale="64" zoomScaleNormal="64" workbookViewId="0">
      <selection activeCell="Q38" sqref="Q38:AD39"/>
    </sheetView>
  </sheetViews>
  <sheetFormatPr baseColWidth="10" defaultColWidth="10.85546875" defaultRowHeight="15" x14ac:dyDescent="0.2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thickBot="1" x14ac:dyDescent="0.3">
      <c r="A1" s="505"/>
      <c r="B1" s="508" t="s">
        <v>0</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c r="AB1" s="511" t="s">
        <v>1</v>
      </c>
      <c r="AC1" s="512"/>
      <c r="AD1" s="513"/>
    </row>
    <row r="2" spans="1:30" ht="30.75" customHeight="1" thickBot="1" x14ac:dyDescent="0.3">
      <c r="A2" s="506"/>
      <c r="B2" s="508" t="s">
        <v>2</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c r="AB2" s="526" t="s">
        <v>3</v>
      </c>
      <c r="AC2" s="527"/>
      <c r="AD2" s="528"/>
    </row>
    <row r="3" spans="1:30" ht="24" customHeight="1" x14ac:dyDescent="0.25">
      <c r="A3" s="506"/>
      <c r="B3" s="529" t="s">
        <v>4</v>
      </c>
      <c r="C3" s="530"/>
      <c r="D3" s="530"/>
      <c r="E3" s="530"/>
      <c r="F3" s="530"/>
      <c r="G3" s="530"/>
      <c r="H3" s="530"/>
      <c r="I3" s="530"/>
      <c r="J3" s="530"/>
      <c r="K3" s="530"/>
      <c r="L3" s="530"/>
      <c r="M3" s="530"/>
      <c r="N3" s="530"/>
      <c r="O3" s="530"/>
      <c r="P3" s="530"/>
      <c r="Q3" s="530"/>
      <c r="R3" s="530"/>
      <c r="S3" s="530"/>
      <c r="T3" s="530"/>
      <c r="U3" s="530"/>
      <c r="V3" s="530"/>
      <c r="W3" s="530"/>
      <c r="X3" s="530"/>
      <c r="Y3" s="530"/>
      <c r="Z3" s="530"/>
      <c r="AA3" s="531"/>
      <c r="AB3" s="526" t="s">
        <v>5</v>
      </c>
      <c r="AC3" s="527"/>
      <c r="AD3" s="528"/>
    </row>
    <row r="4" spans="1:30" ht="21.95" customHeight="1" thickBot="1" x14ac:dyDescent="0.3">
      <c r="A4" s="507"/>
      <c r="B4" s="403"/>
      <c r="C4" s="405"/>
      <c r="D4" s="405"/>
      <c r="E4" s="405"/>
      <c r="F4" s="405"/>
      <c r="G4" s="405"/>
      <c r="H4" s="405"/>
      <c r="I4" s="405"/>
      <c r="J4" s="405"/>
      <c r="K4" s="405"/>
      <c r="L4" s="405"/>
      <c r="M4" s="405"/>
      <c r="N4" s="405"/>
      <c r="O4" s="405"/>
      <c r="P4" s="405"/>
      <c r="Q4" s="405"/>
      <c r="R4" s="405"/>
      <c r="S4" s="405"/>
      <c r="T4" s="405"/>
      <c r="U4" s="405"/>
      <c r="V4" s="405"/>
      <c r="W4" s="405"/>
      <c r="X4" s="405"/>
      <c r="Y4" s="405"/>
      <c r="Z4" s="405"/>
      <c r="AA4" s="532"/>
      <c r="AB4" s="533" t="s">
        <v>6</v>
      </c>
      <c r="AC4" s="534"/>
      <c r="AD4" s="535"/>
    </row>
    <row r="5" spans="1:30" ht="9" customHeight="1" thickBot="1" x14ac:dyDescent="0.3">
      <c r="A5" s="51"/>
      <c r="B5" s="202"/>
      <c r="C5" s="20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5">
      <c r="A7" s="478" t="s">
        <v>7</v>
      </c>
      <c r="B7" s="479"/>
      <c r="C7" s="502" t="s">
        <v>8</v>
      </c>
      <c r="D7" s="478" t="s">
        <v>9</v>
      </c>
      <c r="E7" s="484"/>
      <c r="F7" s="484"/>
      <c r="G7" s="484"/>
      <c r="H7" s="479"/>
      <c r="I7" s="487">
        <v>45020</v>
      </c>
      <c r="J7" s="488"/>
      <c r="K7" s="478" t="s">
        <v>10</v>
      </c>
      <c r="L7" s="479"/>
      <c r="M7" s="518" t="s">
        <v>11</v>
      </c>
      <c r="N7" s="519"/>
      <c r="O7" s="520"/>
      <c r="P7" s="521"/>
      <c r="Q7" s="54"/>
      <c r="R7" s="54"/>
      <c r="S7" s="54"/>
      <c r="T7" s="54"/>
      <c r="U7" s="54"/>
      <c r="V7" s="54"/>
      <c r="W7" s="54"/>
      <c r="X7" s="54"/>
      <c r="Y7" s="54"/>
      <c r="Z7" s="55"/>
      <c r="AA7" s="54"/>
      <c r="AB7" s="54"/>
      <c r="AC7" s="60"/>
      <c r="AD7" s="61"/>
    </row>
    <row r="8" spans="1:30" ht="15" customHeight="1" x14ac:dyDescent="0.25">
      <c r="A8" s="480"/>
      <c r="B8" s="481"/>
      <c r="C8" s="503"/>
      <c r="D8" s="480"/>
      <c r="E8" s="485"/>
      <c r="F8" s="485"/>
      <c r="G8" s="485"/>
      <c r="H8" s="481"/>
      <c r="I8" s="489"/>
      <c r="J8" s="490"/>
      <c r="K8" s="480"/>
      <c r="L8" s="481"/>
      <c r="M8" s="522" t="s">
        <v>12</v>
      </c>
      <c r="N8" s="523"/>
      <c r="O8" s="524"/>
      <c r="P8" s="525"/>
      <c r="Q8" s="54"/>
      <c r="R8" s="54"/>
      <c r="S8" s="54"/>
      <c r="T8" s="54"/>
      <c r="U8" s="54"/>
      <c r="V8" s="54"/>
      <c r="W8" s="54"/>
      <c r="X8" s="54"/>
      <c r="Y8" s="54"/>
      <c r="Z8" s="55"/>
      <c r="AA8" s="54"/>
      <c r="AB8" s="54"/>
      <c r="AC8" s="60"/>
      <c r="AD8" s="61"/>
    </row>
    <row r="9" spans="1:30" ht="15.75" customHeight="1" thickBot="1" x14ac:dyDescent="0.3">
      <c r="A9" s="482"/>
      <c r="B9" s="483"/>
      <c r="C9" s="504"/>
      <c r="D9" s="482"/>
      <c r="E9" s="486"/>
      <c r="F9" s="486"/>
      <c r="G9" s="486"/>
      <c r="H9" s="483"/>
      <c r="I9" s="491"/>
      <c r="J9" s="492"/>
      <c r="K9" s="482"/>
      <c r="L9" s="483"/>
      <c r="M9" s="514" t="s">
        <v>13</v>
      </c>
      <c r="N9" s="515"/>
      <c r="O9" s="516" t="s">
        <v>14</v>
      </c>
      <c r="P9" s="517"/>
      <c r="Q9" s="54"/>
      <c r="R9" s="54"/>
      <c r="S9" s="54"/>
      <c r="T9" s="54"/>
      <c r="U9" s="54"/>
      <c r="V9" s="54"/>
      <c r="W9" s="54"/>
      <c r="X9" s="54"/>
      <c r="Y9" s="54"/>
      <c r="Z9" s="55"/>
      <c r="AA9" s="54"/>
      <c r="AB9" s="54"/>
      <c r="AC9" s="60"/>
      <c r="AD9" s="61"/>
    </row>
    <row r="10" spans="1:30" ht="15" customHeight="1" thickBot="1" x14ac:dyDescent="0.3">
      <c r="A10" s="169"/>
      <c r="B10" s="170"/>
      <c r="C10" s="170"/>
      <c r="D10" s="65"/>
      <c r="E10" s="65"/>
      <c r="F10" s="65"/>
      <c r="G10" s="65"/>
      <c r="H10" s="65"/>
      <c r="I10" s="166"/>
      <c r="J10" s="166"/>
      <c r="K10" s="65"/>
      <c r="L10" s="65"/>
      <c r="M10" s="167"/>
      <c r="N10" s="167"/>
      <c r="O10" s="168"/>
      <c r="P10" s="168"/>
      <c r="Q10" s="170"/>
      <c r="R10" s="170"/>
      <c r="S10" s="170"/>
      <c r="T10" s="170"/>
      <c r="U10" s="170"/>
      <c r="V10" s="170"/>
      <c r="W10" s="170"/>
      <c r="X10" s="170"/>
      <c r="Y10" s="170"/>
      <c r="Z10" s="171"/>
      <c r="AA10" s="170"/>
      <c r="AB10" s="170"/>
      <c r="AC10" s="172"/>
      <c r="AD10" s="173"/>
    </row>
    <row r="11" spans="1:30" ht="15" customHeight="1" x14ac:dyDescent="0.25">
      <c r="A11" s="478" t="s">
        <v>15</v>
      </c>
      <c r="B11" s="479"/>
      <c r="C11" s="493" t="s">
        <v>16</v>
      </c>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5"/>
    </row>
    <row r="12" spans="1:30" ht="15" customHeight="1" x14ac:dyDescent="0.25">
      <c r="A12" s="480"/>
      <c r="B12" s="481"/>
      <c r="C12" s="49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8"/>
    </row>
    <row r="13" spans="1:30" ht="15" customHeight="1" thickBot="1" x14ac:dyDescent="0.3">
      <c r="A13" s="482"/>
      <c r="B13" s="483"/>
      <c r="C13" s="499"/>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1"/>
    </row>
    <row r="14" spans="1:30" ht="9" customHeight="1" thickBot="1" x14ac:dyDescent="0.3">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3">
      <c r="A15" s="453" t="s">
        <v>17</v>
      </c>
      <c r="B15" s="454"/>
      <c r="C15" s="466" t="s">
        <v>18</v>
      </c>
      <c r="D15" s="467"/>
      <c r="E15" s="467"/>
      <c r="F15" s="467"/>
      <c r="G15" s="467"/>
      <c r="H15" s="467"/>
      <c r="I15" s="467"/>
      <c r="J15" s="467"/>
      <c r="K15" s="468"/>
      <c r="L15" s="458" t="s">
        <v>19</v>
      </c>
      <c r="M15" s="459"/>
      <c r="N15" s="459"/>
      <c r="O15" s="459"/>
      <c r="P15" s="459"/>
      <c r="Q15" s="460"/>
      <c r="R15" s="461" t="s">
        <v>20</v>
      </c>
      <c r="S15" s="462"/>
      <c r="T15" s="462"/>
      <c r="U15" s="462"/>
      <c r="V15" s="462"/>
      <c r="W15" s="462"/>
      <c r="X15" s="463"/>
      <c r="Y15" s="458" t="s">
        <v>21</v>
      </c>
      <c r="Z15" s="460"/>
      <c r="AA15" s="449" t="s">
        <v>22</v>
      </c>
      <c r="AB15" s="450"/>
      <c r="AC15" s="450"/>
      <c r="AD15" s="451"/>
    </row>
    <row r="16" spans="1:30" ht="9" customHeight="1" thickBot="1" x14ac:dyDescent="0.3">
      <c r="A16" s="59"/>
      <c r="B16" s="54"/>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73"/>
      <c r="AD16" s="74"/>
    </row>
    <row r="17" spans="1:41" s="76" customFormat="1" ht="37.5" customHeight="1" thickBot="1" x14ac:dyDescent="0.3">
      <c r="A17" s="453" t="s">
        <v>23</v>
      </c>
      <c r="B17" s="454"/>
      <c r="C17" s="455" t="s">
        <v>121</v>
      </c>
      <c r="D17" s="456"/>
      <c r="E17" s="456"/>
      <c r="F17" s="456"/>
      <c r="G17" s="456"/>
      <c r="H17" s="456"/>
      <c r="I17" s="456"/>
      <c r="J17" s="456"/>
      <c r="K17" s="456"/>
      <c r="L17" s="456"/>
      <c r="M17" s="456"/>
      <c r="N17" s="456"/>
      <c r="O17" s="456"/>
      <c r="P17" s="456"/>
      <c r="Q17" s="457"/>
      <c r="R17" s="458" t="s">
        <v>25</v>
      </c>
      <c r="S17" s="459"/>
      <c r="T17" s="459"/>
      <c r="U17" s="459"/>
      <c r="V17" s="460"/>
      <c r="W17" s="568">
        <v>0.25</v>
      </c>
      <c r="X17" s="569"/>
      <c r="Y17" s="459" t="s">
        <v>26</v>
      </c>
      <c r="Z17" s="459"/>
      <c r="AA17" s="459"/>
      <c r="AB17" s="460"/>
      <c r="AC17" s="476">
        <v>0.15</v>
      </c>
      <c r="AD17" s="477"/>
    </row>
    <row r="18" spans="1:41" ht="16.5" customHeight="1" thickBot="1" x14ac:dyDescent="0.3">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x14ac:dyDescent="0.3">
      <c r="A19" s="458" t="s">
        <v>27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60"/>
      <c r="AE19" s="83"/>
      <c r="AF19" s="83"/>
    </row>
    <row r="20" spans="1:41" ht="32.1" customHeight="1" thickBot="1" x14ac:dyDescent="0.3">
      <c r="A20" s="82"/>
      <c r="B20" s="60"/>
      <c r="C20" s="472" t="s">
        <v>28</v>
      </c>
      <c r="D20" s="473"/>
      <c r="E20" s="473"/>
      <c r="F20" s="473"/>
      <c r="G20" s="473"/>
      <c r="H20" s="473"/>
      <c r="I20" s="473"/>
      <c r="J20" s="473"/>
      <c r="K20" s="473"/>
      <c r="L20" s="473"/>
      <c r="M20" s="473"/>
      <c r="N20" s="473"/>
      <c r="O20" s="473"/>
      <c r="P20" s="474"/>
      <c r="Q20" s="469" t="s">
        <v>29</v>
      </c>
      <c r="R20" s="470"/>
      <c r="S20" s="470"/>
      <c r="T20" s="470"/>
      <c r="U20" s="470"/>
      <c r="V20" s="470"/>
      <c r="W20" s="470"/>
      <c r="X20" s="470"/>
      <c r="Y20" s="470"/>
      <c r="Z20" s="470"/>
      <c r="AA20" s="470"/>
      <c r="AB20" s="470"/>
      <c r="AC20" s="470"/>
      <c r="AD20" s="471"/>
      <c r="AE20" s="83"/>
      <c r="AF20" s="83"/>
    </row>
    <row r="21" spans="1:41" ht="32.1" customHeight="1" thickBot="1" x14ac:dyDescent="0.3">
      <c r="A21" s="59"/>
      <c r="B21" s="54"/>
      <c r="C21" s="158" t="s">
        <v>30</v>
      </c>
      <c r="D21" s="159" t="s">
        <v>31</v>
      </c>
      <c r="E21" s="159" t="s">
        <v>8</v>
      </c>
      <c r="F21" s="159" t="s">
        <v>32</v>
      </c>
      <c r="G21" s="159" t="s">
        <v>33</v>
      </c>
      <c r="H21" s="159" t="s">
        <v>34</v>
      </c>
      <c r="I21" s="159" t="s">
        <v>35</v>
      </c>
      <c r="J21" s="159" t="s">
        <v>36</v>
      </c>
      <c r="K21" s="159" t="s">
        <v>37</v>
      </c>
      <c r="L21" s="159" t="s">
        <v>38</v>
      </c>
      <c r="M21" s="159" t="s">
        <v>39</v>
      </c>
      <c r="N21" s="159" t="s">
        <v>40</v>
      </c>
      <c r="O21" s="159" t="s">
        <v>41</v>
      </c>
      <c r="P21" s="160" t="s">
        <v>42</v>
      </c>
      <c r="Q21" s="158" t="s">
        <v>30</v>
      </c>
      <c r="R21" s="159" t="s">
        <v>31</v>
      </c>
      <c r="S21" s="159" t="s">
        <v>8</v>
      </c>
      <c r="T21" s="159" t="s">
        <v>32</v>
      </c>
      <c r="U21" s="159" t="s">
        <v>33</v>
      </c>
      <c r="V21" s="159" t="s">
        <v>34</v>
      </c>
      <c r="W21" s="159" t="s">
        <v>35</v>
      </c>
      <c r="X21" s="159" t="s">
        <v>36</v>
      </c>
      <c r="Y21" s="159" t="s">
        <v>37</v>
      </c>
      <c r="Z21" s="159" t="s">
        <v>38</v>
      </c>
      <c r="AA21" s="159" t="s">
        <v>39</v>
      </c>
      <c r="AB21" s="159" t="s">
        <v>40</v>
      </c>
      <c r="AC21" s="159" t="s">
        <v>41</v>
      </c>
      <c r="AD21" s="160" t="s">
        <v>42</v>
      </c>
      <c r="AE21" s="3"/>
      <c r="AF21" s="3"/>
    </row>
    <row r="22" spans="1:41" ht="32.1" customHeight="1" x14ac:dyDescent="0.25">
      <c r="A22" s="430" t="s">
        <v>43</v>
      </c>
      <c r="B22" s="475"/>
      <c r="C22" s="179"/>
      <c r="D22" s="177"/>
      <c r="E22" s="177"/>
      <c r="F22" s="177"/>
      <c r="G22" s="177"/>
      <c r="H22" s="177"/>
      <c r="I22" s="177"/>
      <c r="J22" s="177"/>
      <c r="K22" s="177"/>
      <c r="L22" s="177"/>
      <c r="M22" s="177"/>
      <c r="N22" s="177"/>
      <c r="O22" s="177">
        <f>SUM(C22:N22)</f>
        <v>0</v>
      </c>
      <c r="P22" s="180"/>
      <c r="Q22" s="179">
        <f>1263646230+1878332432</f>
        <v>3141978662</v>
      </c>
      <c r="R22" s="177"/>
      <c r="S22" s="177">
        <v>19186925</v>
      </c>
      <c r="T22" s="177">
        <f>35000000+21559511</f>
        <v>56559511</v>
      </c>
      <c r="U22" s="177"/>
      <c r="V22" s="177">
        <f>2139476+34249272</f>
        <v>36388748</v>
      </c>
      <c r="W22" s="177"/>
      <c r="X22" s="177"/>
      <c r="Y22" s="177"/>
      <c r="Z22" s="177"/>
      <c r="AA22" s="177"/>
      <c r="AB22" s="177"/>
      <c r="AC22" s="177">
        <f>SUM(Q22:AB22)</f>
        <v>3254113846</v>
      </c>
      <c r="AD22" s="184"/>
      <c r="AE22" s="3"/>
      <c r="AF22" s="3"/>
    </row>
    <row r="23" spans="1:41" ht="32.1" customHeight="1" x14ac:dyDescent="0.25">
      <c r="A23" s="431" t="s">
        <v>44</v>
      </c>
      <c r="B23" s="441"/>
      <c r="C23" s="175"/>
      <c r="D23" s="174"/>
      <c r="E23" s="174"/>
      <c r="F23" s="174"/>
      <c r="G23" s="174"/>
      <c r="H23" s="174"/>
      <c r="I23" s="174"/>
      <c r="J23" s="174"/>
      <c r="K23" s="174"/>
      <c r="L23" s="174"/>
      <c r="M23" s="174"/>
      <c r="N23" s="174"/>
      <c r="O23" s="174">
        <f>SUM(C23:N23)</f>
        <v>0</v>
      </c>
      <c r="P23" s="192" t="str">
        <f>IFERROR(O23/(SUMIF(C23:N23,"&gt;0",C22:N22))," ")</f>
        <v xml:space="preserve"> </v>
      </c>
      <c r="Q23" s="179">
        <v>2221744061</v>
      </c>
      <c r="R23" s="179">
        <v>815510484</v>
      </c>
      <c r="S23" s="179">
        <v>52163827</v>
      </c>
      <c r="T23" s="174"/>
      <c r="U23" s="174"/>
      <c r="V23" s="174"/>
      <c r="W23" s="174"/>
      <c r="X23" s="174"/>
      <c r="Y23" s="174"/>
      <c r="Z23" s="174"/>
      <c r="AA23" s="174"/>
      <c r="AB23" s="174"/>
      <c r="AC23" s="174">
        <f>SUM(Q23:AB23)</f>
        <v>3089418372</v>
      </c>
      <c r="AD23" s="182">
        <f>+AC23/AC22</f>
        <v>0.94938853347050356</v>
      </c>
      <c r="AE23" s="3"/>
      <c r="AF23" s="3"/>
    </row>
    <row r="24" spans="1:41" ht="32.1" customHeight="1" x14ac:dyDescent="0.25">
      <c r="A24" s="431" t="s">
        <v>45</v>
      </c>
      <c r="B24" s="441"/>
      <c r="C24" s="175">
        <f>25110242+1804188+19304540</f>
        <v>46218970</v>
      </c>
      <c r="D24" s="174">
        <f>1749515+3375000+3750000+461422+713790+309000+4326000+713790+772500+772500+432600+4800000+475860+4505045</f>
        <v>27157022</v>
      </c>
      <c r="E24" s="174">
        <v>4956875</v>
      </c>
      <c r="F24" s="174">
        <v>5038625</v>
      </c>
      <c r="G24" s="174"/>
      <c r="H24" s="174"/>
      <c r="I24" s="174"/>
      <c r="J24" s="174"/>
      <c r="K24" s="174"/>
      <c r="L24" s="174"/>
      <c r="M24" s="174"/>
      <c r="N24" s="174"/>
      <c r="O24" s="218">
        <f>SUM(C24:N24)</f>
        <v>83371492</v>
      </c>
      <c r="P24" s="178"/>
      <c r="Q24" s="175"/>
      <c r="R24" s="174">
        <f>54487730+166276438</f>
        <v>220764168</v>
      </c>
      <c r="S24" s="174">
        <f>109923500+166276438</f>
        <v>276199938</v>
      </c>
      <c r="T24" s="174">
        <f>109923500+1918693+166276438</f>
        <v>278118631</v>
      </c>
      <c r="U24" s="174">
        <f>109923500+1918693+3888889+21559511+166276438</f>
        <v>303567031</v>
      </c>
      <c r="V24" s="174">
        <f>109923500+1918693+3888889+166276438</f>
        <v>282007520</v>
      </c>
      <c r="W24" s="174">
        <f>109923500+1918693+2139476+3888889+11416424+166276438</f>
        <v>295563420</v>
      </c>
      <c r="X24" s="174">
        <f>109923500+1918693+3888889+166276438</f>
        <v>282007520</v>
      </c>
      <c r="Y24" s="174">
        <f>109923500+1918692+3888889+11416424+166276438</f>
        <v>293423943</v>
      </c>
      <c r="Z24" s="174">
        <f>109923500+1918692+3888889+166276438</f>
        <v>282007519</v>
      </c>
      <c r="AA24" s="174">
        <f>109923500+1918692+3888889+11416424+166276438</f>
        <v>293423943</v>
      </c>
      <c r="AB24" s="174">
        <f>219847000+3837384+7777777+215568052</f>
        <v>447030213</v>
      </c>
      <c r="AC24" s="174">
        <f>SUM(Q24:AB24)</f>
        <v>3254113846</v>
      </c>
      <c r="AD24" s="182"/>
      <c r="AE24" s="3"/>
      <c r="AF24" s="3"/>
    </row>
    <row r="25" spans="1:41" ht="32.1" customHeight="1" x14ac:dyDescent="0.25">
      <c r="A25" s="385" t="s">
        <v>46</v>
      </c>
      <c r="B25" s="448"/>
      <c r="C25" s="175">
        <v>14684229</v>
      </c>
      <c r="D25" s="175">
        <v>31987652</v>
      </c>
      <c r="E25" s="175">
        <v>22040035</v>
      </c>
      <c r="F25" s="176"/>
      <c r="G25" s="176"/>
      <c r="H25" s="176"/>
      <c r="I25" s="176"/>
      <c r="J25" s="176"/>
      <c r="K25" s="176"/>
      <c r="L25" s="176"/>
      <c r="M25" s="176"/>
      <c r="N25" s="176"/>
      <c r="O25" s="176">
        <f>SUM(C25:N25)</f>
        <v>68711916</v>
      </c>
      <c r="P25" s="181">
        <f>+O25/O24</f>
        <v>0.82416560327359856</v>
      </c>
      <c r="Q25" s="175" t="s">
        <v>122</v>
      </c>
      <c r="R25" s="175">
        <v>172882318</v>
      </c>
      <c r="S25" s="175">
        <v>221760191</v>
      </c>
      <c r="T25" s="176"/>
      <c r="U25" s="176"/>
      <c r="V25" s="176"/>
      <c r="W25" s="176"/>
      <c r="X25" s="176"/>
      <c r="Y25" s="176"/>
      <c r="Z25" s="176"/>
      <c r="AA25" s="176"/>
      <c r="AB25" s="176"/>
      <c r="AC25" s="176">
        <f>SUM(Q25:AB25)</f>
        <v>394642509</v>
      </c>
      <c r="AD25" s="183">
        <f>+AC25/AC23</f>
        <v>0.12774006673124039</v>
      </c>
      <c r="AE25" s="3"/>
      <c r="AF25" s="3"/>
    </row>
    <row r="26" spans="1:41" ht="32.1" customHeigh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73"/>
    </row>
    <row r="27" spans="1:41" ht="33.950000000000003" customHeight="1" x14ac:dyDescent="0.25">
      <c r="A27" s="444" t="s">
        <v>49</v>
      </c>
      <c r="B27" s="445"/>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7"/>
    </row>
    <row r="28" spans="1:41" ht="15" customHeight="1" x14ac:dyDescent="0.25">
      <c r="A28" s="437" t="s">
        <v>50</v>
      </c>
      <c r="B28" s="439" t="s">
        <v>51</v>
      </c>
      <c r="C28" s="440"/>
      <c r="D28" s="441" t="s">
        <v>52</v>
      </c>
      <c r="E28" s="442"/>
      <c r="F28" s="442"/>
      <c r="G28" s="442"/>
      <c r="H28" s="442"/>
      <c r="I28" s="442"/>
      <c r="J28" s="442"/>
      <c r="K28" s="442"/>
      <c r="L28" s="442"/>
      <c r="M28" s="442"/>
      <c r="N28" s="442"/>
      <c r="O28" s="415"/>
      <c r="P28" s="416" t="s">
        <v>41</v>
      </c>
      <c r="Q28" s="416" t="s">
        <v>53</v>
      </c>
      <c r="R28" s="416"/>
      <c r="S28" s="416"/>
      <c r="T28" s="416"/>
      <c r="U28" s="416"/>
      <c r="V28" s="416"/>
      <c r="W28" s="416"/>
      <c r="X28" s="416"/>
      <c r="Y28" s="416"/>
      <c r="Z28" s="416"/>
      <c r="AA28" s="416"/>
      <c r="AB28" s="416"/>
      <c r="AC28" s="416"/>
      <c r="AD28" s="443"/>
    </row>
    <row r="29" spans="1:41" ht="27" customHeight="1" x14ac:dyDescent="0.25">
      <c r="A29" s="438"/>
      <c r="B29" s="434"/>
      <c r="C29" s="388"/>
      <c r="D29" s="88" t="s">
        <v>30</v>
      </c>
      <c r="E29" s="88" t="s">
        <v>31</v>
      </c>
      <c r="F29" s="88" t="s">
        <v>8</v>
      </c>
      <c r="G29" s="88" t="s">
        <v>32</v>
      </c>
      <c r="H29" s="88" t="s">
        <v>33</v>
      </c>
      <c r="I29" s="88" t="s">
        <v>34</v>
      </c>
      <c r="J29" s="88" t="s">
        <v>35</v>
      </c>
      <c r="K29" s="88" t="s">
        <v>36</v>
      </c>
      <c r="L29" s="88" t="s">
        <v>37</v>
      </c>
      <c r="M29" s="88" t="s">
        <v>38</v>
      </c>
      <c r="N29" s="88" t="s">
        <v>39</v>
      </c>
      <c r="O29" s="88" t="s">
        <v>40</v>
      </c>
      <c r="P29" s="415"/>
      <c r="Q29" s="416"/>
      <c r="R29" s="416"/>
      <c r="S29" s="416"/>
      <c r="T29" s="416"/>
      <c r="U29" s="416"/>
      <c r="V29" s="416"/>
      <c r="W29" s="416"/>
      <c r="X29" s="416"/>
      <c r="Y29" s="416"/>
      <c r="Z29" s="416"/>
      <c r="AA29" s="416"/>
      <c r="AB29" s="416"/>
      <c r="AC29" s="416"/>
      <c r="AD29" s="443"/>
    </row>
    <row r="30" spans="1:41" ht="68.25" customHeight="1" x14ac:dyDescent="0.25">
      <c r="A30" s="85" t="s">
        <v>123</v>
      </c>
      <c r="B30" s="423"/>
      <c r="C30" s="424"/>
      <c r="D30" s="89">
        <v>112</v>
      </c>
      <c r="E30" s="89"/>
      <c r="F30" s="89"/>
      <c r="G30" s="89"/>
      <c r="H30" s="89"/>
      <c r="I30" s="89"/>
      <c r="J30" s="89"/>
      <c r="K30" s="89"/>
      <c r="L30" s="89"/>
      <c r="M30" s="89"/>
      <c r="N30" s="89"/>
      <c r="O30" s="89"/>
      <c r="P30" s="86">
        <f>SUM(D30:O30)</f>
        <v>112</v>
      </c>
      <c r="Q30" s="425"/>
      <c r="R30" s="425"/>
      <c r="S30" s="425"/>
      <c r="T30" s="425"/>
      <c r="U30" s="425"/>
      <c r="V30" s="425"/>
      <c r="W30" s="425"/>
      <c r="X30" s="425"/>
      <c r="Y30" s="425"/>
      <c r="Z30" s="425"/>
      <c r="AA30" s="425"/>
      <c r="AB30" s="425"/>
      <c r="AC30" s="425"/>
      <c r="AD30" s="426"/>
    </row>
    <row r="31" spans="1:41" ht="45" customHeight="1" thickBot="1" x14ac:dyDescent="0.3">
      <c r="A31" s="427" t="s">
        <v>55</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41" ht="23.1" customHeight="1" x14ac:dyDescent="0.25">
      <c r="A32" s="430" t="s">
        <v>56</v>
      </c>
      <c r="B32" s="386" t="s">
        <v>57</v>
      </c>
      <c r="C32" s="389" t="s">
        <v>51</v>
      </c>
      <c r="D32" s="430" t="s">
        <v>58</v>
      </c>
      <c r="E32" s="386"/>
      <c r="F32" s="386"/>
      <c r="G32" s="386"/>
      <c r="H32" s="386"/>
      <c r="I32" s="386"/>
      <c r="J32" s="386"/>
      <c r="K32" s="386"/>
      <c r="L32" s="386"/>
      <c r="M32" s="386"/>
      <c r="N32" s="386"/>
      <c r="O32" s="386"/>
      <c r="P32" s="389"/>
      <c r="Q32" s="433" t="s">
        <v>59</v>
      </c>
      <c r="R32" s="386"/>
      <c r="S32" s="386"/>
      <c r="T32" s="386"/>
      <c r="U32" s="386"/>
      <c r="V32" s="386"/>
      <c r="W32" s="386"/>
      <c r="X32" s="386"/>
      <c r="Y32" s="386"/>
      <c r="Z32" s="386"/>
      <c r="AA32" s="386"/>
      <c r="AB32" s="386"/>
      <c r="AC32" s="386"/>
      <c r="AD32" s="389"/>
      <c r="AG32" s="87"/>
      <c r="AH32" s="87"/>
      <c r="AI32" s="87"/>
      <c r="AJ32" s="87"/>
      <c r="AK32" s="87"/>
      <c r="AL32" s="87"/>
      <c r="AM32" s="87"/>
      <c r="AN32" s="87"/>
      <c r="AO32" s="87"/>
    </row>
    <row r="33" spans="1:41" ht="27" customHeight="1" thickBot="1" x14ac:dyDescent="0.3">
      <c r="A33" s="431"/>
      <c r="B33" s="416"/>
      <c r="C33" s="432"/>
      <c r="D33" s="233" t="s">
        <v>30</v>
      </c>
      <c r="E33" s="277" t="s">
        <v>31</v>
      </c>
      <c r="F33" s="277" t="s">
        <v>8</v>
      </c>
      <c r="G33" s="277" t="s">
        <v>32</v>
      </c>
      <c r="H33" s="277" t="s">
        <v>33</v>
      </c>
      <c r="I33" s="277" t="s">
        <v>34</v>
      </c>
      <c r="J33" s="277" t="s">
        <v>35</v>
      </c>
      <c r="K33" s="277" t="s">
        <v>36</v>
      </c>
      <c r="L33" s="277" t="s">
        <v>37</v>
      </c>
      <c r="M33" s="277" t="s">
        <v>38</v>
      </c>
      <c r="N33" s="277" t="s">
        <v>39</v>
      </c>
      <c r="O33" s="277" t="s">
        <v>40</v>
      </c>
      <c r="P33" s="278" t="s">
        <v>41</v>
      </c>
      <c r="Q33" s="415" t="s">
        <v>60</v>
      </c>
      <c r="R33" s="416"/>
      <c r="S33" s="416"/>
      <c r="T33" s="416" t="s">
        <v>61</v>
      </c>
      <c r="U33" s="416"/>
      <c r="V33" s="416"/>
      <c r="W33" s="416" t="s">
        <v>92</v>
      </c>
      <c r="X33" s="416"/>
      <c r="Y33" s="416"/>
      <c r="Z33" s="416"/>
      <c r="AA33" s="416" t="s">
        <v>63</v>
      </c>
      <c r="AB33" s="416"/>
      <c r="AC33" s="416"/>
      <c r="AD33" s="443"/>
      <c r="AG33" s="87"/>
      <c r="AH33" s="87"/>
      <c r="AI33" s="87"/>
      <c r="AJ33" s="87"/>
      <c r="AK33" s="87"/>
      <c r="AL33" s="87"/>
      <c r="AM33" s="87"/>
      <c r="AN33" s="87"/>
      <c r="AO33" s="87"/>
    </row>
    <row r="34" spans="1:41" ht="121.5" customHeight="1" x14ac:dyDescent="0.25">
      <c r="A34" s="402" t="s">
        <v>123</v>
      </c>
      <c r="B34" s="404">
        <v>0.15</v>
      </c>
      <c r="C34" s="294" t="s">
        <v>64</v>
      </c>
      <c r="D34" s="295">
        <f>D69</f>
        <v>2.1585491882521592E-2</v>
      </c>
      <c r="E34" s="284">
        <f t="shared" ref="E34:O34" si="0">E69</f>
        <v>2.1585491882521592E-2</v>
      </c>
      <c r="F34" s="284">
        <f t="shared" si="0"/>
        <v>2.1012934626796018E-2</v>
      </c>
      <c r="G34" s="284">
        <f t="shared" si="0"/>
        <v>2.1012934626796018E-2</v>
      </c>
      <c r="H34" s="284">
        <f t="shared" si="0"/>
        <v>2.1012934626796018E-2</v>
      </c>
      <c r="I34" s="284">
        <f t="shared" si="0"/>
        <v>2.1012934626796018E-2</v>
      </c>
      <c r="J34" s="284">
        <f t="shared" si="0"/>
        <v>2.1012934626796018E-2</v>
      </c>
      <c r="K34" s="284">
        <f t="shared" si="0"/>
        <v>2.1012934626796018E-2</v>
      </c>
      <c r="L34" s="284">
        <f t="shared" si="0"/>
        <v>2.1012934626796018E-2</v>
      </c>
      <c r="M34" s="284">
        <f t="shared" si="0"/>
        <v>2.1012934626796018E-2</v>
      </c>
      <c r="N34" s="284">
        <f t="shared" si="0"/>
        <v>2.1012934626796018E-2</v>
      </c>
      <c r="O34" s="284">
        <f t="shared" si="0"/>
        <v>1.771260459379272E-2</v>
      </c>
      <c r="P34" s="279">
        <f>SUM(D34:O34)</f>
        <v>0.25000000000000006</v>
      </c>
      <c r="Q34" s="653" t="s">
        <v>530</v>
      </c>
      <c r="R34" s="654"/>
      <c r="S34" s="654"/>
      <c r="T34" s="654" t="s">
        <v>531</v>
      </c>
      <c r="U34" s="654"/>
      <c r="V34" s="654"/>
      <c r="W34" s="587" t="s">
        <v>545</v>
      </c>
      <c r="X34" s="587"/>
      <c r="Y34" s="587"/>
      <c r="Z34" s="587"/>
      <c r="AA34" s="654" t="s">
        <v>124</v>
      </c>
      <c r="AB34" s="654"/>
      <c r="AC34" s="654"/>
      <c r="AD34" s="661"/>
      <c r="AG34" s="87"/>
      <c r="AH34" s="87"/>
      <c r="AI34" s="87"/>
      <c r="AJ34" s="87"/>
      <c r="AK34" s="87"/>
      <c r="AL34" s="87"/>
      <c r="AM34" s="87"/>
      <c r="AN34" s="87"/>
      <c r="AO34" s="87"/>
    </row>
    <row r="35" spans="1:41" ht="121.5" customHeight="1" thickBot="1" x14ac:dyDescent="0.3">
      <c r="A35" s="403"/>
      <c r="B35" s="405"/>
      <c r="C35" s="282" t="s">
        <v>65</v>
      </c>
      <c r="D35" s="270">
        <f>D66</f>
        <v>2.1585491882521592E-2</v>
      </c>
      <c r="E35" s="271">
        <f t="shared" ref="E35:O35" si="1">E66</f>
        <v>2.1585491882521592E-2</v>
      </c>
      <c r="F35" s="271">
        <f t="shared" si="1"/>
        <v>2.1012934626796018E-2</v>
      </c>
      <c r="G35" s="271">
        <f t="shared" si="1"/>
        <v>0</v>
      </c>
      <c r="H35" s="271">
        <f t="shared" si="1"/>
        <v>0</v>
      </c>
      <c r="I35" s="271">
        <f t="shared" si="1"/>
        <v>0</v>
      </c>
      <c r="J35" s="271">
        <f t="shared" si="1"/>
        <v>0</v>
      </c>
      <c r="K35" s="271">
        <f t="shared" si="1"/>
        <v>0</v>
      </c>
      <c r="L35" s="271">
        <f t="shared" si="1"/>
        <v>0</v>
      </c>
      <c r="M35" s="271">
        <f t="shared" si="1"/>
        <v>0</v>
      </c>
      <c r="N35" s="271">
        <f t="shared" si="1"/>
        <v>0</v>
      </c>
      <c r="O35" s="271">
        <f t="shared" si="1"/>
        <v>0</v>
      </c>
      <c r="P35" s="280">
        <f>SUM(D35:O35)</f>
        <v>6.4183918391839206E-2</v>
      </c>
      <c r="Q35" s="655"/>
      <c r="R35" s="656"/>
      <c r="S35" s="656"/>
      <c r="T35" s="656"/>
      <c r="U35" s="656"/>
      <c r="V35" s="656"/>
      <c r="W35" s="588"/>
      <c r="X35" s="588"/>
      <c r="Y35" s="588"/>
      <c r="Z35" s="588"/>
      <c r="AA35" s="656"/>
      <c r="AB35" s="656"/>
      <c r="AC35" s="656"/>
      <c r="AD35" s="662"/>
      <c r="AE35" s="49"/>
      <c r="AG35" s="87"/>
      <c r="AH35" s="87"/>
      <c r="AI35" s="87"/>
      <c r="AJ35" s="87"/>
      <c r="AK35" s="87"/>
      <c r="AL35" s="87"/>
      <c r="AM35" s="87"/>
      <c r="AN35" s="87"/>
      <c r="AO35" s="87"/>
    </row>
    <row r="36" spans="1:41" ht="26.1" customHeight="1" x14ac:dyDescent="0.25">
      <c r="A36" s="430" t="s">
        <v>66</v>
      </c>
      <c r="B36" s="386" t="s">
        <v>67</v>
      </c>
      <c r="C36" s="433" t="s">
        <v>68</v>
      </c>
      <c r="D36" s="386"/>
      <c r="E36" s="386"/>
      <c r="F36" s="386"/>
      <c r="G36" s="386"/>
      <c r="H36" s="386"/>
      <c r="I36" s="386"/>
      <c r="J36" s="386"/>
      <c r="K36" s="386"/>
      <c r="L36" s="386"/>
      <c r="M36" s="386"/>
      <c r="N36" s="386"/>
      <c r="O36" s="386"/>
      <c r="P36" s="389"/>
      <c r="Q36" s="390" t="s">
        <v>69</v>
      </c>
      <c r="R36" s="391"/>
      <c r="S36" s="391"/>
      <c r="T36" s="391"/>
      <c r="U36" s="391"/>
      <c r="V36" s="391"/>
      <c r="W36" s="391"/>
      <c r="X36" s="391"/>
      <c r="Y36" s="391"/>
      <c r="Z36" s="391"/>
      <c r="AA36" s="391"/>
      <c r="AB36" s="391"/>
      <c r="AC36" s="391"/>
      <c r="AD36" s="392"/>
      <c r="AG36" s="87"/>
      <c r="AH36" s="87"/>
      <c r="AI36" s="87"/>
      <c r="AJ36" s="87"/>
      <c r="AK36" s="87"/>
      <c r="AL36" s="87"/>
      <c r="AM36" s="87"/>
      <c r="AN36" s="87"/>
      <c r="AO36" s="87"/>
    </row>
    <row r="37" spans="1:41" ht="26.1" customHeight="1" x14ac:dyDescent="0.25">
      <c r="A37" s="431"/>
      <c r="B37" s="416"/>
      <c r="C37" s="232" t="s">
        <v>70</v>
      </c>
      <c r="D37" s="88" t="s">
        <v>71</v>
      </c>
      <c r="E37" s="88" t="s">
        <v>72</v>
      </c>
      <c r="F37" s="88" t="s">
        <v>73</v>
      </c>
      <c r="G37" s="88" t="s">
        <v>74</v>
      </c>
      <c r="H37" s="88" t="s">
        <v>75</v>
      </c>
      <c r="I37" s="88" t="s">
        <v>76</v>
      </c>
      <c r="J37" s="88" t="s">
        <v>77</v>
      </c>
      <c r="K37" s="88" t="s">
        <v>78</v>
      </c>
      <c r="L37" s="88" t="s">
        <v>79</v>
      </c>
      <c r="M37" s="88" t="s">
        <v>80</v>
      </c>
      <c r="N37" s="88" t="s">
        <v>81</v>
      </c>
      <c r="O37" s="88" t="s">
        <v>82</v>
      </c>
      <c r="P37" s="231" t="s">
        <v>83</v>
      </c>
      <c r="Q37" s="657" t="s">
        <v>84</v>
      </c>
      <c r="R37" s="442"/>
      <c r="S37" s="442"/>
      <c r="T37" s="442"/>
      <c r="U37" s="442"/>
      <c r="V37" s="442"/>
      <c r="W37" s="442"/>
      <c r="X37" s="442"/>
      <c r="Y37" s="442"/>
      <c r="Z37" s="442"/>
      <c r="AA37" s="442"/>
      <c r="AB37" s="442"/>
      <c r="AC37" s="442"/>
      <c r="AD37" s="658"/>
      <c r="AG37" s="94"/>
      <c r="AH37" s="94"/>
      <c r="AI37" s="94"/>
      <c r="AJ37" s="94"/>
      <c r="AK37" s="94"/>
      <c r="AL37" s="94"/>
      <c r="AM37" s="94"/>
      <c r="AN37" s="94"/>
      <c r="AO37" s="94"/>
    </row>
    <row r="38" spans="1:41" ht="93.75" customHeight="1" x14ac:dyDescent="0.25">
      <c r="A38" s="563" t="s">
        <v>125</v>
      </c>
      <c r="B38" s="376">
        <v>0.1</v>
      </c>
      <c r="C38" s="235" t="s">
        <v>64</v>
      </c>
      <c r="D38" s="301">
        <v>0.09</v>
      </c>
      <c r="E38" s="301">
        <v>0.09</v>
      </c>
      <c r="F38" s="206">
        <v>8.5000000000000006E-2</v>
      </c>
      <c r="G38" s="206">
        <v>8.5000000000000006E-2</v>
      </c>
      <c r="H38" s="206">
        <v>8.5000000000000006E-2</v>
      </c>
      <c r="I38" s="206">
        <v>8.5000000000000006E-2</v>
      </c>
      <c r="J38" s="206">
        <v>8.5000000000000006E-2</v>
      </c>
      <c r="K38" s="206">
        <v>8.5000000000000006E-2</v>
      </c>
      <c r="L38" s="206">
        <v>8.5000000000000006E-2</v>
      </c>
      <c r="M38" s="206">
        <v>8.5000000000000006E-2</v>
      </c>
      <c r="N38" s="206">
        <v>8.5000000000000006E-2</v>
      </c>
      <c r="O38" s="206">
        <v>6.5000000000000002E-2</v>
      </c>
      <c r="P38" s="274">
        <f>SUM(D38:O38)</f>
        <v>1.0099999999999998</v>
      </c>
      <c r="Q38" s="623" t="s">
        <v>564</v>
      </c>
      <c r="R38" s="558"/>
      <c r="S38" s="558"/>
      <c r="T38" s="558"/>
      <c r="U38" s="558"/>
      <c r="V38" s="558"/>
      <c r="W38" s="558"/>
      <c r="X38" s="558"/>
      <c r="Y38" s="558"/>
      <c r="Z38" s="558"/>
      <c r="AA38" s="558"/>
      <c r="AB38" s="558"/>
      <c r="AC38" s="558"/>
      <c r="AD38" s="559"/>
      <c r="AE38" s="97"/>
      <c r="AG38" s="98"/>
      <c r="AH38" s="98"/>
      <c r="AI38" s="98"/>
      <c r="AJ38" s="98"/>
      <c r="AK38" s="98"/>
      <c r="AL38" s="98"/>
      <c r="AM38" s="98"/>
      <c r="AN38" s="98"/>
      <c r="AO38" s="98"/>
    </row>
    <row r="39" spans="1:41" ht="93.75" customHeight="1" x14ac:dyDescent="0.25">
      <c r="A39" s="659"/>
      <c r="B39" s="398"/>
      <c r="C39" s="236" t="s">
        <v>65</v>
      </c>
      <c r="D39" s="302">
        <v>0.09</v>
      </c>
      <c r="E39" s="302">
        <v>0.09</v>
      </c>
      <c r="F39" s="302">
        <v>8.5000000000000006E-2</v>
      </c>
      <c r="G39" s="100"/>
      <c r="H39" s="100"/>
      <c r="I39" s="100"/>
      <c r="J39" s="100"/>
      <c r="K39" s="100"/>
      <c r="L39" s="100"/>
      <c r="M39" s="100"/>
      <c r="N39" s="100"/>
      <c r="O39" s="100"/>
      <c r="P39" s="275">
        <f>SUM(D39:O39)</f>
        <v>0.26500000000000001</v>
      </c>
      <c r="Q39" s="660"/>
      <c r="R39" s="566"/>
      <c r="S39" s="566"/>
      <c r="T39" s="566"/>
      <c r="U39" s="566"/>
      <c r="V39" s="566"/>
      <c r="W39" s="566"/>
      <c r="X39" s="566"/>
      <c r="Y39" s="566"/>
      <c r="Z39" s="566"/>
      <c r="AA39" s="566"/>
      <c r="AB39" s="566"/>
      <c r="AC39" s="566"/>
      <c r="AD39" s="567"/>
      <c r="AE39" s="97"/>
    </row>
    <row r="40" spans="1:41" ht="39.75" customHeight="1" x14ac:dyDescent="0.25">
      <c r="A40" s="563" t="s">
        <v>126</v>
      </c>
      <c r="B40" s="376">
        <v>0.05</v>
      </c>
      <c r="C40" s="237" t="s">
        <v>64</v>
      </c>
      <c r="D40" s="301">
        <v>0.08</v>
      </c>
      <c r="E40" s="301">
        <v>0.08</v>
      </c>
      <c r="F40" s="206">
        <v>8.3000000000000004E-2</v>
      </c>
      <c r="G40" s="206">
        <v>8.3000000000000004E-2</v>
      </c>
      <c r="H40" s="206">
        <v>8.3000000000000004E-2</v>
      </c>
      <c r="I40" s="206">
        <v>8.3000000000000004E-2</v>
      </c>
      <c r="J40" s="206">
        <v>8.3000000000000004E-2</v>
      </c>
      <c r="K40" s="206">
        <v>8.3000000000000004E-2</v>
      </c>
      <c r="L40" s="206">
        <v>8.3000000000000004E-2</v>
      </c>
      <c r="M40" s="206">
        <v>8.3000000000000004E-2</v>
      </c>
      <c r="N40" s="206">
        <v>8.3000000000000004E-2</v>
      </c>
      <c r="O40" s="206">
        <v>8.3000000000000004E-2</v>
      </c>
      <c r="P40" s="275">
        <f>SUM(D40:O40)</f>
        <v>0.98999999999999988</v>
      </c>
      <c r="Q40" s="623" t="s">
        <v>565</v>
      </c>
      <c r="R40" s="558"/>
      <c r="S40" s="558"/>
      <c r="T40" s="558"/>
      <c r="U40" s="558"/>
      <c r="V40" s="558"/>
      <c r="W40" s="558"/>
      <c r="X40" s="558"/>
      <c r="Y40" s="558"/>
      <c r="Z40" s="558"/>
      <c r="AA40" s="558"/>
      <c r="AB40" s="558"/>
      <c r="AC40" s="558"/>
      <c r="AD40" s="559"/>
      <c r="AE40" s="97"/>
    </row>
    <row r="41" spans="1:41" ht="39.75" customHeight="1" x14ac:dyDescent="0.25">
      <c r="A41" s="556"/>
      <c r="B41" s="377"/>
      <c r="C41" s="299" t="s">
        <v>65</v>
      </c>
      <c r="D41" s="303">
        <v>0.08</v>
      </c>
      <c r="E41" s="303">
        <v>0.08</v>
      </c>
      <c r="F41" s="302">
        <v>8.3000000000000004E-2</v>
      </c>
      <c r="G41" s="105"/>
      <c r="H41" s="105"/>
      <c r="I41" s="105"/>
      <c r="J41" s="105"/>
      <c r="K41" s="105"/>
      <c r="L41" s="106"/>
      <c r="M41" s="106"/>
      <c r="N41" s="106"/>
      <c r="O41" s="106"/>
      <c r="P41" s="276">
        <f>SUM(D41:O41)</f>
        <v>0.24299999999999999</v>
      </c>
      <c r="Q41" s="624"/>
      <c r="R41" s="561"/>
      <c r="S41" s="561"/>
      <c r="T41" s="561"/>
      <c r="U41" s="561"/>
      <c r="V41" s="561"/>
      <c r="W41" s="561"/>
      <c r="X41" s="561"/>
      <c r="Y41" s="561"/>
      <c r="Z41" s="561"/>
      <c r="AA41" s="561"/>
      <c r="AB41" s="561"/>
      <c r="AC41" s="561"/>
      <c r="AD41" s="562"/>
      <c r="AE41" s="97"/>
    </row>
    <row r="42" spans="1:41" x14ac:dyDescent="0.25">
      <c r="A42" s="50" t="s">
        <v>87</v>
      </c>
    </row>
    <row r="55" spans="1:30" x14ac:dyDescent="0.25">
      <c r="A55" s="360" t="s">
        <v>88</v>
      </c>
      <c r="B55" s="362" t="s">
        <v>67</v>
      </c>
      <c r="C55" s="364" t="s">
        <v>68</v>
      </c>
      <c r="D55" s="365"/>
      <c r="E55" s="365"/>
      <c r="F55" s="365"/>
      <c r="G55" s="365"/>
      <c r="H55" s="365"/>
      <c r="I55" s="365"/>
      <c r="J55" s="365"/>
      <c r="K55" s="365"/>
      <c r="L55" s="365"/>
      <c r="M55" s="365"/>
      <c r="N55" s="365"/>
      <c r="O55" s="365"/>
      <c r="P55" s="366"/>
      <c r="Q55" s="239"/>
      <c r="R55" s="239"/>
      <c r="S55" s="240"/>
      <c r="T55" s="240"/>
      <c r="U55" s="240"/>
      <c r="V55" s="240"/>
      <c r="W55" s="240"/>
      <c r="X55" s="240"/>
      <c r="Y55" s="240"/>
      <c r="Z55" s="240"/>
      <c r="AA55" s="240"/>
      <c r="AB55" s="240"/>
      <c r="AC55" s="240"/>
      <c r="AD55" s="240"/>
    </row>
    <row r="56" spans="1:30" ht="21" x14ac:dyDescent="0.25">
      <c r="A56" s="361"/>
      <c r="B56" s="363"/>
      <c r="C56" s="241" t="s">
        <v>70</v>
      </c>
      <c r="D56" s="241" t="s">
        <v>71</v>
      </c>
      <c r="E56" s="241" t="s">
        <v>72</v>
      </c>
      <c r="F56" s="241" t="s">
        <v>73</v>
      </c>
      <c r="G56" s="241" t="s">
        <v>74</v>
      </c>
      <c r="H56" s="241" t="s">
        <v>75</v>
      </c>
      <c r="I56" s="241" t="s">
        <v>76</v>
      </c>
      <c r="J56" s="241" t="s">
        <v>77</v>
      </c>
      <c r="K56" s="241" t="s">
        <v>78</v>
      </c>
      <c r="L56" s="241" t="s">
        <v>79</v>
      </c>
      <c r="M56" s="241" t="s">
        <v>80</v>
      </c>
      <c r="N56" s="241" t="s">
        <v>81</v>
      </c>
      <c r="O56" s="241" t="s">
        <v>82</v>
      </c>
      <c r="P56" s="241" t="s">
        <v>83</v>
      </c>
      <c r="Q56" s="239"/>
      <c r="R56" s="239"/>
      <c r="S56" s="240"/>
      <c r="T56" s="240"/>
      <c r="U56" s="240"/>
      <c r="V56" s="240"/>
      <c r="W56" s="240"/>
      <c r="X56" s="240"/>
      <c r="Y56" s="240"/>
      <c r="Z56" s="240"/>
      <c r="AA56" s="240"/>
      <c r="AB56" s="240"/>
      <c r="AC56" s="240"/>
      <c r="AD56" s="240"/>
    </row>
    <row r="57" spans="1:30" x14ac:dyDescent="0.25">
      <c r="A57" s="367" t="str">
        <f>A38</f>
        <v>16. Hacer seguimiento a la ejecución del Contrato No. 928 de 2022 cuyo objeto es: "Prestar los servicios requeridos para la operación y puesta en marcha de las Unidades Móviles en el marco de la implementación de la estrategia territorial del Sistema Distrital de Cuidado, de acuerdo con el anexo técnico"</v>
      </c>
      <c r="B57" s="369">
        <f>B38</f>
        <v>0.1</v>
      </c>
      <c r="C57" s="242" t="s">
        <v>64</v>
      </c>
      <c r="D57" s="243">
        <f>D38*$B$38/$P$38</f>
        <v>8.9108910891089119E-3</v>
      </c>
      <c r="E57" s="243">
        <f t="shared" ref="D57:O58" si="2">E38*$B$38/$P$38</f>
        <v>8.9108910891089119E-3</v>
      </c>
      <c r="F57" s="243">
        <f t="shared" si="2"/>
        <v>8.4158415841584181E-3</v>
      </c>
      <c r="G57" s="243">
        <f t="shared" si="2"/>
        <v>8.4158415841584181E-3</v>
      </c>
      <c r="H57" s="243">
        <f t="shared" si="2"/>
        <v>8.4158415841584181E-3</v>
      </c>
      <c r="I57" s="243">
        <f t="shared" si="2"/>
        <v>8.4158415841584181E-3</v>
      </c>
      <c r="J57" s="243">
        <f t="shared" si="2"/>
        <v>8.4158415841584181E-3</v>
      </c>
      <c r="K57" s="243">
        <f t="shared" si="2"/>
        <v>8.4158415841584181E-3</v>
      </c>
      <c r="L57" s="243">
        <f t="shared" si="2"/>
        <v>8.4158415841584181E-3</v>
      </c>
      <c r="M57" s="243">
        <f t="shared" si="2"/>
        <v>8.4158415841584181E-3</v>
      </c>
      <c r="N57" s="243">
        <f t="shared" si="2"/>
        <v>8.4158415841584181E-3</v>
      </c>
      <c r="O57" s="243">
        <f t="shared" si="2"/>
        <v>6.4356435643564379E-3</v>
      </c>
      <c r="P57" s="244">
        <f>SUM(D57:O57)</f>
        <v>0.10000000000000003</v>
      </c>
      <c r="Q57" s="245">
        <v>0.05</v>
      </c>
      <c r="R57" s="246">
        <f t="shared" ref="R57:R65" si="3">+P57-Q57</f>
        <v>5.0000000000000031E-2</v>
      </c>
      <c r="S57" s="240"/>
      <c r="T57" s="240"/>
      <c r="U57" s="240"/>
      <c r="V57" s="240"/>
      <c r="W57" s="240"/>
      <c r="X57" s="240"/>
      <c r="Y57" s="240"/>
      <c r="Z57" s="240"/>
      <c r="AA57" s="240"/>
      <c r="AB57" s="240"/>
      <c r="AC57" s="240"/>
      <c r="AD57" s="240"/>
    </row>
    <row r="58" spans="1:30" x14ac:dyDescent="0.25">
      <c r="A58" s="368"/>
      <c r="B58" s="370"/>
      <c r="C58" s="247" t="s">
        <v>65</v>
      </c>
      <c r="D58" s="248">
        <f t="shared" si="2"/>
        <v>8.9108910891089119E-3</v>
      </c>
      <c r="E58" s="248">
        <f t="shared" si="2"/>
        <v>8.9108910891089119E-3</v>
      </c>
      <c r="F58" s="248">
        <f t="shared" si="2"/>
        <v>8.4158415841584181E-3</v>
      </c>
      <c r="G58" s="248">
        <f t="shared" si="2"/>
        <v>0</v>
      </c>
      <c r="H58" s="248">
        <f t="shared" si="2"/>
        <v>0</v>
      </c>
      <c r="I58" s="248">
        <f t="shared" si="2"/>
        <v>0</v>
      </c>
      <c r="J58" s="248">
        <f t="shared" si="2"/>
        <v>0</v>
      </c>
      <c r="K58" s="248">
        <f t="shared" si="2"/>
        <v>0</v>
      </c>
      <c r="L58" s="248">
        <f t="shared" si="2"/>
        <v>0</v>
      </c>
      <c r="M58" s="248">
        <f t="shared" si="2"/>
        <v>0</v>
      </c>
      <c r="N58" s="248">
        <f t="shared" si="2"/>
        <v>0</v>
      </c>
      <c r="O58" s="248">
        <f t="shared" si="2"/>
        <v>0</v>
      </c>
      <c r="P58" s="249">
        <f>SUM(D58:O58)</f>
        <v>2.623762376237624E-2</v>
      </c>
      <c r="Q58" s="250">
        <f>+P58</f>
        <v>2.623762376237624E-2</v>
      </c>
      <c r="R58" s="246">
        <f t="shared" si="3"/>
        <v>0</v>
      </c>
      <c r="S58" s="240"/>
      <c r="T58" s="240"/>
      <c r="U58" s="240"/>
      <c r="V58" s="240"/>
      <c r="W58" s="240"/>
      <c r="X58" s="240"/>
      <c r="Y58" s="240"/>
      <c r="Z58" s="240"/>
      <c r="AA58" s="240"/>
      <c r="AB58" s="240"/>
      <c r="AC58" s="240"/>
      <c r="AD58" s="240"/>
    </row>
    <row r="59" spans="1:30" x14ac:dyDescent="0.25">
      <c r="A59" s="367" t="str">
        <f>A40</f>
        <v>17. Convocar y gestionar las sesiones de las Mesa de Unidades Móviles de Servicios del Cuidado</v>
      </c>
      <c r="B59" s="372">
        <f>B40</f>
        <v>0.05</v>
      </c>
      <c r="C59" s="242" t="s">
        <v>64</v>
      </c>
      <c r="D59" s="243">
        <f t="shared" ref="D59:O60" si="4">D40*$B$40/$P$40</f>
        <v>4.0404040404040413E-3</v>
      </c>
      <c r="E59" s="243">
        <f t="shared" si="4"/>
        <v>4.0404040404040413E-3</v>
      </c>
      <c r="F59" s="243">
        <f t="shared" si="4"/>
        <v>4.1919191919191929E-3</v>
      </c>
      <c r="G59" s="243">
        <f t="shared" si="4"/>
        <v>4.1919191919191929E-3</v>
      </c>
      <c r="H59" s="243">
        <f t="shared" si="4"/>
        <v>4.1919191919191929E-3</v>
      </c>
      <c r="I59" s="243">
        <f t="shared" si="4"/>
        <v>4.1919191919191929E-3</v>
      </c>
      <c r="J59" s="243">
        <f t="shared" si="4"/>
        <v>4.1919191919191929E-3</v>
      </c>
      <c r="K59" s="243">
        <f t="shared" si="4"/>
        <v>4.1919191919191929E-3</v>
      </c>
      <c r="L59" s="243">
        <f t="shared" si="4"/>
        <v>4.1919191919191929E-3</v>
      </c>
      <c r="M59" s="243">
        <f t="shared" si="4"/>
        <v>4.1919191919191929E-3</v>
      </c>
      <c r="N59" s="243">
        <f t="shared" si="4"/>
        <v>4.1919191919191929E-3</v>
      </c>
      <c r="O59" s="243">
        <f t="shared" si="4"/>
        <v>4.1919191919191929E-3</v>
      </c>
      <c r="P59" s="244">
        <f>SUM(D59:O59)</f>
        <v>4.9999999999999996E-2</v>
      </c>
      <c r="Q59" s="245">
        <v>2.5000000000000001E-2</v>
      </c>
      <c r="R59" s="246">
        <f t="shared" si="3"/>
        <v>2.4999999999999994E-2</v>
      </c>
      <c r="S59" s="240"/>
      <c r="T59" s="240"/>
      <c r="U59" s="240"/>
      <c r="V59" s="240"/>
      <c r="W59" s="240"/>
      <c r="X59" s="240"/>
      <c r="Y59" s="240"/>
      <c r="Z59" s="240"/>
      <c r="AA59" s="240"/>
      <c r="AB59" s="240"/>
      <c r="AC59" s="240"/>
      <c r="AD59" s="240"/>
    </row>
    <row r="60" spans="1:30" x14ac:dyDescent="0.25">
      <c r="A60" s="371"/>
      <c r="B60" s="373"/>
      <c r="C60" s="251" t="s">
        <v>65</v>
      </c>
      <c r="D60" s="248">
        <f t="shared" si="4"/>
        <v>4.0404040404040413E-3</v>
      </c>
      <c r="E60" s="248">
        <f t="shared" si="4"/>
        <v>4.0404040404040413E-3</v>
      </c>
      <c r="F60" s="248">
        <f t="shared" si="4"/>
        <v>4.1919191919191929E-3</v>
      </c>
      <c r="G60" s="248">
        <f t="shared" si="4"/>
        <v>0</v>
      </c>
      <c r="H60" s="248">
        <f t="shared" si="4"/>
        <v>0</v>
      </c>
      <c r="I60" s="248">
        <f t="shared" si="4"/>
        <v>0</v>
      </c>
      <c r="J60" s="248">
        <f t="shared" si="4"/>
        <v>0</v>
      </c>
      <c r="K60" s="248">
        <f t="shared" si="4"/>
        <v>0</v>
      </c>
      <c r="L60" s="248">
        <f t="shared" si="4"/>
        <v>0</v>
      </c>
      <c r="M60" s="248">
        <f t="shared" si="4"/>
        <v>0</v>
      </c>
      <c r="N60" s="248">
        <f t="shared" si="4"/>
        <v>0</v>
      </c>
      <c r="O60" s="248">
        <f t="shared" si="4"/>
        <v>0</v>
      </c>
      <c r="P60" s="249">
        <f>SUM(D60:O60)</f>
        <v>1.2272727272727275E-2</v>
      </c>
      <c r="Q60" s="250">
        <f>+P60</f>
        <v>1.2272727272727275E-2</v>
      </c>
      <c r="R60" s="246">
        <f t="shared" si="3"/>
        <v>0</v>
      </c>
      <c r="S60" s="240"/>
      <c r="T60" s="240"/>
      <c r="U60" s="240"/>
      <c r="V60" s="240"/>
      <c r="W60" s="240"/>
      <c r="X60" s="240"/>
      <c r="Y60" s="240"/>
      <c r="Z60" s="240"/>
      <c r="AA60" s="240"/>
      <c r="AB60" s="240"/>
      <c r="AC60" s="240"/>
      <c r="AD60" s="240"/>
    </row>
    <row r="61" spans="1:30" x14ac:dyDescent="0.25">
      <c r="A61" s="356"/>
      <c r="B61" s="358"/>
      <c r="C61" s="254"/>
      <c r="D61" s="243"/>
      <c r="E61" s="243"/>
      <c r="F61" s="243"/>
      <c r="G61" s="243"/>
      <c r="H61" s="243"/>
      <c r="I61" s="243"/>
      <c r="J61" s="243"/>
      <c r="K61" s="243"/>
      <c r="L61" s="243"/>
      <c r="M61" s="243"/>
      <c r="N61" s="243"/>
      <c r="O61" s="243"/>
      <c r="P61" s="255"/>
      <c r="Q61" s="245"/>
      <c r="R61" s="246"/>
      <c r="S61" s="240"/>
      <c r="T61" s="240"/>
      <c r="U61" s="240"/>
      <c r="V61" s="240"/>
      <c r="W61" s="240"/>
      <c r="X61" s="240"/>
      <c r="Y61" s="240"/>
      <c r="Z61" s="240"/>
      <c r="AA61" s="240"/>
      <c r="AB61" s="240"/>
      <c r="AC61" s="240"/>
      <c r="AD61" s="240"/>
    </row>
    <row r="62" spans="1:30" x14ac:dyDescent="0.25">
      <c r="A62" s="357"/>
      <c r="B62" s="359"/>
      <c r="C62" s="254"/>
      <c r="D62" s="258"/>
      <c r="E62" s="258"/>
      <c r="F62" s="258"/>
      <c r="G62" s="258"/>
      <c r="H62" s="258"/>
      <c r="I62" s="258"/>
      <c r="J62" s="258"/>
      <c r="K62" s="258"/>
      <c r="L62" s="258"/>
      <c r="M62" s="258"/>
      <c r="N62" s="258"/>
      <c r="O62" s="258"/>
      <c r="P62" s="255"/>
      <c r="Q62" s="250"/>
      <c r="R62" s="246"/>
      <c r="S62" s="240"/>
      <c r="T62" s="240"/>
      <c r="U62" s="240"/>
      <c r="V62" s="240"/>
      <c r="W62" s="240"/>
      <c r="X62" s="240"/>
      <c r="Y62" s="240"/>
      <c r="Z62" s="240"/>
      <c r="AA62" s="240"/>
      <c r="AB62" s="240"/>
      <c r="AC62" s="240"/>
      <c r="AD62" s="240"/>
    </row>
    <row r="63" spans="1:30" x14ac:dyDescent="0.25">
      <c r="A63" s="252"/>
      <c r="B63" s="253"/>
      <c r="C63" s="254"/>
      <c r="D63" s="243"/>
      <c r="E63" s="243"/>
      <c r="F63" s="243"/>
      <c r="G63" s="243"/>
      <c r="H63" s="243"/>
      <c r="I63" s="243"/>
      <c r="J63" s="243"/>
      <c r="K63" s="243"/>
      <c r="L63" s="243"/>
      <c r="M63" s="243"/>
      <c r="N63" s="243"/>
      <c r="O63" s="243"/>
      <c r="P63" s="255"/>
      <c r="Q63" s="245"/>
      <c r="R63" s="246"/>
      <c r="S63" s="240"/>
      <c r="T63" s="240"/>
      <c r="U63" s="240"/>
      <c r="V63" s="240"/>
      <c r="W63" s="240"/>
      <c r="X63" s="240"/>
      <c r="Y63" s="240"/>
      <c r="Z63" s="240"/>
      <c r="AA63" s="240"/>
      <c r="AB63" s="240"/>
      <c r="AC63" s="240"/>
      <c r="AD63" s="240"/>
    </row>
    <row r="64" spans="1:30" x14ac:dyDescent="0.25">
      <c r="A64" s="256"/>
      <c r="B64" s="257"/>
      <c r="C64" s="254"/>
      <c r="D64" s="258"/>
      <c r="E64" s="258"/>
      <c r="F64" s="258"/>
      <c r="G64" s="258"/>
      <c r="H64" s="258"/>
      <c r="I64" s="258"/>
      <c r="J64" s="258"/>
      <c r="K64" s="258"/>
      <c r="L64" s="258"/>
      <c r="M64" s="258"/>
      <c r="N64" s="258"/>
      <c r="O64" s="258"/>
      <c r="P64" s="255"/>
      <c r="Q64" s="250"/>
      <c r="R64" s="246"/>
      <c r="S64" s="240"/>
      <c r="T64" s="240"/>
      <c r="U64" s="240"/>
      <c r="V64" s="240"/>
      <c r="W64" s="240"/>
      <c r="X64" s="240"/>
      <c r="Y64" s="240"/>
      <c r="Z64" s="240"/>
      <c r="AA64" s="240"/>
      <c r="AB64" s="240"/>
      <c r="AC64" s="240"/>
      <c r="AD64" s="240"/>
    </row>
    <row r="65" spans="1:30" x14ac:dyDescent="0.25">
      <c r="A65" s="239"/>
      <c r="B65" s="259"/>
      <c r="C65" s="260"/>
      <c r="D65" s="261">
        <f>D58+D60</f>
        <v>1.2951295129512954E-2</v>
      </c>
      <c r="E65" s="261">
        <f t="shared" ref="E65:O65" si="5">E58+E60</f>
        <v>1.2951295129512954E-2</v>
      </c>
      <c r="F65" s="261">
        <f t="shared" si="5"/>
        <v>1.2607760776077611E-2</v>
      </c>
      <c r="G65" s="261">
        <f t="shared" si="5"/>
        <v>0</v>
      </c>
      <c r="H65" s="261">
        <f t="shared" si="5"/>
        <v>0</v>
      </c>
      <c r="I65" s="261">
        <f t="shared" si="5"/>
        <v>0</v>
      </c>
      <c r="J65" s="261">
        <f t="shared" si="5"/>
        <v>0</v>
      </c>
      <c r="K65" s="261">
        <f t="shared" si="5"/>
        <v>0</v>
      </c>
      <c r="L65" s="261">
        <f t="shared" si="5"/>
        <v>0</v>
      </c>
      <c r="M65" s="261">
        <f t="shared" si="5"/>
        <v>0</v>
      </c>
      <c r="N65" s="261">
        <f t="shared" si="5"/>
        <v>0</v>
      </c>
      <c r="O65" s="261">
        <f t="shared" si="5"/>
        <v>0</v>
      </c>
      <c r="P65" s="261">
        <f>P58+P60+P62</f>
        <v>3.8510351035103516E-2</v>
      </c>
      <c r="Q65" s="239"/>
      <c r="R65" s="246">
        <f t="shared" si="3"/>
        <v>3.8510351035103516E-2</v>
      </c>
      <c r="S65" s="240"/>
      <c r="T65" s="240"/>
      <c r="U65" s="240"/>
      <c r="V65" s="240"/>
      <c r="W65" s="240"/>
      <c r="X65" s="240"/>
      <c r="Y65" s="240"/>
      <c r="Z65" s="240"/>
      <c r="AA65" s="240"/>
      <c r="AB65" s="240"/>
      <c r="AC65" s="240"/>
      <c r="AD65" s="240"/>
    </row>
    <row r="66" spans="1:30" x14ac:dyDescent="0.25">
      <c r="A66" s="239"/>
      <c r="B66" s="262"/>
      <c r="C66" s="263" t="s">
        <v>65</v>
      </c>
      <c r="D66" s="264">
        <f>D65*$W$17/$B$34</f>
        <v>2.1585491882521592E-2</v>
      </c>
      <c r="E66" s="264">
        <f t="shared" ref="E66:O66" si="6">E65*$W$17/$B$34</f>
        <v>2.1585491882521592E-2</v>
      </c>
      <c r="F66" s="264">
        <f t="shared" si="6"/>
        <v>2.1012934626796018E-2</v>
      </c>
      <c r="G66" s="264">
        <f t="shared" si="6"/>
        <v>0</v>
      </c>
      <c r="H66" s="264">
        <f t="shared" si="6"/>
        <v>0</v>
      </c>
      <c r="I66" s="264">
        <f t="shared" si="6"/>
        <v>0</v>
      </c>
      <c r="J66" s="264">
        <f t="shared" si="6"/>
        <v>0</v>
      </c>
      <c r="K66" s="264">
        <f t="shared" si="6"/>
        <v>0</v>
      </c>
      <c r="L66" s="264">
        <f t="shared" si="6"/>
        <v>0</v>
      </c>
      <c r="M66" s="264">
        <f t="shared" si="6"/>
        <v>0</v>
      </c>
      <c r="N66" s="264">
        <f t="shared" si="6"/>
        <v>0</v>
      </c>
      <c r="O66" s="264">
        <f t="shared" si="6"/>
        <v>0</v>
      </c>
      <c r="P66" s="265">
        <f>SUM(D66:O66)</f>
        <v>6.4183918391839206E-2</v>
      </c>
      <c r="Q66" s="266"/>
      <c r="R66" s="239"/>
      <c r="S66" s="240"/>
      <c r="T66" s="240"/>
      <c r="U66" s="240"/>
      <c r="V66" s="240"/>
      <c r="W66" s="240"/>
      <c r="X66" s="240"/>
      <c r="Y66" s="240"/>
      <c r="Z66" s="240"/>
      <c r="AA66" s="240"/>
      <c r="AB66" s="240"/>
      <c r="AC66" s="240"/>
      <c r="AD66" s="240"/>
    </row>
    <row r="67" spans="1:30" x14ac:dyDescent="0.25">
      <c r="A67" s="266"/>
      <c r="B67" s="267"/>
      <c r="C67" s="267"/>
      <c r="D67" s="267"/>
      <c r="E67" s="267"/>
      <c r="F67" s="267"/>
      <c r="G67" s="267"/>
      <c r="H67" s="267"/>
      <c r="I67" s="267"/>
      <c r="J67" s="267"/>
      <c r="K67" s="267"/>
      <c r="L67" s="267"/>
      <c r="M67" s="267"/>
      <c r="N67" s="267"/>
      <c r="O67" s="267"/>
      <c r="P67" s="267"/>
      <c r="Q67" s="266"/>
      <c r="R67" s="266"/>
      <c r="S67" s="240"/>
      <c r="T67" s="240"/>
      <c r="U67" s="240"/>
      <c r="V67" s="240"/>
      <c r="W67" s="240"/>
      <c r="X67" s="240"/>
      <c r="Y67" s="240"/>
      <c r="Z67" s="240"/>
      <c r="AA67" s="240"/>
      <c r="AB67" s="240"/>
      <c r="AC67" s="240"/>
      <c r="AD67" s="240"/>
    </row>
    <row r="68" spans="1:30" x14ac:dyDescent="0.25">
      <c r="A68" s="245"/>
      <c r="B68" s="108"/>
      <c r="C68" s="108"/>
      <c r="D68" s="261">
        <f>+D57+D59</f>
        <v>1.2951295129512954E-2</v>
      </c>
      <c r="E68" s="261">
        <f t="shared" ref="E68:O68" si="7">+E57+E59</f>
        <v>1.2951295129512954E-2</v>
      </c>
      <c r="F68" s="261">
        <f t="shared" si="7"/>
        <v>1.2607760776077611E-2</v>
      </c>
      <c r="G68" s="261">
        <f t="shared" si="7"/>
        <v>1.2607760776077611E-2</v>
      </c>
      <c r="H68" s="261">
        <f t="shared" si="7"/>
        <v>1.2607760776077611E-2</v>
      </c>
      <c r="I68" s="261">
        <f t="shared" si="7"/>
        <v>1.2607760776077611E-2</v>
      </c>
      <c r="J68" s="261">
        <f t="shared" si="7"/>
        <v>1.2607760776077611E-2</v>
      </c>
      <c r="K68" s="261">
        <f t="shared" si="7"/>
        <v>1.2607760776077611E-2</v>
      </c>
      <c r="L68" s="261">
        <f t="shared" si="7"/>
        <v>1.2607760776077611E-2</v>
      </c>
      <c r="M68" s="261">
        <f t="shared" si="7"/>
        <v>1.2607760776077611E-2</v>
      </c>
      <c r="N68" s="261">
        <f t="shared" si="7"/>
        <v>1.2607760776077611E-2</v>
      </c>
      <c r="O68" s="261">
        <f t="shared" si="7"/>
        <v>1.0627562756275631E-2</v>
      </c>
      <c r="P68" s="261">
        <f>+P57+P59+P61</f>
        <v>0.15000000000000002</v>
      </c>
      <c r="Q68" s="245"/>
      <c r="R68" s="245"/>
      <c r="S68" s="240"/>
      <c r="T68" s="240"/>
      <c r="U68" s="240"/>
      <c r="V68" s="240"/>
      <c r="W68" s="240"/>
      <c r="X68" s="240"/>
      <c r="Y68" s="240"/>
      <c r="Z68" s="240"/>
      <c r="AA68" s="240"/>
      <c r="AB68" s="240"/>
      <c r="AC68" s="240"/>
      <c r="AD68" s="240"/>
    </row>
    <row r="69" spans="1:30" x14ac:dyDescent="0.25">
      <c r="A69" s="245"/>
      <c r="B69" s="108"/>
      <c r="C69" s="263" t="s">
        <v>64</v>
      </c>
      <c r="D69" s="264">
        <f>D68*$W$17/$B$34</f>
        <v>2.1585491882521592E-2</v>
      </c>
      <c r="E69" s="264">
        <f t="shared" ref="E69:O69" si="8">E68*$W$17/$B$34</f>
        <v>2.1585491882521592E-2</v>
      </c>
      <c r="F69" s="264">
        <f t="shared" si="8"/>
        <v>2.1012934626796018E-2</v>
      </c>
      <c r="G69" s="264">
        <f t="shared" si="8"/>
        <v>2.1012934626796018E-2</v>
      </c>
      <c r="H69" s="264">
        <f t="shared" si="8"/>
        <v>2.1012934626796018E-2</v>
      </c>
      <c r="I69" s="264">
        <f t="shared" si="8"/>
        <v>2.1012934626796018E-2</v>
      </c>
      <c r="J69" s="264">
        <f t="shared" si="8"/>
        <v>2.1012934626796018E-2</v>
      </c>
      <c r="K69" s="264">
        <f t="shared" si="8"/>
        <v>2.1012934626796018E-2</v>
      </c>
      <c r="L69" s="264">
        <f t="shared" si="8"/>
        <v>2.1012934626796018E-2</v>
      </c>
      <c r="M69" s="264">
        <f t="shared" si="8"/>
        <v>2.1012934626796018E-2</v>
      </c>
      <c r="N69" s="264">
        <f t="shared" si="8"/>
        <v>2.1012934626796018E-2</v>
      </c>
      <c r="O69" s="264">
        <f t="shared" si="8"/>
        <v>1.771260459379272E-2</v>
      </c>
      <c r="P69" s="265">
        <f>SUM(D69:O69)</f>
        <v>0.25000000000000006</v>
      </c>
      <c r="Q69" s="245"/>
      <c r="R69" s="245"/>
      <c r="S69" s="240"/>
      <c r="T69" s="240"/>
      <c r="U69" s="240"/>
      <c r="V69" s="240"/>
      <c r="W69" s="240"/>
      <c r="X69" s="240"/>
      <c r="Y69" s="240"/>
      <c r="Z69" s="240"/>
      <c r="AA69" s="240"/>
      <c r="AB69" s="240"/>
      <c r="AC69" s="240"/>
      <c r="AD69" s="240"/>
    </row>
    <row r="70" spans="1:30" x14ac:dyDescent="0.25">
      <c r="A70" s="240"/>
      <c r="Q70" s="240"/>
      <c r="R70" s="240"/>
      <c r="S70" s="240"/>
      <c r="T70" s="240"/>
      <c r="U70" s="240"/>
      <c r="V70" s="240"/>
      <c r="W70" s="240"/>
      <c r="X70" s="240"/>
      <c r="Y70" s="240"/>
      <c r="Z70" s="240"/>
      <c r="AA70" s="240"/>
      <c r="AB70" s="240"/>
      <c r="AC70" s="240"/>
      <c r="AD70" s="240"/>
    </row>
    <row r="71" spans="1:30" x14ac:dyDescent="0.25">
      <c r="A71" s="240"/>
      <c r="Q71" s="240"/>
      <c r="R71" s="240"/>
      <c r="S71" s="240"/>
      <c r="T71" s="240"/>
      <c r="U71" s="240"/>
      <c r="V71" s="240"/>
      <c r="W71" s="240"/>
      <c r="X71" s="240"/>
      <c r="Y71" s="240"/>
      <c r="Z71" s="240"/>
      <c r="AA71" s="240"/>
      <c r="AB71" s="240"/>
      <c r="AC71" s="240"/>
      <c r="AD71" s="240"/>
    </row>
    <row r="72" spans="1:30" x14ac:dyDescent="0.25">
      <c r="A72" s="240"/>
      <c r="Q72" s="240"/>
      <c r="R72" s="240"/>
      <c r="S72" s="240"/>
      <c r="T72" s="240"/>
      <c r="U72" s="240"/>
      <c r="V72" s="240"/>
      <c r="W72" s="240"/>
      <c r="X72" s="240"/>
      <c r="Y72" s="240"/>
      <c r="Z72" s="240"/>
      <c r="AA72" s="240"/>
      <c r="AB72" s="240"/>
      <c r="AC72" s="240"/>
      <c r="AD72" s="240"/>
    </row>
    <row r="73" spans="1:30" x14ac:dyDescent="0.25">
      <c r="A73" s="240"/>
      <c r="Q73" s="240"/>
      <c r="R73" s="240"/>
      <c r="S73" s="240"/>
      <c r="T73" s="240"/>
      <c r="U73" s="240"/>
      <c r="V73" s="240"/>
      <c r="W73" s="240"/>
      <c r="X73" s="240"/>
      <c r="Y73" s="240"/>
      <c r="Z73" s="240"/>
      <c r="AA73" s="240"/>
      <c r="AB73" s="240"/>
      <c r="AC73" s="240"/>
      <c r="AD73" s="240"/>
    </row>
    <row r="74" spans="1:30" x14ac:dyDescent="0.25">
      <c r="A74" s="240"/>
      <c r="Q74" s="240"/>
      <c r="R74" s="240"/>
      <c r="S74" s="240"/>
      <c r="T74" s="240"/>
      <c r="U74" s="240"/>
      <c r="V74" s="240"/>
      <c r="W74" s="240"/>
      <c r="X74" s="240"/>
      <c r="Y74" s="240"/>
      <c r="Z74" s="240"/>
      <c r="AA74" s="240"/>
      <c r="AB74" s="240"/>
      <c r="AC74" s="240"/>
      <c r="AD74" s="240"/>
    </row>
    <row r="75" spans="1:30" x14ac:dyDescent="0.25">
      <c r="A75" s="240"/>
      <c r="Q75" s="240"/>
      <c r="R75" s="240"/>
      <c r="S75" s="240"/>
      <c r="T75" s="240"/>
      <c r="U75" s="240"/>
      <c r="V75" s="240"/>
      <c r="W75" s="240"/>
      <c r="X75" s="240"/>
      <c r="Y75" s="240"/>
      <c r="Z75" s="240"/>
      <c r="AA75" s="240"/>
      <c r="AB75" s="240"/>
      <c r="AC75" s="240"/>
      <c r="AD75" s="240"/>
    </row>
    <row r="76" spans="1:30" x14ac:dyDescent="0.25">
      <c r="A76" s="240"/>
      <c r="Q76" s="240"/>
      <c r="R76" s="240"/>
      <c r="S76" s="240"/>
      <c r="T76" s="240"/>
      <c r="U76" s="240"/>
      <c r="V76" s="240"/>
      <c r="W76" s="240"/>
      <c r="X76" s="240"/>
      <c r="Y76" s="240"/>
      <c r="Z76" s="240"/>
      <c r="AA76" s="240"/>
      <c r="AB76" s="240"/>
      <c r="AC76" s="240"/>
      <c r="AD76" s="240"/>
    </row>
    <row r="77" spans="1:30" x14ac:dyDescent="0.25">
      <c r="A77" s="240"/>
      <c r="Q77" s="240"/>
      <c r="R77" s="240"/>
      <c r="S77" s="240"/>
      <c r="T77" s="240"/>
      <c r="U77" s="240"/>
      <c r="V77" s="240"/>
      <c r="W77" s="240"/>
      <c r="X77" s="240"/>
      <c r="Y77" s="240"/>
      <c r="Z77" s="240"/>
      <c r="AA77" s="240"/>
      <c r="AB77" s="240"/>
      <c r="AC77" s="240"/>
      <c r="AD77" s="240"/>
    </row>
  </sheetData>
  <mergeCells count="85">
    <mergeCell ref="Q34:S35"/>
    <mergeCell ref="T34:V35"/>
    <mergeCell ref="A40:A41"/>
    <mergeCell ref="B40:B41"/>
    <mergeCell ref="Q40:AD41"/>
    <mergeCell ref="A36:A37"/>
    <mergeCell ref="B36:B37"/>
    <mergeCell ref="C36:P36"/>
    <mergeCell ref="Q36:AD36"/>
    <mergeCell ref="Q37:AD37"/>
    <mergeCell ref="A38:A39"/>
    <mergeCell ref="B38:B39"/>
    <mergeCell ref="Q38:AD39"/>
    <mergeCell ref="W34:Z35"/>
    <mergeCell ref="AA34:AD35"/>
    <mergeCell ref="A34:A35"/>
    <mergeCell ref="Q32:AD32"/>
    <mergeCell ref="Q33:S33"/>
    <mergeCell ref="T33:V33"/>
    <mergeCell ref="W33:Z33"/>
    <mergeCell ref="AA33:AD33"/>
    <mergeCell ref="B34:B35"/>
    <mergeCell ref="A24:B24"/>
    <mergeCell ref="A25:B25"/>
    <mergeCell ref="A27:AD27"/>
    <mergeCell ref="A28:A29"/>
    <mergeCell ref="B28:C29"/>
    <mergeCell ref="D28:O28"/>
    <mergeCell ref="P28:P29"/>
    <mergeCell ref="Q28:AD29"/>
    <mergeCell ref="B30:C30"/>
    <mergeCell ref="Q30:AD30"/>
    <mergeCell ref="A31:AD31"/>
    <mergeCell ref="A32:A33"/>
    <mergeCell ref="B32:B33"/>
    <mergeCell ref="C32:C33"/>
    <mergeCell ref="D32:P32"/>
    <mergeCell ref="A19:AD19"/>
    <mergeCell ref="C20:P20"/>
    <mergeCell ref="Q20:AD20"/>
    <mergeCell ref="A22:B22"/>
    <mergeCell ref="A23:B23"/>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1:B13"/>
    <mergeCell ref="C11:AD13"/>
    <mergeCell ref="A7:B9"/>
    <mergeCell ref="C7:C9"/>
    <mergeCell ref="D7:H9"/>
    <mergeCell ref="I7:J9"/>
    <mergeCell ref="K7:L9"/>
    <mergeCell ref="M7:N7"/>
    <mergeCell ref="M9:N9"/>
    <mergeCell ref="O9:P9"/>
    <mergeCell ref="AB1:AD1"/>
    <mergeCell ref="B2:AA2"/>
    <mergeCell ref="AB2:AD2"/>
    <mergeCell ref="B3:AA4"/>
    <mergeCell ref="AB3:AD3"/>
    <mergeCell ref="AB4:AD4"/>
    <mergeCell ref="A1:A4"/>
    <mergeCell ref="B1:AA1"/>
    <mergeCell ref="O7:P7"/>
    <mergeCell ref="M8:N8"/>
    <mergeCell ref="O8:P8"/>
    <mergeCell ref="A61:A62"/>
    <mergeCell ref="B61:B62"/>
    <mergeCell ref="A55:A56"/>
    <mergeCell ref="B55:B56"/>
    <mergeCell ref="C55:P55"/>
    <mergeCell ref="A57:A58"/>
    <mergeCell ref="B57:B58"/>
    <mergeCell ref="A59:A60"/>
    <mergeCell ref="B59:B60"/>
  </mergeCells>
  <dataValidations count="3">
    <dataValidation type="list" allowBlank="1" showInputMessage="1" showErrorMessage="1" sqref="C7:C9" xr:uid="{00000000-0002-0000-0600-000000000000}">
      <formula1>$C$21:$N$21</formula1>
    </dataValidation>
    <dataValidation type="textLength" operator="lessThanOrEqual" allowBlank="1" showInputMessage="1" showErrorMessage="1" errorTitle="Máximo 2.000 caracteres" error="Máximo 2.000 caracteres" promptTitle="2.000 caracteres" sqref="Q30:AD30" xr:uid="{00000000-0002-0000-0600-000001000000}">
      <formula1>2000</formula1>
    </dataValidation>
    <dataValidation type="textLength" operator="lessThanOrEqual" allowBlank="1" showInputMessage="1" showErrorMessage="1" errorTitle="Máximo 2.000 caracteres" error="Máximo 2.000 caracteres" sqref="AA34 Q34 Q38:AD41" xr:uid="{00000000-0002-0000-0600-000002000000}">
      <formula1>2000</formula1>
    </dataValidation>
  </dataValidations>
  <pageMargins left="0.23622047244094491" right="0.23622047244094491" top="0.74803149606299213" bottom="0.74803149606299213" header="0.31496062992125984" footer="0.31496062992125984"/>
  <pageSetup paperSize="119" scale="35" orientation="landscape" r:id="rId1"/>
  <customProperties>
    <customPr name="_pios_id" r:id="rId2"/>
  </customProperties>
  <ignoredErrors>
    <ignoredError sqref="W24 Z24" formula="1"/>
  </ignoredErrors>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AM40"/>
  <sheetViews>
    <sheetView topLeftCell="H9" zoomScaleNormal="106" workbookViewId="0">
      <selection activeCell="S13" sqref="S13:T13"/>
    </sheetView>
  </sheetViews>
  <sheetFormatPr baseColWidth="10" defaultColWidth="10.85546875" defaultRowHeight="15" x14ac:dyDescent="0.25"/>
  <cols>
    <col min="1" max="1" width="38.42578125" style="50" customWidth="1"/>
    <col min="2" max="2" width="15.42578125" style="50" customWidth="1"/>
    <col min="3" max="3" width="16.28515625" style="50" customWidth="1"/>
    <col min="4" max="6" width="7" style="50" customWidth="1"/>
    <col min="7" max="15" width="7.7109375" style="50" customWidth="1"/>
    <col min="16" max="16" width="13.28515625" style="50" customWidth="1"/>
    <col min="17" max="17" width="10.85546875" style="50"/>
    <col min="18" max="18" width="7.42578125" style="50" customWidth="1"/>
    <col min="19" max="20" width="10.85546875" style="50"/>
    <col min="21" max="21" width="13" style="50" customWidth="1"/>
    <col min="22" max="22" width="7.85546875" style="50" customWidth="1"/>
    <col min="23" max="28" width="12.140625" style="50" customWidth="1"/>
    <col min="29" max="29" width="6.28515625" style="50" bestFit="1" customWidth="1"/>
    <col min="30" max="30" width="22.85546875" style="50" customWidth="1"/>
    <col min="31" max="31" width="18.42578125" style="50" bestFit="1" customWidth="1"/>
    <col min="32" max="32" width="8.42578125" style="50" customWidth="1"/>
    <col min="33" max="33" width="18.42578125" style="50" bestFit="1" customWidth="1"/>
    <col min="34" max="34" width="5.7109375" style="50" customWidth="1"/>
    <col min="35" max="35" width="18.42578125" style="50" bestFit="1" customWidth="1"/>
    <col min="36" max="36" width="4.7109375" style="50" customWidth="1"/>
    <col min="37" max="37" width="23" style="50" bestFit="1" customWidth="1"/>
    <col min="38" max="38" width="10.85546875" style="50"/>
    <col min="39" max="39" width="18.42578125" style="50" bestFit="1" customWidth="1"/>
    <col min="40" max="40" width="16.140625" style="50" customWidth="1"/>
    <col min="41" max="16384" width="10.85546875" style="50"/>
  </cols>
  <sheetData>
    <row r="1" spans="1:28" ht="32.25" customHeight="1" x14ac:dyDescent="0.25">
      <c r="A1" s="718"/>
      <c r="B1" s="692" t="s">
        <v>0</v>
      </c>
      <c r="C1" s="693"/>
      <c r="D1" s="693"/>
      <c r="E1" s="693"/>
      <c r="F1" s="693"/>
      <c r="G1" s="693"/>
      <c r="H1" s="693"/>
      <c r="I1" s="693"/>
      <c r="J1" s="693"/>
      <c r="K1" s="693"/>
      <c r="L1" s="693"/>
      <c r="M1" s="693"/>
      <c r="N1" s="693"/>
      <c r="O1" s="693"/>
      <c r="P1" s="693"/>
      <c r="Q1" s="693"/>
      <c r="R1" s="693"/>
      <c r="S1" s="693"/>
      <c r="T1" s="693"/>
      <c r="U1" s="693"/>
      <c r="V1" s="693"/>
      <c r="W1" s="693"/>
      <c r="X1" s="693"/>
      <c r="Y1" s="694"/>
      <c r="Z1" s="689" t="s">
        <v>127</v>
      </c>
      <c r="AA1" s="690"/>
      <c r="AB1" s="691"/>
    </row>
    <row r="2" spans="1:28" ht="30.75" customHeight="1" x14ac:dyDescent="0.25">
      <c r="A2" s="719"/>
      <c r="B2" s="707" t="s">
        <v>2</v>
      </c>
      <c r="C2" s="708"/>
      <c r="D2" s="708"/>
      <c r="E2" s="708"/>
      <c r="F2" s="708"/>
      <c r="G2" s="708"/>
      <c r="H2" s="708"/>
      <c r="I2" s="708"/>
      <c r="J2" s="708"/>
      <c r="K2" s="708"/>
      <c r="L2" s="708"/>
      <c r="M2" s="708"/>
      <c r="N2" s="708"/>
      <c r="O2" s="708"/>
      <c r="P2" s="708"/>
      <c r="Q2" s="708"/>
      <c r="R2" s="708"/>
      <c r="S2" s="708"/>
      <c r="T2" s="708"/>
      <c r="U2" s="708"/>
      <c r="V2" s="708"/>
      <c r="W2" s="708"/>
      <c r="X2" s="708"/>
      <c r="Y2" s="709"/>
      <c r="Z2" s="695" t="s">
        <v>128</v>
      </c>
      <c r="AA2" s="696"/>
      <c r="AB2" s="697"/>
    </row>
    <row r="3" spans="1:28" ht="24" customHeight="1" x14ac:dyDescent="0.25">
      <c r="A3" s="719"/>
      <c r="B3" s="496" t="s">
        <v>4</v>
      </c>
      <c r="C3" s="497"/>
      <c r="D3" s="497"/>
      <c r="E3" s="497"/>
      <c r="F3" s="497"/>
      <c r="G3" s="497"/>
      <c r="H3" s="497"/>
      <c r="I3" s="497"/>
      <c r="J3" s="497"/>
      <c r="K3" s="497"/>
      <c r="L3" s="497"/>
      <c r="M3" s="497"/>
      <c r="N3" s="497"/>
      <c r="O3" s="497"/>
      <c r="P3" s="497"/>
      <c r="Q3" s="497"/>
      <c r="R3" s="497"/>
      <c r="S3" s="497"/>
      <c r="T3" s="497"/>
      <c r="U3" s="497"/>
      <c r="V3" s="497"/>
      <c r="W3" s="497"/>
      <c r="X3" s="497"/>
      <c r="Y3" s="498"/>
      <c r="Z3" s="695" t="s">
        <v>129</v>
      </c>
      <c r="AA3" s="696"/>
      <c r="AB3" s="697"/>
    </row>
    <row r="4" spans="1:28" ht="15.75" customHeight="1" thickBot="1" x14ac:dyDescent="0.3">
      <c r="A4" s="720"/>
      <c r="B4" s="499"/>
      <c r="C4" s="500"/>
      <c r="D4" s="500"/>
      <c r="E4" s="500"/>
      <c r="F4" s="500"/>
      <c r="G4" s="500"/>
      <c r="H4" s="500"/>
      <c r="I4" s="500"/>
      <c r="J4" s="500"/>
      <c r="K4" s="500"/>
      <c r="L4" s="500"/>
      <c r="M4" s="500"/>
      <c r="N4" s="500"/>
      <c r="O4" s="500"/>
      <c r="P4" s="500"/>
      <c r="Q4" s="500"/>
      <c r="R4" s="500"/>
      <c r="S4" s="500"/>
      <c r="T4" s="500"/>
      <c r="U4" s="500"/>
      <c r="V4" s="500"/>
      <c r="W4" s="500"/>
      <c r="X4" s="500"/>
      <c r="Y4" s="501"/>
      <c r="Z4" s="721" t="s">
        <v>6</v>
      </c>
      <c r="AA4" s="722"/>
      <c r="AB4" s="723"/>
    </row>
    <row r="5" spans="1:28" ht="9" customHeight="1" thickBot="1" x14ac:dyDescent="0.3">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x14ac:dyDescent="0.3">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x14ac:dyDescent="0.25">
      <c r="A7" s="478" t="s">
        <v>15</v>
      </c>
      <c r="B7" s="479"/>
      <c r="C7" s="493"/>
      <c r="D7" s="494"/>
      <c r="E7" s="494"/>
      <c r="F7" s="494"/>
      <c r="G7" s="494"/>
      <c r="H7" s="494"/>
      <c r="I7" s="494"/>
      <c r="J7" s="494"/>
      <c r="K7" s="495"/>
      <c r="L7" s="62"/>
      <c r="M7" s="63"/>
      <c r="N7" s="63"/>
      <c r="O7" s="63"/>
      <c r="P7" s="63"/>
      <c r="Q7" s="64"/>
      <c r="R7" s="699" t="s">
        <v>9</v>
      </c>
      <c r="S7" s="724"/>
      <c r="T7" s="700"/>
      <c r="U7" s="698" t="s">
        <v>130</v>
      </c>
      <c r="V7" s="488"/>
      <c r="W7" s="699" t="s">
        <v>10</v>
      </c>
      <c r="X7" s="700"/>
      <c r="Y7" s="518" t="s">
        <v>11</v>
      </c>
      <c r="Z7" s="519"/>
      <c r="AA7" s="520"/>
      <c r="AB7" s="521"/>
    </row>
    <row r="8" spans="1:28" ht="15" customHeight="1" x14ac:dyDescent="0.25">
      <c r="A8" s="480"/>
      <c r="B8" s="481"/>
      <c r="C8" s="496"/>
      <c r="D8" s="497"/>
      <c r="E8" s="497"/>
      <c r="F8" s="497"/>
      <c r="G8" s="497"/>
      <c r="H8" s="497"/>
      <c r="I8" s="497"/>
      <c r="J8" s="497"/>
      <c r="K8" s="498"/>
      <c r="L8" s="62"/>
      <c r="M8" s="63"/>
      <c r="N8" s="63"/>
      <c r="O8" s="63"/>
      <c r="P8" s="63"/>
      <c r="Q8" s="64"/>
      <c r="R8" s="469"/>
      <c r="S8" s="470"/>
      <c r="T8" s="471"/>
      <c r="U8" s="489"/>
      <c r="V8" s="490"/>
      <c r="W8" s="469"/>
      <c r="X8" s="471"/>
      <c r="Y8" s="522" t="s">
        <v>12</v>
      </c>
      <c r="Z8" s="523"/>
      <c r="AA8" s="524"/>
      <c r="AB8" s="525"/>
    </row>
    <row r="9" spans="1:28" ht="15" customHeight="1" thickBot="1" x14ac:dyDescent="0.3">
      <c r="A9" s="482"/>
      <c r="B9" s="483"/>
      <c r="C9" s="499"/>
      <c r="D9" s="500"/>
      <c r="E9" s="500"/>
      <c r="F9" s="500"/>
      <c r="G9" s="500"/>
      <c r="H9" s="500"/>
      <c r="I9" s="500"/>
      <c r="J9" s="500"/>
      <c r="K9" s="501"/>
      <c r="L9" s="62"/>
      <c r="M9" s="63"/>
      <c r="N9" s="63"/>
      <c r="O9" s="63"/>
      <c r="P9" s="63"/>
      <c r="Q9" s="64"/>
      <c r="R9" s="472"/>
      <c r="S9" s="473"/>
      <c r="T9" s="474"/>
      <c r="U9" s="491"/>
      <c r="V9" s="492"/>
      <c r="W9" s="472"/>
      <c r="X9" s="474"/>
      <c r="Y9" s="514" t="s">
        <v>13</v>
      </c>
      <c r="Z9" s="515"/>
      <c r="AA9" s="516"/>
      <c r="AB9" s="517"/>
    </row>
    <row r="10" spans="1:28" ht="9" customHeight="1" thickBot="1" x14ac:dyDescent="0.3">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x14ac:dyDescent="0.3">
      <c r="A11" s="453" t="s">
        <v>17</v>
      </c>
      <c r="B11" s="454"/>
      <c r="C11" s="466"/>
      <c r="D11" s="467"/>
      <c r="E11" s="467"/>
      <c r="F11" s="467"/>
      <c r="G11" s="467"/>
      <c r="H11" s="467"/>
      <c r="I11" s="467"/>
      <c r="J11" s="467"/>
      <c r="K11" s="468"/>
      <c r="L11" s="72"/>
      <c r="M11" s="458" t="s">
        <v>19</v>
      </c>
      <c r="N11" s="459"/>
      <c r="O11" s="459"/>
      <c r="P11" s="459"/>
      <c r="Q11" s="460"/>
      <c r="R11" s="461"/>
      <c r="S11" s="462"/>
      <c r="T11" s="462"/>
      <c r="U11" s="462"/>
      <c r="V11" s="463"/>
      <c r="W11" s="458" t="s">
        <v>21</v>
      </c>
      <c r="X11" s="460"/>
      <c r="Y11" s="449"/>
      <c r="Z11" s="450"/>
      <c r="AA11" s="450"/>
      <c r="AB11" s="451"/>
    </row>
    <row r="12" spans="1:28" ht="9" customHeight="1" thickBot="1" x14ac:dyDescent="0.3">
      <c r="A12" s="59"/>
      <c r="B12" s="54"/>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73"/>
      <c r="AB12" s="74"/>
    </row>
    <row r="13" spans="1:28" s="76" customFormat="1" ht="37.5" customHeight="1" thickBot="1" x14ac:dyDescent="0.3">
      <c r="A13" s="453" t="s">
        <v>23</v>
      </c>
      <c r="B13" s="454"/>
      <c r="C13" s="455"/>
      <c r="D13" s="456"/>
      <c r="E13" s="456"/>
      <c r="F13" s="456"/>
      <c r="G13" s="456"/>
      <c r="H13" s="456"/>
      <c r="I13" s="456"/>
      <c r="J13" s="456"/>
      <c r="K13" s="456"/>
      <c r="L13" s="456"/>
      <c r="M13" s="456"/>
      <c r="N13" s="456"/>
      <c r="O13" s="456"/>
      <c r="P13" s="456"/>
      <c r="Q13" s="457"/>
      <c r="R13" s="54"/>
      <c r="S13" s="663" t="s">
        <v>131</v>
      </c>
      <c r="T13" s="663"/>
      <c r="U13" s="75"/>
      <c r="V13" s="733" t="s">
        <v>26</v>
      </c>
      <c r="W13" s="663"/>
      <c r="X13" s="663"/>
      <c r="Y13" s="663"/>
      <c r="Z13" s="54"/>
      <c r="AA13" s="476"/>
      <c r="AB13" s="477"/>
    </row>
    <row r="14" spans="1:28" ht="16.5" customHeight="1" thickBot="1" x14ac:dyDescent="0.3">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x14ac:dyDescent="0.3">
      <c r="A15" s="478" t="s">
        <v>7</v>
      </c>
      <c r="B15" s="479"/>
      <c r="C15" s="716" t="s">
        <v>132</v>
      </c>
      <c r="D15" s="80"/>
      <c r="E15" s="80"/>
      <c r="F15" s="80"/>
      <c r="G15" s="80"/>
      <c r="H15" s="80"/>
      <c r="I15" s="80"/>
      <c r="J15" s="70"/>
      <c r="K15" s="81"/>
      <c r="L15" s="70"/>
      <c r="M15" s="60"/>
      <c r="N15" s="60"/>
      <c r="O15" s="60"/>
      <c r="P15" s="60"/>
      <c r="Q15" s="734" t="s">
        <v>27</v>
      </c>
      <c r="R15" s="735"/>
      <c r="S15" s="735"/>
      <c r="T15" s="735"/>
      <c r="U15" s="735"/>
      <c r="V15" s="735"/>
      <c r="W15" s="735"/>
      <c r="X15" s="735"/>
      <c r="Y15" s="735"/>
      <c r="Z15" s="735"/>
      <c r="AA15" s="735"/>
      <c r="AB15" s="736"/>
    </row>
    <row r="16" spans="1:28" ht="35.25" customHeight="1" thickBot="1" x14ac:dyDescent="0.3">
      <c r="A16" s="482"/>
      <c r="B16" s="483"/>
      <c r="C16" s="717"/>
      <c r="D16" s="80"/>
      <c r="E16" s="80"/>
      <c r="F16" s="80"/>
      <c r="G16" s="80"/>
      <c r="H16" s="80"/>
      <c r="I16" s="80"/>
      <c r="J16" s="70"/>
      <c r="K16" s="70"/>
      <c r="L16" s="70"/>
      <c r="M16" s="60"/>
      <c r="N16" s="60"/>
      <c r="O16" s="60"/>
      <c r="P16" s="60"/>
      <c r="Q16" s="675" t="s">
        <v>133</v>
      </c>
      <c r="R16" s="676"/>
      <c r="S16" s="676"/>
      <c r="T16" s="676"/>
      <c r="U16" s="676"/>
      <c r="V16" s="677"/>
      <c r="W16" s="678" t="s">
        <v>134</v>
      </c>
      <c r="X16" s="676"/>
      <c r="Y16" s="676"/>
      <c r="Z16" s="676"/>
      <c r="AA16" s="676"/>
      <c r="AB16" s="679"/>
    </row>
    <row r="17" spans="1:39" ht="27" customHeight="1" x14ac:dyDescent="0.25">
      <c r="A17" s="82"/>
      <c r="B17" s="60"/>
      <c r="C17" s="60"/>
      <c r="D17" s="80"/>
      <c r="E17" s="80"/>
      <c r="F17" s="80"/>
      <c r="G17" s="80"/>
      <c r="H17" s="80"/>
      <c r="I17" s="80"/>
      <c r="J17" s="80"/>
      <c r="K17" s="80"/>
      <c r="L17" s="80"/>
      <c r="M17" s="60"/>
      <c r="N17" s="60"/>
      <c r="O17" s="60"/>
      <c r="P17" s="60"/>
      <c r="Q17" s="685" t="s">
        <v>135</v>
      </c>
      <c r="R17" s="686"/>
      <c r="S17" s="681"/>
      <c r="T17" s="672" t="s">
        <v>136</v>
      </c>
      <c r="U17" s="673"/>
      <c r="V17" s="674"/>
      <c r="W17" s="680" t="s">
        <v>135</v>
      </c>
      <c r="X17" s="681"/>
      <c r="Y17" s="680" t="s">
        <v>137</v>
      </c>
      <c r="Z17" s="681"/>
      <c r="AA17" s="672" t="s">
        <v>138</v>
      </c>
      <c r="AB17" s="741"/>
      <c r="AC17" s="83"/>
      <c r="AD17" s="83"/>
    </row>
    <row r="18" spans="1:39" ht="27" customHeight="1" x14ac:dyDescent="0.25">
      <c r="A18" s="82"/>
      <c r="B18" s="60"/>
      <c r="C18" s="60"/>
      <c r="D18" s="80"/>
      <c r="E18" s="80"/>
      <c r="F18" s="80"/>
      <c r="G18" s="80"/>
      <c r="H18" s="80"/>
      <c r="I18" s="80"/>
      <c r="J18" s="80"/>
      <c r="K18" s="80"/>
      <c r="L18" s="80"/>
      <c r="M18" s="60"/>
      <c r="N18" s="60"/>
      <c r="O18" s="60"/>
      <c r="P18" s="60"/>
      <c r="Q18" s="163"/>
      <c r="R18" s="164"/>
      <c r="S18" s="165"/>
      <c r="T18" s="672"/>
      <c r="U18" s="673"/>
      <c r="V18" s="674"/>
      <c r="W18" s="142"/>
      <c r="X18" s="143"/>
      <c r="Y18" s="142"/>
      <c r="Z18" s="143"/>
      <c r="AA18" s="144"/>
      <c r="AB18" s="145"/>
      <c r="AC18" s="83"/>
      <c r="AD18" s="83"/>
    </row>
    <row r="19" spans="1:39" ht="18" customHeight="1" thickBot="1" x14ac:dyDescent="0.3">
      <c r="A19" s="59"/>
      <c r="B19" s="54"/>
      <c r="C19" s="80"/>
      <c r="D19" s="80"/>
      <c r="E19" s="80"/>
      <c r="F19" s="80"/>
      <c r="G19" s="84"/>
      <c r="H19" s="84"/>
      <c r="I19" s="84"/>
      <c r="J19" s="84"/>
      <c r="K19" s="84"/>
      <c r="L19" s="84"/>
      <c r="M19" s="80"/>
      <c r="N19" s="80"/>
      <c r="O19" s="80"/>
      <c r="P19" s="80"/>
      <c r="Q19" s="682"/>
      <c r="R19" s="683"/>
      <c r="S19" s="684"/>
      <c r="T19" s="730"/>
      <c r="U19" s="683"/>
      <c r="V19" s="684"/>
      <c r="W19" s="737"/>
      <c r="X19" s="738"/>
      <c r="Y19" s="739"/>
      <c r="Z19" s="740"/>
      <c r="AA19" s="687"/>
      <c r="AB19" s="688"/>
      <c r="AC19" s="3"/>
      <c r="AD19" s="3"/>
    </row>
    <row r="20" spans="1:39" ht="7.5" customHeight="1" thickBot="1" x14ac:dyDescent="0.3">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x14ac:dyDescent="0.25">
      <c r="A21" s="444" t="s">
        <v>49</v>
      </c>
      <c r="B21" s="445"/>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7"/>
    </row>
    <row r="22" spans="1:39" ht="15" customHeight="1" x14ac:dyDescent="0.25">
      <c r="A22" s="437" t="s">
        <v>50</v>
      </c>
      <c r="B22" s="439" t="s">
        <v>51</v>
      </c>
      <c r="C22" s="440"/>
      <c r="D22" s="441" t="s">
        <v>139</v>
      </c>
      <c r="E22" s="442"/>
      <c r="F22" s="442"/>
      <c r="G22" s="442"/>
      <c r="H22" s="442"/>
      <c r="I22" s="442"/>
      <c r="J22" s="442"/>
      <c r="K22" s="442"/>
      <c r="L22" s="442"/>
      <c r="M22" s="442"/>
      <c r="N22" s="442"/>
      <c r="O22" s="415"/>
      <c r="P22" s="416" t="s">
        <v>41</v>
      </c>
      <c r="Q22" s="416" t="s">
        <v>53</v>
      </c>
      <c r="R22" s="416"/>
      <c r="S22" s="416"/>
      <c r="T22" s="416"/>
      <c r="U22" s="416"/>
      <c r="V22" s="416"/>
      <c r="W22" s="416"/>
      <c r="X22" s="416"/>
      <c r="Y22" s="416"/>
      <c r="Z22" s="416"/>
      <c r="AA22" s="416"/>
      <c r="AB22" s="443"/>
    </row>
    <row r="23" spans="1:39" ht="27" customHeight="1" x14ac:dyDescent="0.25">
      <c r="A23" s="438"/>
      <c r="B23" s="434"/>
      <c r="C23" s="388"/>
      <c r="D23" s="88" t="s">
        <v>30</v>
      </c>
      <c r="E23" s="88" t="s">
        <v>31</v>
      </c>
      <c r="F23" s="88" t="s">
        <v>8</v>
      </c>
      <c r="G23" s="88" t="s">
        <v>32</v>
      </c>
      <c r="H23" s="88" t="s">
        <v>33</v>
      </c>
      <c r="I23" s="88" t="s">
        <v>34</v>
      </c>
      <c r="J23" s="88" t="s">
        <v>35</v>
      </c>
      <c r="K23" s="88" t="s">
        <v>36</v>
      </c>
      <c r="L23" s="88" t="s">
        <v>37</v>
      </c>
      <c r="M23" s="88" t="s">
        <v>38</v>
      </c>
      <c r="N23" s="88" t="s">
        <v>39</v>
      </c>
      <c r="O23" s="88" t="s">
        <v>40</v>
      </c>
      <c r="P23" s="415"/>
      <c r="Q23" s="416"/>
      <c r="R23" s="416"/>
      <c r="S23" s="416"/>
      <c r="T23" s="416"/>
      <c r="U23" s="416"/>
      <c r="V23" s="416"/>
      <c r="W23" s="416"/>
      <c r="X23" s="416"/>
      <c r="Y23" s="416"/>
      <c r="Z23" s="416"/>
      <c r="AA23" s="416"/>
      <c r="AB23" s="443"/>
    </row>
    <row r="24" spans="1:39" ht="42" customHeight="1" thickBot="1" x14ac:dyDescent="0.3">
      <c r="A24" s="85"/>
      <c r="B24" s="423"/>
      <c r="C24" s="424"/>
      <c r="D24" s="89"/>
      <c r="E24" s="89"/>
      <c r="F24" s="89"/>
      <c r="G24" s="89"/>
      <c r="H24" s="89"/>
      <c r="I24" s="89"/>
      <c r="J24" s="89"/>
      <c r="K24" s="89"/>
      <c r="L24" s="89"/>
      <c r="M24" s="89"/>
      <c r="N24" s="89"/>
      <c r="O24" s="89"/>
      <c r="P24" s="86">
        <f>SUM(D24:O24)</f>
        <v>0</v>
      </c>
      <c r="Q24" s="425" t="s">
        <v>140</v>
      </c>
      <c r="R24" s="425"/>
      <c r="S24" s="425"/>
      <c r="T24" s="425"/>
      <c r="U24" s="425"/>
      <c r="V24" s="425"/>
      <c r="W24" s="425"/>
      <c r="X24" s="425"/>
      <c r="Y24" s="425"/>
      <c r="Z24" s="425"/>
      <c r="AA24" s="425"/>
      <c r="AB24" s="426"/>
    </row>
    <row r="25" spans="1:39" ht="21.95" customHeight="1" x14ac:dyDescent="0.25">
      <c r="A25" s="529" t="s">
        <v>55</v>
      </c>
      <c r="B25" s="53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1"/>
    </row>
    <row r="26" spans="1:39" ht="23.1" customHeight="1" x14ac:dyDescent="0.25">
      <c r="A26" s="431" t="s">
        <v>56</v>
      </c>
      <c r="B26" s="416" t="s">
        <v>57</v>
      </c>
      <c r="C26" s="416" t="s">
        <v>51</v>
      </c>
      <c r="D26" s="416" t="s">
        <v>58</v>
      </c>
      <c r="E26" s="416"/>
      <c r="F26" s="416"/>
      <c r="G26" s="416"/>
      <c r="H26" s="416"/>
      <c r="I26" s="416"/>
      <c r="J26" s="416"/>
      <c r="K26" s="416"/>
      <c r="L26" s="416"/>
      <c r="M26" s="416"/>
      <c r="N26" s="416"/>
      <c r="O26" s="416"/>
      <c r="P26" s="416"/>
      <c r="Q26" s="416" t="s">
        <v>59</v>
      </c>
      <c r="R26" s="416"/>
      <c r="S26" s="416"/>
      <c r="T26" s="416"/>
      <c r="U26" s="416"/>
      <c r="V26" s="416"/>
      <c r="W26" s="416"/>
      <c r="X26" s="416"/>
      <c r="Y26" s="416"/>
      <c r="Z26" s="416"/>
      <c r="AA26" s="416"/>
      <c r="AB26" s="443"/>
      <c r="AE26" s="87"/>
      <c r="AF26" s="87"/>
      <c r="AG26" s="87"/>
      <c r="AH26" s="87"/>
      <c r="AI26" s="87"/>
      <c r="AJ26" s="87"/>
      <c r="AK26" s="87"/>
      <c r="AL26" s="87"/>
      <c r="AM26" s="87"/>
    </row>
    <row r="27" spans="1:39" ht="23.1" customHeight="1" x14ac:dyDescent="0.25">
      <c r="A27" s="431"/>
      <c r="B27" s="416"/>
      <c r="C27" s="604"/>
      <c r="D27" s="88" t="s">
        <v>30</v>
      </c>
      <c r="E27" s="88" t="s">
        <v>31</v>
      </c>
      <c r="F27" s="88" t="s">
        <v>8</v>
      </c>
      <c r="G27" s="88" t="s">
        <v>32</v>
      </c>
      <c r="H27" s="88" t="s">
        <v>33</v>
      </c>
      <c r="I27" s="88" t="s">
        <v>34</v>
      </c>
      <c r="J27" s="88" t="s">
        <v>35</v>
      </c>
      <c r="K27" s="88" t="s">
        <v>36</v>
      </c>
      <c r="L27" s="88" t="s">
        <v>37</v>
      </c>
      <c r="M27" s="88" t="s">
        <v>38</v>
      </c>
      <c r="N27" s="88" t="s">
        <v>39</v>
      </c>
      <c r="O27" s="88" t="s">
        <v>40</v>
      </c>
      <c r="P27" s="88" t="s">
        <v>41</v>
      </c>
      <c r="Q27" s="434" t="s">
        <v>141</v>
      </c>
      <c r="R27" s="435"/>
      <c r="S27" s="435"/>
      <c r="T27" s="388"/>
      <c r="U27" s="434" t="s">
        <v>92</v>
      </c>
      <c r="V27" s="435"/>
      <c r="W27" s="435"/>
      <c r="X27" s="388"/>
      <c r="Y27" s="434" t="s">
        <v>63</v>
      </c>
      <c r="Z27" s="435"/>
      <c r="AA27" s="435"/>
      <c r="AB27" s="436"/>
      <c r="AE27" s="87"/>
      <c r="AF27" s="87"/>
      <c r="AG27" s="87"/>
      <c r="AH27" s="87"/>
      <c r="AI27" s="87"/>
      <c r="AJ27" s="87"/>
      <c r="AK27" s="87"/>
      <c r="AL27" s="87"/>
      <c r="AM27" s="87"/>
    </row>
    <row r="28" spans="1:39" ht="33" customHeight="1" x14ac:dyDescent="0.25">
      <c r="A28" s="742"/>
      <c r="B28" s="744"/>
      <c r="C28" s="90" t="s">
        <v>64</v>
      </c>
      <c r="D28" s="89"/>
      <c r="E28" s="89"/>
      <c r="F28" s="89"/>
      <c r="G28" s="89"/>
      <c r="H28" s="89"/>
      <c r="I28" s="89"/>
      <c r="J28" s="89"/>
      <c r="K28" s="89"/>
      <c r="L28" s="89"/>
      <c r="M28" s="89"/>
      <c r="N28" s="89"/>
      <c r="O28" s="89"/>
      <c r="P28" s="161">
        <f>SUM(D28:O28)</f>
        <v>0</v>
      </c>
      <c r="Q28" s="664" t="s">
        <v>142</v>
      </c>
      <c r="R28" s="665"/>
      <c r="S28" s="665"/>
      <c r="T28" s="666"/>
      <c r="U28" s="664" t="s">
        <v>143</v>
      </c>
      <c r="V28" s="665"/>
      <c r="W28" s="665"/>
      <c r="X28" s="666"/>
      <c r="Y28" s="664" t="s">
        <v>144</v>
      </c>
      <c r="Z28" s="665"/>
      <c r="AA28" s="665"/>
      <c r="AB28" s="670"/>
      <c r="AE28" s="87"/>
      <c r="AF28" s="87"/>
      <c r="AG28" s="87"/>
      <c r="AH28" s="87"/>
      <c r="AI28" s="87"/>
      <c r="AJ28" s="87"/>
      <c r="AK28" s="87"/>
      <c r="AL28" s="87"/>
      <c r="AM28" s="87"/>
    </row>
    <row r="29" spans="1:39" ht="33.950000000000003" customHeight="1" thickBot="1" x14ac:dyDescent="0.3">
      <c r="A29" s="743"/>
      <c r="B29" s="745"/>
      <c r="C29" s="91" t="s">
        <v>65</v>
      </c>
      <c r="D29" s="92"/>
      <c r="E29" s="92"/>
      <c r="F29" s="92"/>
      <c r="G29" s="93"/>
      <c r="H29" s="93"/>
      <c r="I29" s="93"/>
      <c r="J29" s="93"/>
      <c r="K29" s="93"/>
      <c r="L29" s="93"/>
      <c r="M29" s="93"/>
      <c r="N29" s="93"/>
      <c r="O29" s="93"/>
      <c r="P29" s="162">
        <f>SUM(D29:O29)</f>
        <v>0</v>
      </c>
      <c r="Q29" s="667"/>
      <c r="R29" s="668"/>
      <c r="S29" s="668"/>
      <c r="T29" s="669"/>
      <c r="U29" s="667"/>
      <c r="V29" s="668"/>
      <c r="W29" s="668"/>
      <c r="X29" s="669"/>
      <c r="Y29" s="667"/>
      <c r="Z29" s="668"/>
      <c r="AA29" s="668"/>
      <c r="AB29" s="671"/>
      <c r="AC29" s="49"/>
      <c r="AE29" s="87"/>
      <c r="AF29" s="87"/>
      <c r="AG29" s="87"/>
      <c r="AH29" s="87"/>
      <c r="AI29" s="87"/>
      <c r="AJ29" s="87"/>
      <c r="AK29" s="87"/>
      <c r="AL29" s="87"/>
      <c r="AM29" s="87"/>
    </row>
    <row r="30" spans="1:39" ht="26.1" customHeight="1" x14ac:dyDescent="0.25">
      <c r="A30" s="430" t="s">
        <v>66</v>
      </c>
      <c r="B30" s="750" t="s">
        <v>67</v>
      </c>
      <c r="C30" s="386" t="s">
        <v>68</v>
      </c>
      <c r="D30" s="386"/>
      <c r="E30" s="386"/>
      <c r="F30" s="386"/>
      <c r="G30" s="386"/>
      <c r="H30" s="386"/>
      <c r="I30" s="386"/>
      <c r="J30" s="386"/>
      <c r="K30" s="386"/>
      <c r="L30" s="386"/>
      <c r="M30" s="386"/>
      <c r="N30" s="386"/>
      <c r="O30" s="386"/>
      <c r="P30" s="386"/>
      <c r="Q30" s="475" t="s">
        <v>69</v>
      </c>
      <c r="R30" s="391"/>
      <c r="S30" s="391"/>
      <c r="T30" s="391"/>
      <c r="U30" s="391"/>
      <c r="V30" s="391"/>
      <c r="W30" s="391"/>
      <c r="X30" s="391"/>
      <c r="Y30" s="391"/>
      <c r="Z30" s="391"/>
      <c r="AA30" s="391"/>
      <c r="AB30" s="392"/>
      <c r="AE30" s="87"/>
      <c r="AF30" s="87"/>
      <c r="AG30" s="87"/>
      <c r="AH30" s="87"/>
      <c r="AI30" s="87"/>
      <c r="AJ30" s="87"/>
      <c r="AK30" s="87"/>
      <c r="AL30" s="87"/>
      <c r="AM30" s="87"/>
    </row>
    <row r="31" spans="1:39" ht="26.1" customHeight="1" x14ac:dyDescent="0.25">
      <c r="A31" s="431"/>
      <c r="B31" s="608"/>
      <c r="C31" s="88" t="s">
        <v>70</v>
      </c>
      <c r="D31" s="88" t="s">
        <v>71</v>
      </c>
      <c r="E31" s="88" t="s">
        <v>72</v>
      </c>
      <c r="F31" s="88" t="s">
        <v>73</v>
      </c>
      <c r="G31" s="88" t="s">
        <v>74</v>
      </c>
      <c r="H31" s="88" t="s">
        <v>75</v>
      </c>
      <c r="I31" s="88" t="s">
        <v>76</v>
      </c>
      <c r="J31" s="88" t="s">
        <v>77</v>
      </c>
      <c r="K31" s="88" t="s">
        <v>78</v>
      </c>
      <c r="L31" s="88" t="s">
        <v>79</v>
      </c>
      <c r="M31" s="88" t="s">
        <v>80</v>
      </c>
      <c r="N31" s="88" t="s">
        <v>81</v>
      </c>
      <c r="O31" s="88" t="s">
        <v>82</v>
      </c>
      <c r="P31" s="88" t="s">
        <v>83</v>
      </c>
      <c r="Q31" s="441" t="s">
        <v>84</v>
      </c>
      <c r="R31" s="442"/>
      <c r="S31" s="442"/>
      <c r="T31" s="442"/>
      <c r="U31" s="442"/>
      <c r="V31" s="442"/>
      <c r="W31" s="442"/>
      <c r="X31" s="442"/>
      <c r="Y31" s="442"/>
      <c r="Z31" s="442"/>
      <c r="AA31" s="442"/>
      <c r="AB31" s="658"/>
      <c r="AE31" s="94"/>
      <c r="AF31" s="94"/>
      <c r="AG31" s="94"/>
      <c r="AH31" s="94"/>
      <c r="AI31" s="94"/>
      <c r="AJ31" s="94"/>
      <c r="AK31" s="94"/>
      <c r="AL31" s="94"/>
      <c r="AM31" s="94"/>
    </row>
    <row r="32" spans="1:39" ht="28.5" customHeight="1" x14ac:dyDescent="0.25">
      <c r="A32" s="751"/>
      <c r="B32" s="748"/>
      <c r="C32" s="90" t="s">
        <v>64</v>
      </c>
      <c r="D32" s="95"/>
      <c r="E32" s="95"/>
      <c r="F32" s="95"/>
      <c r="G32" s="95"/>
      <c r="H32" s="95"/>
      <c r="I32" s="95"/>
      <c r="J32" s="95"/>
      <c r="K32" s="95"/>
      <c r="L32" s="95"/>
      <c r="M32" s="95"/>
      <c r="N32" s="95"/>
      <c r="O32" s="95"/>
      <c r="P32" s="96">
        <f t="shared" ref="P32:P39" si="0">SUM(D32:O32)</f>
        <v>0</v>
      </c>
      <c r="Q32" s="710" t="s">
        <v>145</v>
      </c>
      <c r="R32" s="711"/>
      <c r="S32" s="711"/>
      <c r="T32" s="711"/>
      <c r="U32" s="711"/>
      <c r="V32" s="711"/>
      <c r="W32" s="711"/>
      <c r="X32" s="711"/>
      <c r="Y32" s="711"/>
      <c r="Z32" s="711"/>
      <c r="AA32" s="711"/>
      <c r="AB32" s="712"/>
      <c r="AC32" s="97"/>
      <c r="AE32" s="98"/>
      <c r="AF32" s="98"/>
      <c r="AG32" s="98"/>
      <c r="AH32" s="98"/>
      <c r="AI32" s="98"/>
      <c r="AJ32" s="98"/>
      <c r="AK32" s="98"/>
      <c r="AL32" s="98"/>
      <c r="AM32" s="98"/>
    </row>
    <row r="33" spans="1:29" ht="28.5" customHeight="1" x14ac:dyDescent="0.25">
      <c r="A33" s="752"/>
      <c r="B33" s="749"/>
      <c r="C33" s="99" t="s">
        <v>65</v>
      </c>
      <c r="D33" s="100"/>
      <c r="E33" s="100"/>
      <c r="F33" s="100"/>
      <c r="G33" s="100"/>
      <c r="H33" s="100"/>
      <c r="I33" s="100"/>
      <c r="J33" s="100"/>
      <c r="K33" s="100"/>
      <c r="L33" s="100"/>
      <c r="M33" s="100"/>
      <c r="N33" s="100"/>
      <c r="O33" s="100"/>
      <c r="P33" s="101">
        <f t="shared" si="0"/>
        <v>0</v>
      </c>
      <c r="Q33" s="713"/>
      <c r="R33" s="714"/>
      <c r="S33" s="714"/>
      <c r="T33" s="714"/>
      <c r="U33" s="714"/>
      <c r="V33" s="714"/>
      <c r="W33" s="714"/>
      <c r="X33" s="714"/>
      <c r="Y33" s="714"/>
      <c r="Z33" s="714"/>
      <c r="AA33" s="714"/>
      <c r="AB33" s="715"/>
      <c r="AC33" s="97"/>
    </row>
    <row r="34" spans="1:29" ht="28.5" customHeight="1" x14ac:dyDescent="0.25">
      <c r="A34" s="752"/>
      <c r="B34" s="725"/>
      <c r="C34" s="102" t="s">
        <v>64</v>
      </c>
      <c r="D34" s="103"/>
      <c r="E34" s="103"/>
      <c r="F34" s="103"/>
      <c r="G34" s="103"/>
      <c r="H34" s="103"/>
      <c r="I34" s="103"/>
      <c r="J34" s="103"/>
      <c r="K34" s="103"/>
      <c r="L34" s="103"/>
      <c r="M34" s="103"/>
      <c r="N34" s="103"/>
      <c r="O34" s="103"/>
      <c r="P34" s="101">
        <f t="shared" si="0"/>
        <v>0</v>
      </c>
      <c r="Q34" s="701"/>
      <c r="R34" s="702"/>
      <c r="S34" s="702"/>
      <c r="T34" s="702"/>
      <c r="U34" s="702"/>
      <c r="V34" s="702"/>
      <c r="W34" s="702"/>
      <c r="X34" s="702"/>
      <c r="Y34" s="702"/>
      <c r="Z34" s="702"/>
      <c r="AA34" s="702"/>
      <c r="AB34" s="703"/>
      <c r="AC34" s="97"/>
    </row>
    <row r="35" spans="1:29" ht="28.5" customHeight="1" x14ac:dyDescent="0.25">
      <c r="A35" s="752"/>
      <c r="B35" s="749"/>
      <c r="C35" s="99" t="s">
        <v>65</v>
      </c>
      <c r="D35" s="100"/>
      <c r="E35" s="100"/>
      <c r="F35" s="100"/>
      <c r="G35" s="100"/>
      <c r="H35" s="100"/>
      <c r="I35" s="100"/>
      <c r="J35" s="100"/>
      <c r="K35" s="100"/>
      <c r="L35" s="104"/>
      <c r="M35" s="104"/>
      <c r="N35" s="104"/>
      <c r="O35" s="104"/>
      <c r="P35" s="101">
        <f t="shared" si="0"/>
        <v>0</v>
      </c>
      <c r="Q35" s="704"/>
      <c r="R35" s="705"/>
      <c r="S35" s="705"/>
      <c r="T35" s="705"/>
      <c r="U35" s="705"/>
      <c r="V35" s="705"/>
      <c r="W35" s="705"/>
      <c r="X35" s="705"/>
      <c r="Y35" s="705"/>
      <c r="Z35" s="705"/>
      <c r="AA35" s="705"/>
      <c r="AB35" s="706"/>
      <c r="AC35" s="97"/>
    </row>
    <row r="36" spans="1:29" ht="28.5" customHeight="1" x14ac:dyDescent="0.25">
      <c r="A36" s="746"/>
      <c r="B36" s="725"/>
      <c r="C36" s="102" t="s">
        <v>64</v>
      </c>
      <c r="D36" s="103"/>
      <c r="E36" s="103"/>
      <c r="F36" s="103"/>
      <c r="G36" s="103"/>
      <c r="H36" s="103"/>
      <c r="I36" s="103"/>
      <c r="J36" s="103"/>
      <c r="K36" s="103"/>
      <c r="L36" s="103"/>
      <c r="M36" s="103"/>
      <c r="N36" s="103"/>
      <c r="O36" s="103"/>
      <c r="P36" s="101">
        <f t="shared" si="0"/>
        <v>0</v>
      </c>
      <c r="Q36" s="701"/>
      <c r="R36" s="702"/>
      <c r="S36" s="702"/>
      <c r="T36" s="702"/>
      <c r="U36" s="702"/>
      <c r="V36" s="702"/>
      <c r="W36" s="702"/>
      <c r="X36" s="702"/>
      <c r="Y36" s="702"/>
      <c r="Z36" s="702"/>
      <c r="AA36" s="702"/>
      <c r="AB36" s="703"/>
      <c r="AC36" s="97"/>
    </row>
    <row r="37" spans="1:29" ht="28.5" customHeight="1" x14ac:dyDescent="0.25">
      <c r="A37" s="747"/>
      <c r="B37" s="749"/>
      <c r="C37" s="99" t="s">
        <v>65</v>
      </c>
      <c r="D37" s="100"/>
      <c r="E37" s="100"/>
      <c r="F37" s="100"/>
      <c r="G37" s="100"/>
      <c r="H37" s="100"/>
      <c r="I37" s="100"/>
      <c r="J37" s="100"/>
      <c r="K37" s="100"/>
      <c r="L37" s="104"/>
      <c r="M37" s="104"/>
      <c r="N37" s="104"/>
      <c r="O37" s="104"/>
      <c r="P37" s="101">
        <f t="shared" si="0"/>
        <v>0</v>
      </c>
      <c r="Q37" s="704"/>
      <c r="R37" s="705"/>
      <c r="S37" s="705"/>
      <c r="T37" s="705"/>
      <c r="U37" s="705"/>
      <c r="V37" s="705"/>
      <c r="W37" s="705"/>
      <c r="X37" s="705"/>
      <c r="Y37" s="705"/>
      <c r="Z37" s="705"/>
      <c r="AA37" s="705"/>
      <c r="AB37" s="706"/>
      <c r="AC37" s="97"/>
    </row>
    <row r="38" spans="1:29" ht="28.5" customHeight="1" x14ac:dyDescent="0.25">
      <c r="A38" s="731"/>
      <c r="B38" s="725"/>
      <c r="C38" s="102" t="s">
        <v>64</v>
      </c>
      <c r="D38" s="103"/>
      <c r="E38" s="103"/>
      <c r="F38" s="103"/>
      <c r="G38" s="103"/>
      <c r="H38" s="103"/>
      <c r="I38" s="103"/>
      <c r="J38" s="103"/>
      <c r="K38" s="103"/>
      <c r="L38" s="103"/>
      <c r="M38" s="103"/>
      <c r="N38" s="103"/>
      <c r="O38" s="103"/>
      <c r="P38" s="101">
        <f t="shared" si="0"/>
        <v>0</v>
      </c>
      <c r="Q38" s="701"/>
      <c r="R38" s="702"/>
      <c r="S38" s="702"/>
      <c r="T38" s="702"/>
      <c r="U38" s="702"/>
      <c r="V38" s="702"/>
      <c r="W38" s="702"/>
      <c r="X38" s="702"/>
      <c r="Y38" s="702"/>
      <c r="Z38" s="702"/>
      <c r="AA38" s="702"/>
      <c r="AB38" s="703"/>
      <c r="AC38" s="97"/>
    </row>
    <row r="39" spans="1:29" ht="28.5" customHeight="1" thickBot="1" x14ac:dyDescent="0.3">
      <c r="A39" s="732"/>
      <c r="B39" s="726"/>
      <c r="C39" s="91" t="s">
        <v>65</v>
      </c>
      <c r="D39" s="105"/>
      <c r="E39" s="105"/>
      <c r="F39" s="105"/>
      <c r="G39" s="105"/>
      <c r="H39" s="105"/>
      <c r="I39" s="105"/>
      <c r="J39" s="105"/>
      <c r="K39" s="105"/>
      <c r="L39" s="106"/>
      <c r="M39" s="106"/>
      <c r="N39" s="106"/>
      <c r="O39" s="106"/>
      <c r="P39" s="107">
        <f t="shared" si="0"/>
        <v>0</v>
      </c>
      <c r="Q39" s="727"/>
      <c r="R39" s="728"/>
      <c r="S39" s="728"/>
      <c r="T39" s="728"/>
      <c r="U39" s="728"/>
      <c r="V39" s="728"/>
      <c r="W39" s="728"/>
      <c r="X39" s="728"/>
      <c r="Y39" s="728"/>
      <c r="Z39" s="728"/>
      <c r="AA39" s="728"/>
      <c r="AB39" s="729"/>
      <c r="AC39" s="97"/>
    </row>
    <row r="40" spans="1:29" x14ac:dyDescent="0.25">
      <c r="A40" s="50" t="s">
        <v>87</v>
      </c>
    </row>
  </sheetData>
  <mergeCells count="86">
    <mergeCell ref="A36:A37"/>
    <mergeCell ref="B32:B33"/>
    <mergeCell ref="B30:B31"/>
    <mergeCell ref="B34:B35"/>
    <mergeCell ref="B36:B37"/>
    <mergeCell ref="A32:A33"/>
    <mergeCell ref="A30:A31"/>
    <mergeCell ref="A34:A35"/>
    <mergeCell ref="A26:A27"/>
    <mergeCell ref="C26:C27"/>
    <mergeCell ref="A22:A23"/>
    <mergeCell ref="A28:A29"/>
    <mergeCell ref="A25:AB25"/>
    <mergeCell ref="D26:P26"/>
    <mergeCell ref="Q24:AB24"/>
    <mergeCell ref="B26:B27"/>
    <mergeCell ref="Q28:T29"/>
    <mergeCell ref="Q26:AB26"/>
    <mergeCell ref="Q27:T27"/>
    <mergeCell ref="B28:B29"/>
    <mergeCell ref="B24:C24"/>
    <mergeCell ref="T17:V17"/>
    <mergeCell ref="Y19:Z19"/>
    <mergeCell ref="Y17:Z17"/>
    <mergeCell ref="AA17:AB17"/>
    <mergeCell ref="B22:C23"/>
    <mergeCell ref="B38:B39"/>
    <mergeCell ref="C13:Q13"/>
    <mergeCell ref="Q22:AB23"/>
    <mergeCell ref="C7:K9"/>
    <mergeCell ref="Q38:AB39"/>
    <mergeCell ref="U27:X27"/>
    <mergeCell ref="Q36:AB37"/>
    <mergeCell ref="T19:V19"/>
    <mergeCell ref="A11:B11"/>
    <mergeCell ref="A38:A39"/>
    <mergeCell ref="V13:Y13"/>
    <mergeCell ref="Q15:AB15"/>
    <mergeCell ref="AA13:AB13"/>
    <mergeCell ref="W19:X19"/>
    <mergeCell ref="Y27:AB27"/>
    <mergeCell ref="Q31:AB31"/>
    <mergeCell ref="Q34:AB35"/>
    <mergeCell ref="A21:AB21"/>
    <mergeCell ref="P22:P23"/>
    <mergeCell ref="C30:P30"/>
    <mergeCell ref="B2:Y2"/>
    <mergeCell ref="B3:Y4"/>
    <mergeCell ref="Q32:AB33"/>
    <mergeCell ref="Q30:AB30"/>
    <mergeCell ref="C15:C16"/>
    <mergeCell ref="A1:A4"/>
    <mergeCell ref="Z2:AB2"/>
    <mergeCell ref="Z4:AB4"/>
    <mergeCell ref="R7:T9"/>
    <mergeCell ref="A15:B16"/>
    <mergeCell ref="A7:B9"/>
    <mergeCell ref="R11:V11"/>
    <mergeCell ref="Z1:AB1"/>
    <mergeCell ref="AA8:AB8"/>
    <mergeCell ref="AA9:AB9"/>
    <mergeCell ref="W11:X11"/>
    <mergeCell ref="B1:Y1"/>
    <mergeCell ref="AA7:AB7"/>
    <mergeCell ref="Y9:Z9"/>
    <mergeCell ref="Z3:AB3"/>
    <mergeCell ref="Y8:Z8"/>
    <mergeCell ref="Y7:Z7"/>
    <mergeCell ref="U7:V9"/>
    <mergeCell ref="W7:X9"/>
    <mergeCell ref="A13:B13"/>
    <mergeCell ref="C11:K11"/>
    <mergeCell ref="S13:T13"/>
    <mergeCell ref="Y11:AB11"/>
    <mergeCell ref="U28:X29"/>
    <mergeCell ref="Y28:AB29"/>
    <mergeCell ref="T18:V18"/>
    <mergeCell ref="D22:O22"/>
    <mergeCell ref="Q16:V16"/>
    <mergeCell ref="M11:Q11"/>
    <mergeCell ref="C12:Z12"/>
    <mergeCell ref="W16:AB16"/>
    <mergeCell ref="W17:X17"/>
    <mergeCell ref="Q19:S19"/>
    <mergeCell ref="Q17:S17"/>
    <mergeCell ref="AA19:AB19"/>
  </mergeCells>
  <dataValidations count="2">
    <dataValidation type="textLength" operator="lessThanOrEqual" allowBlank="1" showInputMessage="1" showErrorMessage="1" errorTitle="Máximo 2.000 caracteres" error="Máximo 2.000 caracteres" promptTitle="2.000 caracteres" sqref="Q24:AB24" xr:uid="{00000000-0002-0000-0700-000000000000}">
      <formula1>2000</formula1>
    </dataValidation>
    <dataValidation type="textLength" operator="lessThanOrEqual" allowBlank="1" showInputMessage="1" showErrorMessage="1" errorTitle="Máximo 2.000 caracteres" error="Máximo 2.000 caracteres" sqref="Q32:AB39 Q28 U28 Y28" xr:uid="{00000000-0002-0000-0700-000001000000}">
      <formula1>2000</formula1>
    </dataValidation>
  </dataValidations>
  <pageMargins left="0" right="0" top="0" bottom="0" header="0" footer="0"/>
  <pageSetup paperSize="41" scale="48" fitToHeight="0" orientation="landscape"/>
  <customProperties>
    <customPr name="_pios_id" r:id="rId1"/>
  </customPropertie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Z23"/>
  <sheetViews>
    <sheetView tabSelected="1" topLeftCell="AD7" zoomScale="80" zoomScaleNormal="80" workbookViewId="0">
      <selection activeCell="AT16" sqref="AT16"/>
    </sheetView>
  </sheetViews>
  <sheetFormatPr baseColWidth="10" defaultColWidth="10.85546875" defaultRowHeight="15" x14ac:dyDescent="0.25"/>
  <cols>
    <col min="1" max="1" width="10.140625" style="108" customWidth="1"/>
    <col min="2" max="2" width="10" style="108" customWidth="1"/>
    <col min="3" max="3" width="17.28515625" style="108" customWidth="1"/>
    <col min="4" max="4" width="8.28515625" style="108" customWidth="1"/>
    <col min="5" max="5" width="10.140625" style="108" customWidth="1"/>
    <col min="6" max="6" width="8.28515625" style="108" customWidth="1"/>
    <col min="7" max="8" width="14.7109375" style="108" customWidth="1"/>
    <col min="9" max="10" width="29.28515625" style="108" customWidth="1"/>
    <col min="11" max="11" width="16.85546875" style="108" customWidth="1"/>
    <col min="12" max="13" width="15.28515625" style="108" customWidth="1"/>
    <col min="14" max="14" width="21.140625" style="108" customWidth="1"/>
    <col min="15" max="19" width="8.7109375" style="108" customWidth="1"/>
    <col min="20" max="20" width="22.28515625" style="108" customWidth="1"/>
    <col min="21" max="21" width="17" style="108" customWidth="1"/>
    <col min="22" max="45" width="7.42578125" style="108" customWidth="1"/>
    <col min="46" max="46" width="17.140625" style="108" customWidth="1"/>
    <col min="47" max="47" width="15.85546875" style="195" customWidth="1"/>
    <col min="48" max="48" width="79.42578125" style="108" customWidth="1"/>
    <col min="49" max="49" width="90.42578125" style="108" customWidth="1"/>
    <col min="50" max="51" width="24.42578125" style="108" customWidth="1"/>
    <col min="52" max="16384" width="10.85546875" style="108"/>
  </cols>
  <sheetData>
    <row r="1" spans="1:51" ht="15.95" customHeight="1" x14ac:dyDescent="0.25">
      <c r="A1" s="763" t="s">
        <v>0</v>
      </c>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764"/>
      <c r="AK1" s="764"/>
      <c r="AL1" s="764"/>
      <c r="AM1" s="764"/>
      <c r="AN1" s="764"/>
      <c r="AO1" s="764"/>
      <c r="AP1" s="764"/>
      <c r="AQ1" s="764"/>
      <c r="AR1" s="764"/>
      <c r="AS1" s="764"/>
      <c r="AT1" s="764"/>
      <c r="AU1" s="764"/>
      <c r="AV1" s="764"/>
      <c r="AW1" s="765"/>
      <c r="AX1" s="689" t="s">
        <v>1</v>
      </c>
      <c r="AY1" s="690"/>
    </row>
    <row r="2" spans="1:51" ht="15.95" customHeight="1" x14ac:dyDescent="0.25">
      <c r="A2" s="766" t="s">
        <v>2</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c r="AP2" s="767"/>
      <c r="AQ2" s="767"/>
      <c r="AR2" s="767"/>
      <c r="AS2" s="767"/>
      <c r="AT2" s="767"/>
      <c r="AU2" s="767"/>
      <c r="AV2" s="767"/>
      <c r="AW2" s="768"/>
      <c r="AX2" s="760" t="s">
        <v>3</v>
      </c>
      <c r="AY2" s="761"/>
    </row>
    <row r="3" spans="1:51" ht="15" customHeight="1" x14ac:dyDescent="0.25">
      <c r="A3" s="769" t="s">
        <v>146</v>
      </c>
      <c r="B3" s="770"/>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c r="AU3" s="770"/>
      <c r="AV3" s="770"/>
      <c r="AW3" s="771"/>
      <c r="AX3" s="760" t="s">
        <v>5</v>
      </c>
      <c r="AY3" s="761"/>
    </row>
    <row r="4" spans="1:51" ht="15.95" customHeight="1" x14ac:dyDescent="0.25">
      <c r="A4" s="763"/>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764"/>
      <c r="AR4" s="764"/>
      <c r="AS4" s="764"/>
      <c r="AT4" s="764"/>
      <c r="AU4" s="764"/>
      <c r="AV4" s="764"/>
      <c r="AW4" s="765"/>
      <c r="AX4" s="762" t="s">
        <v>147</v>
      </c>
      <c r="AY4" s="762"/>
    </row>
    <row r="5" spans="1:51" ht="15" customHeight="1" x14ac:dyDescent="0.25">
      <c r="A5" s="786" t="s">
        <v>148</v>
      </c>
      <c r="B5" s="787"/>
      <c r="C5" s="787"/>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8"/>
      <c r="AH5" s="775" t="s">
        <v>13</v>
      </c>
      <c r="AI5" s="776"/>
      <c r="AJ5" s="776"/>
      <c r="AK5" s="776"/>
      <c r="AL5" s="776"/>
      <c r="AM5" s="776"/>
      <c r="AN5" s="776"/>
      <c r="AO5" s="776"/>
      <c r="AP5" s="776"/>
      <c r="AQ5" s="776"/>
      <c r="AR5" s="776"/>
      <c r="AS5" s="776"/>
      <c r="AT5" s="776"/>
      <c r="AU5" s="777"/>
      <c r="AV5" s="784" t="s">
        <v>149</v>
      </c>
      <c r="AW5" s="784" t="s">
        <v>150</v>
      </c>
      <c r="AX5" s="784" t="s">
        <v>151</v>
      </c>
      <c r="AY5" s="784" t="s">
        <v>152</v>
      </c>
    </row>
    <row r="6" spans="1:51" ht="15" customHeight="1" x14ac:dyDescent="0.25">
      <c r="A6" s="789"/>
      <c r="B6" s="789"/>
      <c r="C6" s="789"/>
      <c r="D6" s="790">
        <v>45020</v>
      </c>
      <c r="E6" s="791"/>
      <c r="F6" s="775" t="s">
        <v>10</v>
      </c>
      <c r="G6" s="777"/>
      <c r="H6" s="804" t="s">
        <v>11</v>
      </c>
      <c r="I6" s="804"/>
      <c r="J6" s="298"/>
      <c r="K6" s="775"/>
      <c r="L6" s="776"/>
      <c r="M6" s="776"/>
      <c r="N6" s="776"/>
      <c r="O6" s="776"/>
      <c r="P6" s="776"/>
      <c r="Q6" s="776"/>
      <c r="R6" s="776"/>
      <c r="S6" s="776"/>
      <c r="T6" s="776"/>
      <c r="U6" s="776"/>
      <c r="V6" s="109"/>
      <c r="W6" s="109"/>
      <c r="X6" s="109"/>
      <c r="Y6" s="109"/>
      <c r="Z6" s="109"/>
      <c r="AA6" s="109"/>
      <c r="AB6" s="109"/>
      <c r="AC6" s="109"/>
      <c r="AD6" s="109"/>
      <c r="AE6" s="109"/>
      <c r="AF6" s="109"/>
      <c r="AG6" s="110"/>
      <c r="AH6" s="778"/>
      <c r="AI6" s="779"/>
      <c r="AJ6" s="779"/>
      <c r="AK6" s="779"/>
      <c r="AL6" s="779"/>
      <c r="AM6" s="779"/>
      <c r="AN6" s="779"/>
      <c r="AO6" s="779"/>
      <c r="AP6" s="779"/>
      <c r="AQ6" s="779"/>
      <c r="AR6" s="779"/>
      <c r="AS6" s="779"/>
      <c r="AT6" s="779"/>
      <c r="AU6" s="780"/>
      <c r="AV6" s="785"/>
      <c r="AW6" s="785"/>
      <c r="AX6" s="785"/>
      <c r="AY6" s="785"/>
    </row>
    <row r="7" spans="1:51" ht="15" customHeight="1" x14ac:dyDescent="0.25">
      <c r="A7" s="789"/>
      <c r="B7" s="789"/>
      <c r="C7" s="789"/>
      <c r="D7" s="791"/>
      <c r="E7" s="791"/>
      <c r="F7" s="778"/>
      <c r="G7" s="780"/>
      <c r="H7" s="804" t="s">
        <v>12</v>
      </c>
      <c r="I7" s="804"/>
      <c r="J7" s="118"/>
      <c r="K7" s="778"/>
      <c r="L7" s="779"/>
      <c r="M7" s="779"/>
      <c r="N7" s="779"/>
      <c r="O7" s="779"/>
      <c r="P7" s="779"/>
      <c r="Q7" s="779"/>
      <c r="R7" s="779"/>
      <c r="S7" s="779"/>
      <c r="T7" s="779"/>
      <c r="U7" s="779"/>
      <c r="V7" s="111"/>
      <c r="W7" s="111"/>
      <c r="X7" s="111"/>
      <c r="Y7" s="111"/>
      <c r="Z7" s="111"/>
      <c r="AA7" s="111"/>
      <c r="AB7" s="111"/>
      <c r="AC7" s="111"/>
      <c r="AD7" s="111"/>
      <c r="AE7" s="111"/>
      <c r="AF7" s="111"/>
      <c r="AG7" s="112"/>
      <c r="AH7" s="778"/>
      <c r="AI7" s="779"/>
      <c r="AJ7" s="779"/>
      <c r="AK7" s="779"/>
      <c r="AL7" s="779"/>
      <c r="AM7" s="779"/>
      <c r="AN7" s="779"/>
      <c r="AO7" s="779"/>
      <c r="AP7" s="779"/>
      <c r="AQ7" s="779"/>
      <c r="AR7" s="779"/>
      <c r="AS7" s="779"/>
      <c r="AT7" s="779"/>
      <c r="AU7" s="780"/>
      <c r="AV7" s="785"/>
      <c r="AW7" s="785"/>
      <c r="AX7" s="785"/>
      <c r="AY7" s="785"/>
    </row>
    <row r="8" spans="1:51" ht="15" customHeight="1" x14ac:dyDescent="0.25">
      <c r="A8" s="789"/>
      <c r="B8" s="789"/>
      <c r="C8" s="789"/>
      <c r="D8" s="791"/>
      <c r="E8" s="791"/>
      <c r="F8" s="781"/>
      <c r="G8" s="783"/>
      <c r="H8" s="804" t="s">
        <v>13</v>
      </c>
      <c r="I8" s="804"/>
      <c r="J8" s="118" t="s">
        <v>14</v>
      </c>
      <c r="K8" s="781"/>
      <c r="L8" s="782"/>
      <c r="M8" s="782"/>
      <c r="N8" s="782"/>
      <c r="O8" s="782"/>
      <c r="P8" s="782"/>
      <c r="Q8" s="782"/>
      <c r="R8" s="782"/>
      <c r="S8" s="782"/>
      <c r="T8" s="782"/>
      <c r="U8" s="782"/>
      <c r="V8" s="113"/>
      <c r="W8" s="113"/>
      <c r="X8" s="113"/>
      <c r="Y8" s="113"/>
      <c r="Z8" s="113"/>
      <c r="AA8" s="113"/>
      <c r="AB8" s="113"/>
      <c r="AC8" s="113"/>
      <c r="AD8" s="113"/>
      <c r="AE8" s="113"/>
      <c r="AF8" s="113"/>
      <c r="AG8" s="114"/>
      <c r="AH8" s="778"/>
      <c r="AI8" s="779"/>
      <c r="AJ8" s="779"/>
      <c r="AK8" s="779"/>
      <c r="AL8" s="779"/>
      <c r="AM8" s="779"/>
      <c r="AN8" s="779"/>
      <c r="AO8" s="779"/>
      <c r="AP8" s="779"/>
      <c r="AQ8" s="779"/>
      <c r="AR8" s="779"/>
      <c r="AS8" s="779"/>
      <c r="AT8" s="779"/>
      <c r="AU8" s="780"/>
      <c r="AV8" s="785"/>
      <c r="AW8" s="785"/>
      <c r="AX8" s="785"/>
      <c r="AY8" s="785"/>
    </row>
    <row r="9" spans="1:51" ht="15" customHeight="1" x14ac:dyDescent="0.25">
      <c r="A9" s="796" t="s">
        <v>153</v>
      </c>
      <c r="B9" s="797"/>
      <c r="C9" s="798"/>
      <c r="D9" s="756"/>
      <c r="E9" s="757"/>
      <c r="F9" s="757"/>
      <c r="G9" s="757"/>
      <c r="H9" s="757"/>
      <c r="I9" s="757"/>
      <c r="J9" s="757"/>
      <c r="K9" s="758"/>
      <c r="L9" s="758"/>
      <c r="M9" s="758"/>
      <c r="N9" s="758"/>
      <c r="O9" s="758"/>
      <c r="P9" s="758"/>
      <c r="Q9" s="758"/>
      <c r="R9" s="758"/>
      <c r="S9" s="758"/>
      <c r="T9" s="758"/>
      <c r="U9" s="758"/>
      <c r="V9" s="758"/>
      <c r="W9" s="758"/>
      <c r="X9" s="758"/>
      <c r="Y9" s="758"/>
      <c r="Z9" s="758"/>
      <c r="AA9" s="758"/>
      <c r="AB9" s="758"/>
      <c r="AC9" s="758"/>
      <c r="AD9" s="758"/>
      <c r="AE9" s="758"/>
      <c r="AF9" s="758"/>
      <c r="AG9" s="759"/>
      <c r="AH9" s="778"/>
      <c r="AI9" s="779"/>
      <c r="AJ9" s="779"/>
      <c r="AK9" s="779"/>
      <c r="AL9" s="779"/>
      <c r="AM9" s="779"/>
      <c r="AN9" s="779"/>
      <c r="AO9" s="779"/>
      <c r="AP9" s="779"/>
      <c r="AQ9" s="779"/>
      <c r="AR9" s="779"/>
      <c r="AS9" s="779"/>
      <c r="AT9" s="779"/>
      <c r="AU9" s="780"/>
      <c r="AV9" s="785"/>
      <c r="AW9" s="785"/>
      <c r="AX9" s="785"/>
      <c r="AY9" s="785"/>
    </row>
    <row r="10" spans="1:51" ht="15" customHeight="1" x14ac:dyDescent="0.25">
      <c r="A10" s="753" t="s">
        <v>154</v>
      </c>
      <c r="B10" s="754"/>
      <c r="C10" s="755"/>
      <c r="D10" s="803"/>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9"/>
      <c r="AH10" s="781"/>
      <c r="AI10" s="782"/>
      <c r="AJ10" s="782"/>
      <c r="AK10" s="782"/>
      <c r="AL10" s="782"/>
      <c r="AM10" s="782"/>
      <c r="AN10" s="782"/>
      <c r="AO10" s="782"/>
      <c r="AP10" s="782"/>
      <c r="AQ10" s="782"/>
      <c r="AR10" s="782"/>
      <c r="AS10" s="782"/>
      <c r="AT10" s="782"/>
      <c r="AU10" s="783"/>
      <c r="AV10" s="785"/>
      <c r="AW10" s="785"/>
      <c r="AX10" s="785"/>
      <c r="AY10" s="785"/>
    </row>
    <row r="11" spans="1:51" ht="39.950000000000003" customHeight="1" x14ac:dyDescent="0.25">
      <c r="A11" s="792" t="s">
        <v>155</v>
      </c>
      <c r="B11" s="795"/>
      <c r="C11" s="795"/>
      <c r="D11" s="795"/>
      <c r="E11" s="795"/>
      <c r="F11" s="793"/>
      <c r="G11" s="792" t="s">
        <v>156</v>
      </c>
      <c r="H11" s="793"/>
      <c r="I11" s="784" t="s">
        <v>157</v>
      </c>
      <c r="J11" s="784" t="s">
        <v>158</v>
      </c>
      <c r="K11" s="784" t="s">
        <v>159</v>
      </c>
      <c r="L11" s="784" t="s">
        <v>160</v>
      </c>
      <c r="M11" s="784" t="s">
        <v>161</v>
      </c>
      <c r="N11" s="784" t="s">
        <v>162</v>
      </c>
      <c r="O11" s="792" t="s">
        <v>163</v>
      </c>
      <c r="P11" s="795"/>
      <c r="Q11" s="795"/>
      <c r="R11" s="795"/>
      <c r="S11" s="793"/>
      <c r="T11" s="784" t="s">
        <v>164</v>
      </c>
      <c r="U11" s="784" t="s">
        <v>165</v>
      </c>
      <c r="V11" s="786" t="s">
        <v>166</v>
      </c>
      <c r="W11" s="787"/>
      <c r="X11" s="787"/>
      <c r="Y11" s="787"/>
      <c r="Z11" s="787"/>
      <c r="AA11" s="787"/>
      <c r="AB11" s="787"/>
      <c r="AC11" s="787"/>
      <c r="AD11" s="787"/>
      <c r="AE11" s="787"/>
      <c r="AF11" s="787"/>
      <c r="AG11" s="788"/>
      <c r="AH11" s="786" t="s">
        <v>167</v>
      </c>
      <c r="AI11" s="787"/>
      <c r="AJ11" s="787"/>
      <c r="AK11" s="787"/>
      <c r="AL11" s="787"/>
      <c r="AM11" s="787"/>
      <c r="AN11" s="787"/>
      <c r="AO11" s="787"/>
      <c r="AP11" s="787"/>
      <c r="AQ11" s="787"/>
      <c r="AR11" s="787"/>
      <c r="AS11" s="788"/>
      <c r="AT11" s="792" t="s">
        <v>41</v>
      </c>
      <c r="AU11" s="793"/>
      <c r="AV11" s="785"/>
      <c r="AW11" s="785"/>
      <c r="AX11" s="785"/>
      <c r="AY11" s="785"/>
    </row>
    <row r="12" spans="1:51" ht="28.5" x14ac:dyDescent="0.25">
      <c r="A12" s="115" t="s">
        <v>168</v>
      </c>
      <c r="B12" s="115" t="s">
        <v>169</v>
      </c>
      <c r="C12" s="115" t="s">
        <v>170</v>
      </c>
      <c r="D12" s="115" t="s">
        <v>171</v>
      </c>
      <c r="E12" s="115" t="s">
        <v>172</v>
      </c>
      <c r="F12" s="115" t="s">
        <v>173</v>
      </c>
      <c r="G12" s="115" t="s">
        <v>174</v>
      </c>
      <c r="H12" s="115" t="s">
        <v>175</v>
      </c>
      <c r="I12" s="794"/>
      <c r="J12" s="794"/>
      <c r="K12" s="794"/>
      <c r="L12" s="794"/>
      <c r="M12" s="794"/>
      <c r="N12" s="794"/>
      <c r="O12" s="115">
        <v>2020</v>
      </c>
      <c r="P12" s="115">
        <v>2021</v>
      </c>
      <c r="Q12" s="115">
        <v>2022</v>
      </c>
      <c r="R12" s="115">
        <v>2023</v>
      </c>
      <c r="S12" s="115">
        <v>2024</v>
      </c>
      <c r="T12" s="794"/>
      <c r="U12" s="794"/>
      <c r="V12" s="119" t="s">
        <v>30</v>
      </c>
      <c r="W12" s="119" t="s">
        <v>31</v>
      </c>
      <c r="X12" s="119" t="s">
        <v>8</v>
      </c>
      <c r="Y12" s="119" t="s">
        <v>32</v>
      </c>
      <c r="Z12" s="119" t="s">
        <v>33</v>
      </c>
      <c r="AA12" s="119" t="s">
        <v>34</v>
      </c>
      <c r="AB12" s="119" t="s">
        <v>35</v>
      </c>
      <c r="AC12" s="119" t="s">
        <v>36</v>
      </c>
      <c r="AD12" s="119" t="s">
        <v>37</v>
      </c>
      <c r="AE12" s="119" t="s">
        <v>38</v>
      </c>
      <c r="AF12" s="119" t="s">
        <v>39</v>
      </c>
      <c r="AG12" s="119" t="s">
        <v>40</v>
      </c>
      <c r="AH12" s="119" t="s">
        <v>30</v>
      </c>
      <c r="AI12" s="119" t="s">
        <v>31</v>
      </c>
      <c r="AJ12" s="119" t="s">
        <v>8</v>
      </c>
      <c r="AK12" s="119" t="s">
        <v>32</v>
      </c>
      <c r="AL12" s="119" t="s">
        <v>33</v>
      </c>
      <c r="AM12" s="119" t="s">
        <v>34</v>
      </c>
      <c r="AN12" s="119" t="s">
        <v>35</v>
      </c>
      <c r="AO12" s="119" t="s">
        <v>36</v>
      </c>
      <c r="AP12" s="119" t="s">
        <v>37</v>
      </c>
      <c r="AQ12" s="119" t="s">
        <v>38</v>
      </c>
      <c r="AR12" s="119" t="s">
        <v>39</v>
      </c>
      <c r="AS12" s="119" t="s">
        <v>40</v>
      </c>
      <c r="AT12" s="115" t="s">
        <v>176</v>
      </c>
      <c r="AU12" s="194" t="s">
        <v>177</v>
      </c>
      <c r="AV12" s="785"/>
      <c r="AW12" s="785"/>
      <c r="AX12" s="785"/>
      <c r="AY12" s="785"/>
    </row>
    <row r="13" spans="1:51" ht="27.75" customHeight="1" x14ac:dyDescent="0.25">
      <c r="A13" s="208">
        <v>52</v>
      </c>
      <c r="B13" s="209"/>
      <c r="C13" s="209"/>
      <c r="D13" s="209"/>
      <c r="E13" s="209"/>
      <c r="F13" s="209"/>
      <c r="G13" s="210"/>
      <c r="H13" s="210"/>
      <c r="I13" s="209" t="s">
        <v>178</v>
      </c>
      <c r="J13" s="209" t="s">
        <v>179</v>
      </c>
      <c r="K13" s="209" t="s">
        <v>180</v>
      </c>
      <c r="L13" s="209">
        <v>1</v>
      </c>
      <c r="M13" s="209" t="s">
        <v>181</v>
      </c>
      <c r="N13" s="209" t="s">
        <v>182</v>
      </c>
      <c r="O13" s="211">
        <v>0.3</v>
      </c>
      <c r="P13" s="211">
        <v>0.7</v>
      </c>
      <c r="Q13" s="211">
        <v>1</v>
      </c>
      <c r="R13" s="211">
        <v>1</v>
      </c>
      <c r="S13" s="211">
        <v>1</v>
      </c>
      <c r="T13" s="212" t="s">
        <v>183</v>
      </c>
      <c r="U13" s="225" t="s">
        <v>184</v>
      </c>
      <c r="V13" s="865">
        <v>1</v>
      </c>
      <c r="W13" s="866">
        <v>1</v>
      </c>
      <c r="X13" s="866">
        <v>1</v>
      </c>
      <c r="Y13" s="866">
        <v>1</v>
      </c>
      <c r="Z13" s="866">
        <v>1</v>
      </c>
      <c r="AA13" s="866">
        <v>1</v>
      </c>
      <c r="AB13" s="866">
        <v>1</v>
      </c>
      <c r="AC13" s="866">
        <v>1</v>
      </c>
      <c r="AD13" s="866">
        <v>1</v>
      </c>
      <c r="AE13" s="866">
        <v>1</v>
      </c>
      <c r="AF13" s="866">
        <v>1</v>
      </c>
      <c r="AG13" s="867">
        <v>1</v>
      </c>
      <c r="AH13" s="118"/>
      <c r="AI13" s="333"/>
      <c r="AJ13" s="868">
        <v>1</v>
      </c>
      <c r="AK13" s="118"/>
      <c r="AL13" s="118"/>
      <c r="AM13" s="118"/>
      <c r="AN13" s="118"/>
      <c r="AO13" s="118"/>
      <c r="AP13" s="118"/>
      <c r="AQ13" s="118"/>
      <c r="AR13" s="118"/>
      <c r="AS13" s="118"/>
      <c r="AT13" s="118">
        <f>SUM(AH13:AS13)</f>
        <v>1</v>
      </c>
      <c r="AU13" s="334">
        <f>+AT13/R13</f>
        <v>1</v>
      </c>
      <c r="AV13" s="330" t="s">
        <v>532</v>
      </c>
      <c r="AW13" s="330" t="s">
        <v>533</v>
      </c>
      <c r="AX13" s="331" t="s">
        <v>102</v>
      </c>
      <c r="AY13" s="332" t="s">
        <v>102</v>
      </c>
    </row>
    <row r="14" spans="1:51" ht="27.75" customHeight="1" x14ac:dyDescent="0.25">
      <c r="A14" s="208">
        <v>53</v>
      </c>
      <c r="B14" s="209"/>
      <c r="C14" s="209"/>
      <c r="D14" s="209"/>
      <c r="E14" s="209"/>
      <c r="F14" s="209"/>
      <c r="G14" s="210"/>
      <c r="H14" s="210"/>
      <c r="I14" s="209" t="s">
        <v>185</v>
      </c>
      <c r="J14" s="209" t="s">
        <v>186</v>
      </c>
      <c r="K14" s="209" t="s">
        <v>187</v>
      </c>
      <c r="L14" s="209">
        <v>100</v>
      </c>
      <c r="M14" s="209" t="s">
        <v>188</v>
      </c>
      <c r="N14" s="209" t="s">
        <v>189</v>
      </c>
      <c r="O14" s="212">
        <v>7</v>
      </c>
      <c r="P14" s="212">
        <v>17.91</v>
      </c>
      <c r="Q14" s="221">
        <v>25.09</v>
      </c>
      <c r="R14" s="212">
        <v>25</v>
      </c>
      <c r="S14" s="212">
        <v>25</v>
      </c>
      <c r="T14" s="214" t="s">
        <v>183</v>
      </c>
      <c r="U14" s="225" t="s">
        <v>184</v>
      </c>
      <c r="V14" s="335">
        <f>25/12</f>
        <v>2.0833333333333335</v>
      </c>
      <c r="W14" s="335">
        <f t="shared" ref="W14:AG14" si="0">25/12</f>
        <v>2.0833333333333335</v>
      </c>
      <c r="X14" s="335">
        <f t="shared" si="0"/>
        <v>2.0833333333333335</v>
      </c>
      <c r="Y14" s="335">
        <f t="shared" si="0"/>
        <v>2.0833333333333335</v>
      </c>
      <c r="Z14" s="335">
        <f t="shared" si="0"/>
        <v>2.0833333333333335</v>
      </c>
      <c r="AA14" s="335">
        <f t="shared" si="0"/>
        <v>2.0833333333333335</v>
      </c>
      <c r="AB14" s="335">
        <f t="shared" si="0"/>
        <v>2.0833333333333335</v>
      </c>
      <c r="AC14" s="335">
        <f t="shared" si="0"/>
        <v>2.0833333333333335</v>
      </c>
      <c r="AD14" s="335">
        <f t="shared" si="0"/>
        <v>2.0833333333333335</v>
      </c>
      <c r="AE14" s="335">
        <f t="shared" si="0"/>
        <v>2.0833333333333335</v>
      </c>
      <c r="AF14" s="335">
        <f t="shared" si="0"/>
        <v>2.0833333333333335</v>
      </c>
      <c r="AG14" s="335">
        <f t="shared" si="0"/>
        <v>2.0833333333333335</v>
      </c>
      <c r="AH14" s="336"/>
      <c r="AI14" s="118"/>
      <c r="AJ14" s="118">
        <v>6.3</v>
      </c>
      <c r="AK14" s="118"/>
      <c r="AL14" s="118"/>
      <c r="AM14" s="118"/>
      <c r="AN14" s="118"/>
      <c r="AO14" s="118"/>
      <c r="AP14" s="118"/>
      <c r="AQ14" s="118"/>
      <c r="AR14" s="118"/>
      <c r="AS14" s="118"/>
      <c r="AT14" s="118">
        <f>SUM(AH14:AS14)</f>
        <v>6.3</v>
      </c>
      <c r="AU14" s="334">
        <f>+AT14/R14</f>
        <v>0.252</v>
      </c>
      <c r="AV14" s="330" t="s">
        <v>534</v>
      </c>
      <c r="AW14" s="330" t="s">
        <v>569</v>
      </c>
      <c r="AX14" s="331" t="s">
        <v>102</v>
      </c>
      <c r="AY14" s="332" t="s">
        <v>102</v>
      </c>
    </row>
    <row r="15" spans="1:51" ht="27.75" customHeight="1" x14ac:dyDescent="0.25">
      <c r="A15" s="208">
        <v>56</v>
      </c>
      <c r="B15" s="209"/>
      <c r="C15" s="209"/>
      <c r="D15" s="209"/>
      <c r="E15" s="209"/>
      <c r="F15" s="209"/>
      <c r="G15" s="210"/>
      <c r="H15" s="210"/>
      <c r="I15" s="209" t="s">
        <v>190</v>
      </c>
      <c r="J15" s="209" t="s">
        <v>191</v>
      </c>
      <c r="K15" s="209" t="s">
        <v>187</v>
      </c>
      <c r="L15" s="209">
        <v>2</v>
      </c>
      <c r="M15" s="209" t="s">
        <v>181</v>
      </c>
      <c r="N15" s="209" t="s">
        <v>192</v>
      </c>
      <c r="O15" s="211">
        <v>0.1</v>
      </c>
      <c r="P15" s="219">
        <v>0.49</v>
      </c>
      <c r="Q15" s="222">
        <v>0.51</v>
      </c>
      <c r="R15" s="220">
        <v>0.5</v>
      </c>
      <c r="S15" s="211">
        <v>0.4</v>
      </c>
      <c r="T15" s="212" t="s">
        <v>183</v>
      </c>
      <c r="U15" s="224" t="s">
        <v>193</v>
      </c>
      <c r="V15" s="337">
        <f>$R$15/12</f>
        <v>4.1666666666666664E-2</v>
      </c>
      <c r="W15" s="337">
        <f t="shared" ref="W15:AG15" si="1">$R$15/12</f>
        <v>4.1666666666666664E-2</v>
      </c>
      <c r="X15" s="337">
        <f t="shared" si="1"/>
        <v>4.1666666666666664E-2</v>
      </c>
      <c r="Y15" s="337">
        <f t="shared" si="1"/>
        <v>4.1666666666666664E-2</v>
      </c>
      <c r="Z15" s="337">
        <f t="shared" si="1"/>
        <v>4.1666666666666664E-2</v>
      </c>
      <c r="AA15" s="337">
        <f t="shared" si="1"/>
        <v>4.1666666666666664E-2</v>
      </c>
      <c r="AB15" s="337">
        <f t="shared" si="1"/>
        <v>4.1666666666666664E-2</v>
      </c>
      <c r="AC15" s="337">
        <f t="shared" si="1"/>
        <v>4.1666666666666664E-2</v>
      </c>
      <c r="AD15" s="337">
        <f t="shared" si="1"/>
        <v>4.1666666666666664E-2</v>
      </c>
      <c r="AE15" s="337">
        <f t="shared" si="1"/>
        <v>4.1666666666666664E-2</v>
      </c>
      <c r="AF15" s="337">
        <f t="shared" si="1"/>
        <v>4.1666666666666664E-2</v>
      </c>
      <c r="AG15" s="337">
        <f t="shared" si="1"/>
        <v>4.1666666666666664E-2</v>
      </c>
      <c r="AH15" s="338"/>
      <c r="AI15" s="118"/>
      <c r="AJ15" s="118">
        <v>0.12</v>
      </c>
      <c r="AK15" s="118"/>
      <c r="AL15" s="118"/>
      <c r="AM15" s="118"/>
      <c r="AN15" s="118"/>
      <c r="AO15" s="118"/>
      <c r="AP15" s="118"/>
      <c r="AQ15" s="118"/>
      <c r="AR15" s="118"/>
      <c r="AS15" s="118"/>
      <c r="AT15" s="347">
        <f>SUM(AH15:AS15)</f>
        <v>0.12</v>
      </c>
      <c r="AU15" s="348">
        <f>+AT15/R15</f>
        <v>0.24</v>
      </c>
      <c r="AV15" s="330" t="s">
        <v>535</v>
      </c>
      <c r="AW15" s="330" t="s">
        <v>536</v>
      </c>
      <c r="AX15" s="331" t="s">
        <v>102</v>
      </c>
      <c r="AY15" s="332" t="s">
        <v>102</v>
      </c>
    </row>
    <row r="16" spans="1:51" ht="27.75" customHeight="1" x14ac:dyDescent="0.25">
      <c r="A16" s="209"/>
      <c r="B16" s="209"/>
      <c r="C16" s="209"/>
      <c r="D16" s="208">
        <v>43</v>
      </c>
      <c r="E16" s="209"/>
      <c r="F16" s="209"/>
      <c r="G16" s="210" t="s">
        <v>194</v>
      </c>
      <c r="H16" s="210"/>
      <c r="I16" s="209"/>
      <c r="J16" s="209" t="s">
        <v>195</v>
      </c>
      <c r="K16" s="209" t="s">
        <v>187</v>
      </c>
      <c r="L16" s="215">
        <v>12000</v>
      </c>
      <c r="M16" s="209" t="s">
        <v>196</v>
      </c>
      <c r="N16" s="209" t="s">
        <v>197</v>
      </c>
      <c r="O16" s="211">
        <v>0</v>
      </c>
      <c r="P16" s="208">
        <v>3000</v>
      </c>
      <c r="Q16" s="216">
        <v>4000</v>
      </c>
      <c r="R16" s="208">
        <v>4000</v>
      </c>
      <c r="S16" s="208">
        <v>1000</v>
      </c>
      <c r="T16" s="209" t="s">
        <v>198</v>
      </c>
      <c r="U16" s="213" t="s">
        <v>199</v>
      </c>
      <c r="V16" s="339">
        <v>0</v>
      </c>
      <c r="W16" s="339">
        <v>400</v>
      </c>
      <c r="X16" s="339">
        <v>400</v>
      </c>
      <c r="Y16" s="339">
        <v>400</v>
      </c>
      <c r="Z16" s="339">
        <v>400</v>
      </c>
      <c r="AA16" s="339">
        <v>400</v>
      </c>
      <c r="AB16" s="339">
        <v>400</v>
      </c>
      <c r="AC16" s="339">
        <v>400</v>
      </c>
      <c r="AD16" s="339">
        <v>400</v>
      </c>
      <c r="AE16" s="339">
        <v>400</v>
      </c>
      <c r="AF16" s="339">
        <v>400</v>
      </c>
      <c r="AG16" s="339">
        <v>0</v>
      </c>
      <c r="AH16" s="118">
        <v>0</v>
      </c>
      <c r="AI16" s="118">
        <v>0</v>
      </c>
      <c r="AJ16" s="118">
        <v>220</v>
      </c>
      <c r="AK16" s="118"/>
      <c r="AL16" s="118"/>
      <c r="AM16" s="118"/>
      <c r="AN16" s="118"/>
      <c r="AO16" s="118"/>
      <c r="AP16" s="118"/>
      <c r="AQ16" s="118"/>
      <c r="AR16" s="118"/>
      <c r="AS16" s="118"/>
      <c r="AT16" s="347">
        <f t="shared" ref="AT16" si="2">SUM(AH16:AS16)</f>
        <v>220</v>
      </c>
      <c r="AU16" s="349">
        <f t="shared" ref="AU16" si="3">+AT16/R16</f>
        <v>5.5E-2</v>
      </c>
      <c r="AV16" s="330" t="s">
        <v>200</v>
      </c>
      <c r="AW16" s="330" t="s">
        <v>537</v>
      </c>
      <c r="AX16" s="331" t="s">
        <v>102</v>
      </c>
      <c r="AY16" s="332" t="s">
        <v>102</v>
      </c>
    </row>
    <row r="17" spans="1:52" ht="27.75" customHeight="1" x14ac:dyDescent="0.25">
      <c r="A17" s="209"/>
      <c r="B17" s="209"/>
      <c r="C17" s="209"/>
      <c r="D17" s="208">
        <v>46</v>
      </c>
      <c r="E17" s="217"/>
      <c r="F17" s="209"/>
      <c r="G17" s="210" t="s">
        <v>194</v>
      </c>
      <c r="H17" s="210"/>
      <c r="I17" s="209"/>
      <c r="J17" s="209" t="s">
        <v>201</v>
      </c>
      <c r="K17" s="209" t="s">
        <v>187</v>
      </c>
      <c r="L17" s="215">
        <v>16500</v>
      </c>
      <c r="M17" s="209" t="s">
        <v>202</v>
      </c>
      <c r="N17" s="209" t="s">
        <v>203</v>
      </c>
      <c r="O17" s="211">
        <v>0</v>
      </c>
      <c r="P17" s="208">
        <v>4000</v>
      </c>
      <c r="Q17" s="208">
        <v>5000</v>
      </c>
      <c r="R17" s="208">
        <v>5000</v>
      </c>
      <c r="S17" s="208">
        <v>2000</v>
      </c>
      <c r="T17" s="209" t="s">
        <v>198</v>
      </c>
      <c r="U17" s="213" t="s">
        <v>199</v>
      </c>
      <c r="V17" s="339">
        <v>0</v>
      </c>
      <c r="W17" s="339">
        <v>500</v>
      </c>
      <c r="X17" s="339">
        <v>500</v>
      </c>
      <c r="Y17" s="339">
        <v>500</v>
      </c>
      <c r="Z17" s="339">
        <v>500</v>
      </c>
      <c r="AA17" s="339">
        <v>500</v>
      </c>
      <c r="AB17" s="339">
        <v>500</v>
      </c>
      <c r="AC17" s="339">
        <v>500</v>
      </c>
      <c r="AD17" s="339">
        <v>500</v>
      </c>
      <c r="AE17" s="339">
        <v>500</v>
      </c>
      <c r="AF17" s="339">
        <v>500</v>
      </c>
      <c r="AG17" s="339">
        <v>0</v>
      </c>
      <c r="AH17" s="340"/>
      <c r="AI17" s="315">
        <v>134</v>
      </c>
      <c r="AJ17" s="339">
        <v>542</v>
      </c>
      <c r="AK17" s="118"/>
      <c r="AL17" s="118"/>
      <c r="AM17" s="118"/>
      <c r="AN17" s="118"/>
      <c r="AO17" s="118"/>
      <c r="AP17" s="118"/>
      <c r="AQ17" s="118"/>
      <c r="AR17" s="118"/>
      <c r="AS17" s="118"/>
      <c r="AT17" s="353">
        <f>SUM(AH17:AS17)</f>
        <v>676</v>
      </c>
      <c r="AU17" s="348">
        <f>+AT17/R17</f>
        <v>0.13519999999999999</v>
      </c>
      <c r="AV17" s="330" t="s">
        <v>204</v>
      </c>
      <c r="AW17" s="354" t="s">
        <v>568</v>
      </c>
      <c r="AX17" s="331" t="s">
        <v>102</v>
      </c>
      <c r="AY17" s="332" t="s">
        <v>102</v>
      </c>
    </row>
    <row r="18" spans="1:52" ht="27.75" customHeight="1" x14ac:dyDescent="0.25">
      <c r="A18" s="210">
        <v>56</v>
      </c>
      <c r="B18" s="210"/>
      <c r="C18" s="210"/>
      <c r="D18" s="210"/>
      <c r="E18" s="210"/>
      <c r="F18" s="210"/>
      <c r="G18" s="210"/>
      <c r="H18" s="210"/>
      <c r="I18" s="210"/>
      <c r="J18" s="210" t="s">
        <v>205</v>
      </c>
      <c r="K18" s="226" t="s">
        <v>187</v>
      </c>
      <c r="L18" s="227">
        <v>19</v>
      </c>
      <c r="M18" s="210" t="s">
        <v>206</v>
      </c>
      <c r="N18" s="210" t="s">
        <v>207</v>
      </c>
      <c r="O18" s="210">
        <v>2</v>
      </c>
      <c r="P18" s="210">
        <v>5</v>
      </c>
      <c r="Q18" s="210">
        <v>7</v>
      </c>
      <c r="R18" s="210">
        <v>5</v>
      </c>
      <c r="S18" s="210">
        <v>0</v>
      </c>
      <c r="T18" s="210" t="s">
        <v>198</v>
      </c>
      <c r="U18" s="223" t="s">
        <v>199</v>
      </c>
      <c r="V18" s="341">
        <v>0</v>
      </c>
      <c r="W18" s="341">
        <v>1</v>
      </c>
      <c r="X18" s="341">
        <v>1</v>
      </c>
      <c r="Y18" s="341">
        <v>1</v>
      </c>
      <c r="Z18" s="341">
        <v>0</v>
      </c>
      <c r="AA18" s="341">
        <v>0</v>
      </c>
      <c r="AB18" s="341">
        <v>1</v>
      </c>
      <c r="AC18" s="341">
        <v>0</v>
      </c>
      <c r="AD18" s="341">
        <v>1</v>
      </c>
      <c r="AE18" s="341">
        <v>0</v>
      </c>
      <c r="AF18" s="341">
        <v>0</v>
      </c>
      <c r="AG18" s="341">
        <v>0</v>
      </c>
      <c r="AH18" s="342">
        <v>0</v>
      </c>
      <c r="AI18" s="316">
        <v>1</v>
      </c>
      <c r="AJ18" s="341">
        <v>1</v>
      </c>
      <c r="AK18" s="343"/>
      <c r="AL18" s="343"/>
      <c r="AM18" s="343"/>
      <c r="AN18" s="343"/>
      <c r="AO18" s="343"/>
      <c r="AP18" s="343"/>
      <c r="AQ18" s="343"/>
      <c r="AR18" s="343"/>
      <c r="AS18" s="343"/>
      <c r="AT18" s="350">
        <f>SUM(AH18:AS18)</f>
        <v>2</v>
      </c>
      <c r="AU18" s="351">
        <f>+AT18/R18</f>
        <v>0.4</v>
      </c>
      <c r="AV18" s="330" t="s">
        <v>208</v>
      </c>
      <c r="AW18" s="330" t="s">
        <v>101</v>
      </c>
      <c r="AX18" s="331" t="s">
        <v>102</v>
      </c>
      <c r="AY18" s="332" t="s">
        <v>102</v>
      </c>
    </row>
    <row r="19" spans="1:52" ht="27.75" customHeight="1" x14ac:dyDescent="0.25">
      <c r="A19" s="225"/>
      <c r="B19" s="225"/>
      <c r="C19" s="225"/>
      <c r="D19" s="225"/>
      <c r="E19" s="225"/>
      <c r="F19" s="225"/>
      <c r="G19" s="225" t="s">
        <v>194</v>
      </c>
      <c r="H19" s="228" t="s">
        <v>209</v>
      </c>
      <c r="I19" s="225" t="s">
        <v>210</v>
      </c>
      <c r="J19" s="225" t="s">
        <v>211</v>
      </c>
      <c r="K19" s="225" t="s">
        <v>212</v>
      </c>
      <c r="L19" s="229">
        <v>1</v>
      </c>
      <c r="M19" s="225" t="s">
        <v>213</v>
      </c>
      <c r="N19" s="225" t="s">
        <v>214</v>
      </c>
      <c r="O19" s="225">
        <v>0</v>
      </c>
      <c r="P19" s="225">
        <v>0</v>
      </c>
      <c r="Q19" s="225">
        <v>0</v>
      </c>
      <c r="R19" s="225">
        <v>100</v>
      </c>
      <c r="S19" s="225">
        <v>100</v>
      </c>
      <c r="T19" s="225" t="s">
        <v>198</v>
      </c>
      <c r="U19" s="225" t="s">
        <v>215</v>
      </c>
      <c r="V19" s="344">
        <v>1</v>
      </c>
      <c r="W19" s="344">
        <v>1</v>
      </c>
      <c r="X19" s="344">
        <v>1</v>
      </c>
      <c r="Y19" s="344">
        <v>1</v>
      </c>
      <c r="Z19" s="344">
        <v>1</v>
      </c>
      <c r="AA19" s="344">
        <v>1</v>
      </c>
      <c r="AB19" s="344">
        <v>1</v>
      </c>
      <c r="AC19" s="344">
        <v>1</v>
      </c>
      <c r="AD19" s="344">
        <v>1</v>
      </c>
      <c r="AE19" s="344">
        <v>1</v>
      </c>
      <c r="AF19" s="344">
        <v>1</v>
      </c>
      <c r="AG19" s="344">
        <v>1</v>
      </c>
      <c r="AH19" s="345">
        <v>0.84</v>
      </c>
      <c r="AI19" s="346">
        <v>0.42</v>
      </c>
      <c r="AJ19" s="344">
        <v>1.98</v>
      </c>
      <c r="AK19" s="118"/>
      <c r="AL19" s="118"/>
      <c r="AM19" s="118"/>
      <c r="AN19" s="118"/>
      <c r="AO19" s="118"/>
      <c r="AP19" s="118"/>
      <c r="AQ19" s="118"/>
      <c r="AR19" s="118"/>
      <c r="AS19" s="118"/>
      <c r="AT19" s="352">
        <f>+SUM(V19:X19)/SUM(AH19:AJ19)</f>
        <v>0.92592592592592582</v>
      </c>
      <c r="AU19" s="352">
        <f>+AT19/AVERAGE(V19:X19)</f>
        <v>0.92592592592592582</v>
      </c>
      <c r="AV19" s="330" t="s">
        <v>216</v>
      </c>
      <c r="AW19" s="330" t="s">
        <v>548</v>
      </c>
      <c r="AX19" s="331" t="s">
        <v>102</v>
      </c>
      <c r="AY19" s="332" t="s">
        <v>102</v>
      </c>
    </row>
    <row r="20" spans="1:52" x14ac:dyDescent="0.25">
      <c r="A20" s="799" t="s">
        <v>87</v>
      </c>
      <c r="B20" s="800"/>
      <c r="C20" s="800"/>
      <c r="D20" s="800"/>
      <c r="E20" s="800"/>
      <c r="F20" s="800"/>
      <c r="G20" s="800"/>
      <c r="H20" s="800"/>
      <c r="I20" s="800"/>
      <c r="J20" s="800"/>
      <c r="K20" s="800"/>
      <c r="L20" s="800"/>
      <c r="M20" s="800"/>
      <c r="N20" s="800"/>
      <c r="O20" s="800"/>
      <c r="P20" s="800"/>
      <c r="Q20" s="800"/>
      <c r="R20" s="800"/>
      <c r="S20" s="800"/>
      <c r="T20" s="800"/>
      <c r="U20" s="800"/>
      <c r="V20" s="800"/>
      <c r="W20" s="800"/>
      <c r="X20" s="800"/>
      <c r="Y20" s="800"/>
      <c r="Z20" s="800"/>
      <c r="AA20" s="800"/>
      <c r="AB20" s="800"/>
      <c r="AC20" s="800"/>
      <c r="AD20" s="800"/>
      <c r="AE20" s="800"/>
      <c r="AF20" s="800"/>
      <c r="AG20" s="800"/>
      <c r="AH20" s="800"/>
      <c r="AI20" s="800"/>
      <c r="AJ20" s="800"/>
      <c r="AK20" s="800"/>
      <c r="AL20" s="800"/>
      <c r="AM20" s="800"/>
      <c r="AN20" s="800"/>
      <c r="AO20" s="800"/>
      <c r="AP20" s="800"/>
      <c r="AQ20" s="800"/>
      <c r="AR20" s="800"/>
      <c r="AS20" s="800"/>
      <c r="AT20" s="800"/>
      <c r="AU20" s="800"/>
      <c r="AV20" s="801"/>
      <c r="AW20" s="801"/>
      <c r="AX20" s="801"/>
      <c r="AY20" s="802"/>
    </row>
    <row r="21" spans="1:52" ht="31.5" customHeight="1" x14ac:dyDescent="0.25">
      <c r="A21" s="817" t="s">
        <v>217</v>
      </c>
      <c r="B21" s="818"/>
      <c r="C21" s="819"/>
      <c r="D21" s="805" t="s">
        <v>218</v>
      </c>
      <c r="E21" s="806"/>
      <c r="F21" s="806"/>
      <c r="G21" s="806"/>
      <c r="H21" s="806"/>
      <c r="I21" s="807"/>
      <c r="J21" s="808" t="s">
        <v>219</v>
      </c>
      <c r="K21" s="809"/>
      <c r="L21" s="809"/>
      <c r="M21" s="809"/>
      <c r="N21" s="809"/>
      <c r="O21" s="810"/>
      <c r="P21" s="805" t="s">
        <v>220</v>
      </c>
      <c r="Q21" s="806"/>
      <c r="R21" s="806"/>
      <c r="S21" s="806"/>
      <c r="T21" s="806"/>
      <c r="U21" s="807"/>
      <c r="V21" s="805" t="s">
        <v>220</v>
      </c>
      <c r="W21" s="806"/>
      <c r="X21" s="806"/>
      <c r="Y21" s="806"/>
      <c r="Z21" s="806"/>
      <c r="AA21" s="806"/>
      <c r="AB21" s="806"/>
      <c r="AC21" s="807"/>
      <c r="AD21" s="805" t="s">
        <v>220</v>
      </c>
      <c r="AE21" s="806"/>
      <c r="AF21" s="806"/>
      <c r="AG21" s="806"/>
      <c r="AH21" s="806"/>
      <c r="AI21" s="806"/>
      <c r="AJ21" s="806"/>
      <c r="AK21" s="806"/>
      <c r="AL21" s="806"/>
      <c r="AM21" s="806"/>
      <c r="AN21" s="806"/>
      <c r="AO21" s="807"/>
      <c r="AP21" s="808" t="s">
        <v>221</v>
      </c>
      <c r="AQ21" s="809"/>
      <c r="AR21" s="809"/>
      <c r="AS21" s="810"/>
      <c r="AT21" s="805" t="s">
        <v>222</v>
      </c>
      <c r="AU21" s="806"/>
      <c r="AV21" s="806"/>
      <c r="AW21" s="806"/>
      <c r="AX21" s="806"/>
      <c r="AY21" s="807"/>
      <c r="AZ21" s="127"/>
    </row>
    <row r="22" spans="1:52" ht="15" customHeight="1" x14ac:dyDescent="0.25">
      <c r="A22" s="820"/>
      <c r="B22" s="821"/>
      <c r="C22" s="822"/>
      <c r="D22" s="772" t="s">
        <v>223</v>
      </c>
      <c r="E22" s="773"/>
      <c r="F22" s="773"/>
      <c r="G22" s="773"/>
      <c r="H22" s="773"/>
      <c r="I22" s="774"/>
      <c r="J22" s="811"/>
      <c r="K22" s="812"/>
      <c r="L22" s="812"/>
      <c r="M22" s="812"/>
      <c r="N22" s="812"/>
      <c r="O22" s="813"/>
      <c r="P22" s="772" t="s">
        <v>224</v>
      </c>
      <c r="Q22" s="773"/>
      <c r="R22" s="773"/>
      <c r="S22" s="773"/>
      <c r="T22" s="773"/>
      <c r="U22" s="774"/>
      <c r="V22" s="772" t="s">
        <v>225</v>
      </c>
      <c r="W22" s="773"/>
      <c r="X22" s="773"/>
      <c r="Y22" s="773"/>
      <c r="Z22" s="773"/>
      <c r="AA22" s="773"/>
      <c r="AB22" s="773"/>
      <c r="AC22" s="774"/>
      <c r="AD22" s="772" t="s">
        <v>226</v>
      </c>
      <c r="AE22" s="773"/>
      <c r="AF22" s="773"/>
      <c r="AG22" s="773"/>
      <c r="AH22" s="773"/>
      <c r="AI22" s="773"/>
      <c r="AJ22" s="773"/>
      <c r="AK22" s="773"/>
      <c r="AL22" s="773"/>
      <c r="AM22" s="773"/>
      <c r="AN22" s="773"/>
      <c r="AO22" s="774"/>
      <c r="AP22" s="811"/>
      <c r="AQ22" s="812"/>
      <c r="AR22" s="812"/>
      <c r="AS22" s="813"/>
      <c r="AT22" s="772" t="s">
        <v>227</v>
      </c>
      <c r="AU22" s="773"/>
      <c r="AV22" s="773"/>
      <c r="AW22" s="773"/>
      <c r="AX22" s="773"/>
      <c r="AY22" s="774"/>
      <c r="AZ22" s="127"/>
    </row>
    <row r="23" spans="1:52" ht="15.95" customHeight="1" x14ac:dyDescent="0.25">
      <c r="A23" s="823"/>
      <c r="B23" s="824"/>
      <c r="C23" s="825"/>
      <c r="D23" s="772" t="s">
        <v>228</v>
      </c>
      <c r="E23" s="773"/>
      <c r="F23" s="773"/>
      <c r="G23" s="773"/>
      <c r="H23" s="773"/>
      <c r="I23" s="774"/>
      <c r="J23" s="814"/>
      <c r="K23" s="815"/>
      <c r="L23" s="815"/>
      <c r="M23" s="815"/>
      <c r="N23" s="815"/>
      <c r="O23" s="816"/>
      <c r="P23" s="772" t="s">
        <v>229</v>
      </c>
      <c r="Q23" s="773"/>
      <c r="R23" s="773"/>
      <c r="S23" s="773"/>
      <c r="T23" s="773"/>
      <c r="U23" s="774"/>
      <c r="V23" s="772" t="s">
        <v>230</v>
      </c>
      <c r="W23" s="773"/>
      <c r="X23" s="773"/>
      <c r="Y23" s="773"/>
      <c r="Z23" s="773"/>
      <c r="AA23" s="773"/>
      <c r="AB23" s="773"/>
      <c r="AC23" s="774"/>
      <c r="AD23" s="772" t="s">
        <v>231</v>
      </c>
      <c r="AE23" s="773"/>
      <c r="AF23" s="773"/>
      <c r="AG23" s="773"/>
      <c r="AH23" s="773"/>
      <c r="AI23" s="773"/>
      <c r="AJ23" s="773"/>
      <c r="AK23" s="773"/>
      <c r="AL23" s="773"/>
      <c r="AM23" s="773"/>
      <c r="AN23" s="773"/>
      <c r="AO23" s="774"/>
      <c r="AP23" s="814"/>
      <c r="AQ23" s="815"/>
      <c r="AR23" s="815"/>
      <c r="AS23" s="816"/>
      <c r="AT23" s="772" t="s">
        <v>232</v>
      </c>
      <c r="AU23" s="773"/>
      <c r="AV23" s="773"/>
      <c r="AW23" s="773"/>
      <c r="AX23" s="773"/>
      <c r="AY23" s="774"/>
      <c r="AZ23" s="127"/>
    </row>
  </sheetData>
  <mergeCells count="57">
    <mergeCell ref="AT23:AY23"/>
    <mergeCell ref="D21:I21"/>
    <mergeCell ref="AP21:AS23"/>
    <mergeCell ref="V23:AC23"/>
    <mergeCell ref="A21:C23"/>
    <mergeCell ref="J21:O23"/>
    <mergeCell ref="P22:U22"/>
    <mergeCell ref="P23:U23"/>
    <mergeCell ref="V21:AC21"/>
    <mergeCell ref="D22:I22"/>
    <mergeCell ref="D23:I23"/>
    <mergeCell ref="AD21:AO21"/>
    <mergeCell ref="AT22:AY22"/>
    <mergeCell ref="AT21:AY21"/>
    <mergeCell ref="AD23:AO23"/>
    <mergeCell ref="P21:U21"/>
    <mergeCell ref="A20:AY20"/>
    <mergeCell ref="V11:AG11"/>
    <mergeCell ref="D10:AG10"/>
    <mergeCell ref="L11:L12"/>
    <mergeCell ref="AX5:AX12"/>
    <mergeCell ref="AY5:AY12"/>
    <mergeCell ref="H7:I7"/>
    <mergeCell ref="H8:I8"/>
    <mergeCell ref="A11:F11"/>
    <mergeCell ref="G11:H11"/>
    <mergeCell ref="T11:T12"/>
    <mergeCell ref="N11:N12"/>
    <mergeCell ref="M11:M12"/>
    <mergeCell ref="AW5:AW12"/>
    <mergeCell ref="F6:G8"/>
    <mergeCell ref="H6:I6"/>
    <mergeCell ref="AD22:AO22"/>
    <mergeCell ref="AH5:AU10"/>
    <mergeCell ref="K6:U8"/>
    <mergeCell ref="AV5:AV12"/>
    <mergeCell ref="A5:AG5"/>
    <mergeCell ref="A6:C8"/>
    <mergeCell ref="D6:E8"/>
    <mergeCell ref="AT11:AU11"/>
    <mergeCell ref="AH11:AS11"/>
    <mergeCell ref="I11:I12"/>
    <mergeCell ref="J11:J12"/>
    <mergeCell ref="K11:K12"/>
    <mergeCell ref="U11:U12"/>
    <mergeCell ref="O11:S11"/>
    <mergeCell ref="V22:AC22"/>
    <mergeCell ref="A9:C9"/>
    <mergeCell ref="A10:C10"/>
    <mergeCell ref="D9:AG9"/>
    <mergeCell ref="AX1:AY1"/>
    <mergeCell ref="AX2:AY2"/>
    <mergeCell ref="AX3:AY3"/>
    <mergeCell ref="AX4:AY4"/>
    <mergeCell ref="A1:AW1"/>
    <mergeCell ref="A2:AW2"/>
    <mergeCell ref="A3:AW4"/>
  </mergeCells>
  <pageMargins left="0.7" right="0.7" top="0.75" bottom="0.75" header="0.3" footer="0.3"/>
  <pageSetup scale="15" orientation="landscape"/>
  <customProperties>
    <customPr name="_pios_id" r:id="rId1"/>
  </customProperti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7" ma:contentTypeDescription="Crear nuevo documento." ma:contentTypeScope="" ma:versionID="d956573d87abb794c4a9810d20ba9997">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17bacb17f57d4cda79cc9468e4177047"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e60779-6af5-4dde-a1c8-ebb5582c629e" xsi:nil="true"/>
    <lcf76f155ced4ddcb4097134ff3c332f xmlns="bfb5676e-0d71-42df-8fc5-13002709b90b">
      <Terms xmlns="http://schemas.microsoft.com/office/infopath/2007/PartnerControls"/>
    </lcf76f155ced4ddcb4097134ff3c332f>
    <SharedWithUsers xmlns="f5e60779-6af5-4dde-a1c8-ebb5582c629e">
      <UserInfo>
        <DisplayName>Girlesa Andrea Santos Medina</DisplayName>
        <AccountId>680</AccountId>
        <AccountType/>
      </UserInfo>
      <UserInfo>
        <DisplayName>Iliana Maria Espitia Sutachan</DisplayName>
        <AccountId>681</AccountId>
        <AccountType/>
      </UserInfo>
      <UserInfo>
        <DisplayName>Carol Dayana Quintero Hernandez</DisplayName>
        <AccountId>308</AccountId>
        <AccountType/>
      </UserInfo>
      <UserInfo>
        <DisplayName>Carol Viviana Rozo Almonacid</DisplayName>
        <AccountId>57</AccountId>
        <AccountType/>
      </UserInfo>
      <UserInfo>
        <DisplayName>Laura Camila Diaz Garcia</DisplayName>
        <AccountId>549</AccountId>
        <AccountType/>
      </UserInfo>
      <UserInfo>
        <DisplayName>Ilsa Carlota Alméciga Romero</DisplayName>
        <AccountId>122</AccountId>
        <AccountType/>
      </UserInfo>
      <UserInfo>
        <DisplayName>Ivette Shirley Sepulveda Sanabria</DisplayName>
        <AccountId>63</AccountId>
        <AccountType/>
      </UserInfo>
      <UserInfo>
        <DisplayName>Ra</DisplayName>
        <AccountId>652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display_urn_x003a_schemas_x002d_microsoft_x002d_com_x003a_office_x003a_office_x0023_SharedWithUsers"><![CDATA[Girlesa Andrea Santos Medina;Iliana Maria Espitia Sutachan;Carol Dayana Quintero Hernandez;Carol Viviana Rozo Almonacid;Laura Camila Diaz Garcia;Ilsa Carlota Alméciga Romero;Ivette Shirley Sepulveda Sanabria;Rafael Eduardo Ronderos Garcia;Nestor Moreno Gutierrez;Claudia Marcela Rodríguez Pinzón;Angela Marcela Forero Ruiz;Miguel Giovanny Gómez López;Yanira Galindo Páez]]></LongProp>
  <LongProp xmlns="" name="SharedWithUsers"><![CDATA[680;#Girlesa Andrea Santos Medina;#681;#Iliana Maria Espitia Sutachan;#308;#Carol Dayana Quintero Hernandez;#57;#Carol Viviana Rozo Almonacid;#549;#Laura Camila Diaz Garcia;#122;#Ilsa Carlota Alméciga Romero;#63;#Ivette Shirley Sepulveda Sanabria;#652;#Rafael Eduardo Ronderos Garcia;#673;#Nestor Moreno Gutierrez;#92;#Claudia Marcela Rodríguez Pinzón;#27;#Angela Marcela Forero Ruiz;#654;#Miguel Giovanny Gómez López;#672;#Yanira Galindo Páez]]></LongProp>
</LongProperties>
</file>

<file path=customXml/itemProps1.xml><?xml version="1.0" encoding="utf-8"?>
<ds:datastoreItem xmlns:ds="http://schemas.openxmlformats.org/officeDocument/2006/customXml" ds:itemID="{B16B3A02-E73F-47F4-A68F-FF3273135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AEF18-ED97-4A63-9151-0A451046D2D7}">
  <ds:schemaRefs>
    <ds:schemaRef ds:uri="http://schemas.microsoft.com/office/2006/metadata/properties"/>
    <ds:schemaRef ds:uri="http://schemas.microsoft.com/office/infopath/2007/PartnerControls"/>
    <ds:schemaRef ds:uri="f5e60779-6af5-4dde-a1c8-ebb5582c629e"/>
    <ds:schemaRef ds:uri="bfb5676e-0d71-42df-8fc5-13002709b90b"/>
  </ds:schemaRefs>
</ds:datastoreItem>
</file>

<file path=customXml/itemProps3.xml><?xml version="1.0" encoding="utf-8"?>
<ds:datastoreItem xmlns:ds="http://schemas.openxmlformats.org/officeDocument/2006/customXml" ds:itemID="{E0F8F493-500F-4D8B-AD15-7D8853B38986}">
  <ds:schemaRefs>
    <ds:schemaRef ds:uri="http://schemas.microsoft.com/sharepoint/v3/contenttype/forms"/>
  </ds:schemaRefs>
</ds:datastoreItem>
</file>

<file path=customXml/itemProps4.xml><?xml version="1.0" encoding="utf-8"?>
<ds:datastoreItem xmlns:ds="http://schemas.openxmlformats.org/officeDocument/2006/customXml" ds:itemID="{42755F45-56CF-4922-B831-05FE8D765C4E}">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Meta 1</vt:lpstr>
      <vt:lpstr>Meta 2</vt:lpstr>
      <vt:lpstr>Meta 3</vt:lpstr>
      <vt:lpstr>Meta 4</vt:lpstr>
      <vt:lpstr>Meta 5</vt:lpstr>
      <vt:lpstr>Meta 6</vt:lpstr>
      <vt:lpstr>Meta 7</vt:lpstr>
      <vt:lpstr>Meta 1..n</vt:lpstr>
      <vt:lpstr>Indicadores PA</vt:lpstr>
      <vt:lpstr>Territorialización PA</vt:lpstr>
      <vt:lpstr>Instructivo</vt:lpstr>
      <vt:lpstr>Generalidades</vt:lpstr>
      <vt:lpstr>Hoja13</vt:lpstr>
      <vt:lpstr>Hoja1</vt:lpstr>
      <vt:lpstr>'Meta 1'!Área_de_impresión</vt:lpstr>
      <vt:lpstr>'Meta 2'!Área_de_impresión</vt:lpstr>
      <vt:lpstr>'Meta 3'!Área_de_impresión</vt:lpstr>
      <vt:lpstr>'Meta 4'!Área_de_impresión</vt:lpstr>
      <vt:lpstr>'Meta 5'!Área_de_impresión</vt:lpstr>
      <vt:lpstr>'Meta 6'!Área_de_impresión</vt:lpstr>
      <vt:lpstr>'Meta 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Angela Marcela</cp:lastModifiedBy>
  <cp:revision/>
  <cp:lastPrinted>2023-04-11T21:49:47Z</cp:lastPrinted>
  <dcterms:created xsi:type="dcterms:W3CDTF">2011-04-26T22:16:52Z</dcterms:created>
  <dcterms:modified xsi:type="dcterms:W3CDTF">2023-04-19T19:06:34Z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y fmtid="{D5CDD505-2E9C-101B-9397-08002B2CF9AE}" pid="3" name="display_urn:schemas-microsoft-com:office:office#SharedWithUsers">
    <vt:lpwstr>Girlesa Andrea Santos Medina;Iliana Maria Espitia Sutachan;Carol Dayana Quintero Hernandez;Carol Viviana Rozo Almonacid;Laura Camila Diaz Garcia;Ilsa Carlota Alméciga Romero;Ivette Shirley Sepulveda Sanabria;Rafael Eduardo Ronderos Garcia;Nestor Moreno Gu</vt:lpwstr>
  </property>
  <property fmtid="{D5CDD505-2E9C-101B-9397-08002B2CF9AE}" pid="4" name="SharedWithUsers">
    <vt:lpwstr>680;#Girlesa Andrea Santos Medina;#681;#Iliana Maria Espitia Sutachan;#308;#Carol Dayana Quintero Hernandez;#57;#Carol Viviana Rozo Almonacid;#549;#Laura Camila Diaz Garcia;#122;#Ilsa Carlota Alméciga Romero;#63;#Ivette Shirley Sepulveda Sanabria;#652;#Ra</vt:lpwstr>
  </property>
  <property fmtid="{D5CDD505-2E9C-101B-9397-08002B2CF9AE}" pid="5" name="MediaServiceImageTags">
    <vt:lpwstr/>
  </property>
</Properties>
</file>